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AE0DFDE2-944E-4EF0-BDAD-819076A2C6A2}" xr6:coauthVersionLast="47" xr6:coauthVersionMax="47" xr10:uidLastSave="{00000000-0000-0000-0000-000000000000}"/>
  <bookViews>
    <workbookView xWindow="28680" yWindow="-120" windowWidth="29040" windowHeight="15840" firstSheet="3" activeTab="12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  <sheet name="2021.06.06" sheetId="29" r:id="rId11"/>
    <sheet name="2021.06.07" sheetId="30" r:id="rId12"/>
    <sheet name="2021.06.08" sheetId="31" r:id="rId13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10" hidden="1">'2021.06.06'!#REF!</definedName>
    <definedName name="_xlnm._FilterDatabase" localSheetId="11" hidden="1">'2021.06.07'!#REF!</definedName>
    <definedName name="_xlnm._FilterDatabase" localSheetId="12" hidden="1">'2021.06.08'!#REF!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1" l="1"/>
  <c r="O198" i="31"/>
  <c r="N198" i="31"/>
  <c r="L198" i="31"/>
  <c r="K198" i="31"/>
  <c r="H198" i="31"/>
  <c r="I198" i="31" s="1"/>
  <c r="F198" i="31"/>
  <c r="E198" i="31"/>
  <c r="O197" i="31"/>
  <c r="N197" i="3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O195" i="31"/>
  <c r="N195" i="31"/>
  <c r="K195" i="31"/>
  <c r="L195" i="31" s="1"/>
  <c r="H195" i="31"/>
  <c r="I195" i="31" s="1"/>
  <c r="F195" i="31"/>
  <c r="E195" i="31"/>
  <c r="O194" i="31"/>
  <c r="N194" i="3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K191" i="31"/>
  <c r="L191" i="31" s="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O188" i="31"/>
  <c r="N188" i="31"/>
  <c r="K188" i="31"/>
  <c r="L188" i="31" s="1"/>
  <c r="H188" i="31"/>
  <c r="I188" i="31" s="1"/>
  <c r="F188" i="31"/>
  <c r="E188" i="31"/>
  <c r="O187" i="31"/>
  <c r="N187" i="31"/>
  <c r="K187" i="31"/>
  <c r="L187" i="31" s="1"/>
  <c r="H187" i="31"/>
  <c r="I187" i="31" s="1"/>
  <c r="F187" i="31"/>
  <c r="E187" i="31"/>
  <c r="O186" i="31"/>
  <c r="N186" i="3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K183" i="31"/>
  <c r="L183" i="31" s="1"/>
  <c r="H183" i="31"/>
  <c r="I183" i="31" s="1"/>
  <c r="F183" i="31"/>
  <c r="E183" i="31"/>
  <c r="O182" i="31"/>
  <c r="N182" i="31"/>
  <c r="L182" i="31"/>
  <c r="K182" i="31"/>
  <c r="H182" i="31"/>
  <c r="I182" i="31" s="1"/>
  <c r="F182" i="31"/>
  <c r="E182" i="31"/>
  <c r="O181" i="31"/>
  <c r="N181" i="3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O179" i="31"/>
  <c r="O199" i="31" s="1"/>
  <c r="N179" i="31"/>
  <c r="N199" i="31" s="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L168" i="31"/>
  <c r="K168" i="3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O166" i="31"/>
  <c r="N166" i="31"/>
  <c r="K166" i="31"/>
  <c r="L166" i="31" s="1"/>
  <c r="H166" i="31"/>
  <c r="I166" i="31" s="1"/>
  <c r="F166" i="31"/>
  <c r="E166" i="31"/>
  <c r="O165" i="31"/>
  <c r="N165" i="31"/>
  <c r="K165" i="31"/>
  <c r="L165" i="31" s="1"/>
  <c r="H165" i="31"/>
  <c r="I165" i="31" s="1"/>
  <c r="F165" i="31"/>
  <c r="E165" i="31"/>
  <c r="O164" i="31"/>
  <c r="N164" i="31"/>
  <c r="L164" i="31"/>
  <c r="K164" i="31"/>
  <c r="H164" i="31"/>
  <c r="I164" i="31" s="1"/>
  <c r="F164" i="31"/>
  <c r="E164" i="31"/>
  <c r="O163" i="31"/>
  <c r="N163" i="3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L160" i="31"/>
  <c r="K160" i="3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O158" i="31"/>
  <c r="N158" i="31"/>
  <c r="K158" i="31"/>
  <c r="L158" i="31" s="1"/>
  <c r="H158" i="31"/>
  <c r="I158" i="31" s="1"/>
  <c r="F158" i="31"/>
  <c r="E158" i="31"/>
  <c r="O157" i="31"/>
  <c r="N157" i="31"/>
  <c r="K157" i="31"/>
  <c r="L157" i="31" s="1"/>
  <c r="H157" i="31"/>
  <c r="I157" i="31" s="1"/>
  <c r="F157" i="31"/>
  <c r="E157" i="31"/>
  <c r="O156" i="31"/>
  <c r="N156" i="31"/>
  <c r="L156" i="31"/>
  <c r="K156" i="31"/>
  <c r="H156" i="31"/>
  <c r="I156" i="31" s="1"/>
  <c r="I21" i="31" s="1"/>
  <c r="F156" i="31"/>
  <c r="E156" i="31"/>
  <c r="O155" i="31"/>
  <c r="N155" i="3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O172" i="31" s="1"/>
  <c r="N152" i="31"/>
  <c r="N172" i="31" s="1"/>
  <c r="L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H144" i="31"/>
  <c r="I144" i="31" s="1"/>
  <c r="F144" i="31"/>
  <c r="E144" i="31"/>
  <c r="O143" i="31"/>
  <c r="N143" i="31"/>
  <c r="K143" i="31"/>
  <c r="L143" i="31" s="1"/>
  <c r="L17" i="31" s="1"/>
  <c r="H143" i="31"/>
  <c r="I143" i="31" s="1"/>
  <c r="I17" i="31" s="1"/>
  <c r="F143" i="31"/>
  <c r="E143" i="31"/>
  <c r="O142" i="31"/>
  <c r="N142" i="31"/>
  <c r="K142" i="31"/>
  <c r="L142" i="31" s="1"/>
  <c r="H142" i="31"/>
  <c r="I142" i="31" s="1"/>
  <c r="F142" i="31"/>
  <c r="E142" i="31"/>
  <c r="O141" i="31"/>
  <c r="N141" i="31"/>
  <c r="L141" i="31"/>
  <c r="K141" i="31"/>
  <c r="H141" i="31"/>
  <c r="I141" i="31" s="1"/>
  <c r="F141" i="31"/>
  <c r="E141" i="31"/>
  <c r="O140" i="31"/>
  <c r="N140" i="31"/>
  <c r="L140" i="31"/>
  <c r="K140" i="31"/>
  <c r="H140" i="31"/>
  <c r="I140" i="31" s="1"/>
  <c r="F140" i="31"/>
  <c r="E140" i="31"/>
  <c r="O139" i="31"/>
  <c r="N139" i="31"/>
  <c r="K139" i="31"/>
  <c r="L139" i="31" s="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O137" i="31"/>
  <c r="N137" i="31"/>
  <c r="L137" i="31"/>
  <c r="K137" i="3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O135" i="31"/>
  <c r="N135" i="31"/>
  <c r="K135" i="31"/>
  <c r="L135" i="31" s="1"/>
  <c r="H135" i="31"/>
  <c r="I135" i="31" s="1"/>
  <c r="F135" i="31"/>
  <c r="E135" i="31"/>
  <c r="O134" i="31"/>
  <c r="N134" i="31"/>
  <c r="K134" i="31"/>
  <c r="L134" i="31" s="1"/>
  <c r="H134" i="31"/>
  <c r="I134" i="31" s="1"/>
  <c r="F134" i="31"/>
  <c r="E134" i="31"/>
  <c r="O133" i="31"/>
  <c r="N133" i="31"/>
  <c r="L133" i="31"/>
  <c r="K133" i="31"/>
  <c r="H133" i="31"/>
  <c r="I133" i="31" s="1"/>
  <c r="F133" i="31"/>
  <c r="E133" i="31"/>
  <c r="O132" i="31"/>
  <c r="N132" i="31"/>
  <c r="L132" i="31"/>
  <c r="K132" i="31"/>
  <c r="H132" i="31"/>
  <c r="I132" i="31" s="1"/>
  <c r="F132" i="31"/>
  <c r="E132" i="31"/>
  <c r="O131" i="31"/>
  <c r="N131" i="31"/>
  <c r="K131" i="31"/>
  <c r="L131" i="31" s="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O129" i="31"/>
  <c r="N129" i="31"/>
  <c r="L129" i="31"/>
  <c r="K129" i="31"/>
  <c r="H129" i="31"/>
  <c r="I129" i="31" s="1"/>
  <c r="F129" i="31"/>
  <c r="E129" i="31"/>
  <c r="O128" i="31"/>
  <c r="N128" i="31"/>
  <c r="L128" i="31"/>
  <c r="K128" i="31"/>
  <c r="H128" i="31"/>
  <c r="I128" i="31" s="1"/>
  <c r="F128" i="31"/>
  <c r="E128" i="31"/>
  <c r="O127" i="31"/>
  <c r="N127" i="31"/>
  <c r="K127" i="31"/>
  <c r="L127" i="31" s="1"/>
  <c r="H127" i="31"/>
  <c r="I127" i="31" s="1"/>
  <c r="F127" i="31"/>
  <c r="E127" i="31"/>
  <c r="O126" i="31"/>
  <c r="N126" i="31"/>
  <c r="K126" i="31"/>
  <c r="L126" i="31" s="1"/>
  <c r="H126" i="31"/>
  <c r="I126" i="31" s="1"/>
  <c r="F126" i="31"/>
  <c r="E126" i="31"/>
  <c r="O125" i="31"/>
  <c r="O145" i="31" s="1"/>
  <c r="N125" i="31"/>
  <c r="N145" i="31" s="1"/>
  <c r="L125" i="31"/>
  <c r="K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O116" i="31"/>
  <c r="N116" i="31"/>
  <c r="K116" i="31"/>
  <c r="L116" i="31" s="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O114" i="31"/>
  <c r="N114" i="31"/>
  <c r="L114" i="31"/>
  <c r="K114" i="31"/>
  <c r="H114" i="31"/>
  <c r="I114" i="31" s="1"/>
  <c r="F114" i="31"/>
  <c r="E114" i="31"/>
  <c r="O113" i="31"/>
  <c r="N113" i="3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O109" i="31"/>
  <c r="N109" i="3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O107" i="31"/>
  <c r="N107" i="31"/>
  <c r="K107" i="31"/>
  <c r="L107" i="31" s="1"/>
  <c r="H107" i="31"/>
  <c r="I107" i="31" s="1"/>
  <c r="F107" i="31"/>
  <c r="E107" i="31"/>
  <c r="O106" i="31"/>
  <c r="N106" i="31"/>
  <c r="L106" i="31"/>
  <c r="K106" i="31"/>
  <c r="H106" i="31"/>
  <c r="I106" i="31" s="1"/>
  <c r="F106" i="31"/>
  <c r="E106" i="31"/>
  <c r="O105" i="31"/>
  <c r="N105" i="31"/>
  <c r="L105" i="31"/>
  <c r="K105" i="31"/>
  <c r="H105" i="31"/>
  <c r="I105" i="31" s="1"/>
  <c r="F105" i="31"/>
  <c r="E105" i="31"/>
  <c r="O104" i="31"/>
  <c r="N104" i="31"/>
  <c r="K104" i="31"/>
  <c r="L104" i="31" s="1"/>
  <c r="H104" i="31"/>
  <c r="I104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E102" i="31"/>
  <c r="F102" i="31" s="1"/>
  <c r="O101" i="31"/>
  <c r="N101" i="31"/>
  <c r="K101" i="31"/>
  <c r="L101" i="31" s="1"/>
  <c r="H101" i="31"/>
  <c r="I101" i="31" s="1"/>
  <c r="F101" i="31"/>
  <c r="E101" i="31"/>
  <c r="O100" i="31"/>
  <c r="N100" i="31"/>
  <c r="K100" i="31"/>
  <c r="L100" i="31" s="1"/>
  <c r="H100" i="31"/>
  <c r="I100" i="31" s="1"/>
  <c r="F100" i="31"/>
  <c r="E100" i="31"/>
  <c r="O99" i="31"/>
  <c r="N99" i="31"/>
  <c r="L99" i="31"/>
  <c r="K99" i="31"/>
  <c r="H99" i="31"/>
  <c r="I99" i="31" s="1"/>
  <c r="F99" i="31"/>
  <c r="E99" i="31"/>
  <c r="O98" i="31"/>
  <c r="O118" i="31" s="1"/>
  <c r="N98" i="31"/>
  <c r="N118" i="31" s="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O90" i="31"/>
  <c r="N90" i="31"/>
  <c r="K90" i="31"/>
  <c r="L90" i="31" s="1"/>
  <c r="H90" i="31"/>
  <c r="I90" i="31" s="1"/>
  <c r="F90" i="31"/>
  <c r="E90" i="31"/>
  <c r="O89" i="31"/>
  <c r="N89" i="31"/>
  <c r="K89" i="31"/>
  <c r="L89" i="31" s="1"/>
  <c r="H89" i="31"/>
  <c r="I89" i="31" s="1"/>
  <c r="F89" i="31"/>
  <c r="E89" i="31"/>
  <c r="O88" i="31"/>
  <c r="N88" i="31"/>
  <c r="L88" i="31"/>
  <c r="K88" i="31"/>
  <c r="H88" i="31"/>
  <c r="I88" i="31" s="1"/>
  <c r="F88" i="31"/>
  <c r="E88" i="31"/>
  <c r="O87" i="31"/>
  <c r="N87" i="31"/>
  <c r="L87" i="31"/>
  <c r="K87" i="31"/>
  <c r="H87" i="31"/>
  <c r="I87" i="31" s="1"/>
  <c r="F87" i="31"/>
  <c r="E87" i="31"/>
  <c r="O86" i="31"/>
  <c r="N86" i="31"/>
  <c r="K86" i="31"/>
  <c r="L86" i="31" s="1"/>
  <c r="L20" i="31" s="1"/>
  <c r="H86" i="31"/>
  <c r="I86" i="31" s="1"/>
  <c r="I20" i="31" s="1"/>
  <c r="F86" i="31"/>
  <c r="E86" i="31"/>
  <c r="O85" i="31"/>
  <c r="N85" i="31"/>
  <c r="K85" i="31"/>
  <c r="L85" i="31" s="1"/>
  <c r="L19" i="31" s="1"/>
  <c r="H85" i="31"/>
  <c r="I85" i="31" s="1"/>
  <c r="I19" i="31" s="1"/>
  <c r="F85" i="31"/>
  <c r="E85" i="31"/>
  <c r="O84" i="31"/>
  <c r="N84" i="31"/>
  <c r="L84" i="31"/>
  <c r="K84" i="31"/>
  <c r="H84" i="31"/>
  <c r="I84" i="31" s="1"/>
  <c r="F84" i="31"/>
  <c r="E84" i="31"/>
  <c r="O83" i="31"/>
  <c r="N83" i="31"/>
  <c r="L83" i="31"/>
  <c r="K83" i="31"/>
  <c r="H83" i="31"/>
  <c r="I83" i="31" s="1"/>
  <c r="F83" i="31"/>
  <c r="E83" i="31"/>
  <c r="O82" i="31"/>
  <c r="N82" i="31"/>
  <c r="K82" i="31"/>
  <c r="L82" i="31" s="1"/>
  <c r="H82" i="31"/>
  <c r="I82" i="31" s="1"/>
  <c r="F82" i="31"/>
  <c r="E82" i="31"/>
  <c r="O81" i="31"/>
  <c r="N81" i="31"/>
  <c r="K81" i="31"/>
  <c r="L81" i="31" s="1"/>
  <c r="H81" i="31"/>
  <c r="I81" i="31" s="1"/>
  <c r="F81" i="31"/>
  <c r="E81" i="31"/>
  <c r="O80" i="31"/>
  <c r="N80" i="31"/>
  <c r="L80" i="31"/>
  <c r="K80" i="31"/>
  <c r="H80" i="31"/>
  <c r="I80" i="31" s="1"/>
  <c r="F80" i="31"/>
  <c r="E80" i="31"/>
  <c r="O79" i="31"/>
  <c r="N79" i="31"/>
  <c r="L79" i="31"/>
  <c r="K79" i="31"/>
  <c r="H79" i="31"/>
  <c r="I79" i="31" s="1"/>
  <c r="F79" i="31"/>
  <c r="E79" i="31"/>
  <c r="O78" i="31"/>
  <c r="N78" i="31"/>
  <c r="K78" i="31"/>
  <c r="L78" i="31" s="1"/>
  <c r="H78" i="31"/>
  <c r="I78" i="31" s="1"/>
  <c r="F78" i="31"/>
  <c r="E78" i="31"/>
  <c r="O77" i="31"/>
  <c r="N77" i="31"/>
  <c r="K77" i="31"/>
  <c r="L77" i="31" s="1"/>
  <c r="H77" i="31"/>
  <c r="I77" i="31" s="1"/>
  <c r="F77" i="31"/>
  <c r="E77" i="31"/>
  <c r="O76" i="31"/>
  <c r="N76" i="31"/>
  <c r="L76" i="31"/>
  <c r="K76" i="31"/>
  <c r="H76" i="31"/>
  <c r="I76" i="31" s="1"/>
  <c r="F76" i="31"/>
  <c r="E76" i="31"/>
  <c r="O75" i="31"/>
  <c r="N75" i="31"/>
  <c r="L75" i="31"/>
  <c r="K75" i="31"/>
  <c r="H75" i="31"/>
  <c r="I75" i="31" s="1"/>
  <c r="F75" i="31"/>
  <c r="E75" i="31"/>
  <c r="O74" i="31"/>
  <c r="N74" i="31"/>
  <c r="K74" i="31"/>
  <c r="L74" i="31" s="1"/>
  <c r="H74" i="31"/>
  <c r="I74" i="31" s="1"/>
  <c r="F74" i="31"/>
  <c r="E74" i="31"/>
  <c r="O73" i="31"/>
  <c r="N73" i="31"/>
  <c r="K73" i="31"/>
  <c r="L73" i="31" s="1"/>
  <c r="H73" i="31"/>
  <c r="I73" i="31" s="1"/>
  <c r="F73" i="31"/>
  <c r="E73" i="31"/>
  <c r="O72" i="31"/>
  <c r="N72" i="31"/>
  <c r="L72" i="31"/>
  <c r="K72" i="31"/>
  <c r="H72" i="31"/>
  <c r="I72" i="31" s="1"/>
  <c r="F72" i="31"/>
  <c r="E72" i="31"/>
  <c r="O71" i="31"/>
  <c r="O91" i="31" s="1"/>
  <c r="N71" i="31"/>
  <c r="N91" i="31" s="1"/>
  <c r="L71" i="31"/>
  <c r="K71" i="31"/>
  <c r="H71" i="31"/>
  <c r="H91" i="31" s="1"/>
  <c r="F71" i="31"/>
  <c r="F91" i="31" s="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H63" i="31"/>
  <c r="I63" i="31" s="1"/>
  <c r="E63" i="31"/>
  <c r="F63" i="31" s="1"/>
  <c r="O62" i="31"/>
  <c r="N62" i="31"/>
  <c r="L62" i="31"/>
  <c r="K62" i="31"/>
  <c r="I62" i="31"/>
  <c r="H62" i="31"/>
  <c r="E62" i="31"/>
  <c r="F62" i="31" s="1"/>
  <c r="O61" i="31"/>
  <c r="N61" i="31"/>
  <c r="K61" i="31"/>
  <c r="L61" i="31" s="1"/>
  <c r="H61" i="31"/>
  <c r="I61" i="31" s="1"/>
  <c r="E61" i="31"/>
  <c r="F61" i="31" s="1"/>
  <c r="O60" i="31"/>
  <c r="N60" i="31"/>
  <c r="K60" i="31"/>
  <c r="L60" i="31" s="1"/>
  <c r="I60" i="31"/>
  <c r="H60" i="31"/>
  <c r="E60" i="31"/>
  <c r="F60" i="31" s="1"/>
  <c r="O59" i="31"/>
  <c r="N59" i="31"/>
  <c r="L59" i="31"/>
  <c r="K59" i="31"/>
  <c r="H59" i="31"/>
  <c r="I59" i="31" s="1"/>
  <c r="I18" i="31" s="1"/>
  <c r="E59" i="31"/>
  <c r="F59" i="31" s="1"/>
  <c r="F18" i="31" s="1"/>
  <c r="O58" i="31"/>
  <c r="N58" i="31"/>
  <c r="L58" i="31"/>
  <c r="K58" i="31"/>
  <c r="I58" i="31"/>
  <c r="H58" i="31"/>
  <c r="E58" i="31"/>
  <c r="F58" i="31" s="1"/>
  <c r="O57" i="31"/>
  <c r="N57" i="31"/>
  <c r="K57" i="31"/>
  <c r="L57" i="31" s="1"/>
  <c r="H57" i="31"/>
  <c r="I57" i="31" s="1"/>
  <c r="E57" i="31"/>
  <c r="F57" i="31" s="1"/>
  <c r="O56" i="31"/>
  <c r="N56" i="31"/>
  <c r="K56" i="31"/>
  <c r="L56" i="31" s="1"/>
  <c r="H56" i="31"/>
  <c r="I56" i="31" s="1"/>
  <c r="E56" i="31"/>
  <c r="F56" i="31" s="1"/>
  <c r="O55" i="31"/>
  <c r="N55" i="31"/>
  <c r="K55" i="31"/>
  <c r="L55" i="31" s="1"/>
  <c r="H55" i="31"/>
  <c r="I55" i="31" s="1"/>
  <c r="E55" i="31"/>
  <c r="F55" i="31" s="1"/>
  <c r="O54" i="31"/>
  <c r="N54" i="31"/>
  <c r="K54" i="31"/>
  <c r="L54" i="31" s="1"/>
  <c r="I54" i="31"/>
  <c r="H54" i="31"/>
  <c r="E54" i="31"/>
  <c r="F54" i="31" s="1"/>
  <c r="O53" i="31"/>
  <c r="N53" i="31"/>
  <c r="L53" i="31"/>
  <c r="K53" i="31"/>
  <c r="H53" i="31"/>
  <c r="I53" i="31" s="1"/>
  <c r="E53" i="31"/>
  <c r="F53" i="31" s="1"/>
  <c r="O52" i="31"/>
  <c r="N52" i="31"/>
  <c r="L52" i="31"/>
  <c r="K52" i="31"/>
  <c r="H52" i="31"/>
  <c r="I52" i="31" s="1"/>
  <c r="E52" i="31"/>
  <c r="F52" i="31" s="1"/>
  <c r="O51" i="31"/>
  <c r="N51" i="31"/>
  <c r="L51" i="31"/>
  <c r="K51" i="31"/>
  <c r="H51" i="31"/>
  <c r="I51" i="31" s="1"/>
  <c r="E51" i="31"/>
  <c r="F51" i="31" s="1"/>
  <c r="O50" i="31"/>
  <c r="N50" i="31"/>
  <c r="L50" i="31"/>
  <c r="K50" i="31"/>
  <c r="I50" i="31"/>
  <c r="H50" i="31"/>
  <c r="E50" i="31"/>
  <c r="F50" i="31" s="1"/>
  <c r="O49" i="31"/>
  <c r="N49" i="31"/>
  <c r="K49" i="31"/>
  <c r="L49" i="31" s="1"/>
  <c r="H49" i="31"/>
  <c r="I49" i="31" s="1"/>
  <c r="E49" i="31"/>
  <c r="F49" i="31" s="1"/>
  <c r="O48" i="31"/>
  <c r="N48" i="31"/>
  <c r="K48" i="31"/>
  <c r="L48" i="31" s="1"/>
  <c r="H48" i="31"/>
  <c r="I48" i="31" s="1"/>
  <c r="E48" i="31"/>
  <c r="F48" i="31" s="1"/>
  <c r="O47" i="31"/>
  <c r="N47" i="31"/>
  <c r="K47" i="31"/>
  <c r="L47" i="31" s="1"/>
  <c r="H47" i="31"/>
  <c r="I47" i="31" s="1"/>
  <c r="E47" i="31"/>
  <c r="F47" i="31" s="1"/>
  <c r="O46" i="31"/>
  <c r="N46" i="31"/>
  <c r="K46" i="31"/>
  <c r="L46" i="31" s="1"/>
  <c r="I46" i="31"/>
  <c r="H46" i="31"/>
  <c r="E46" i="31"/>
  <c r="F46" i="31" s="1"/>
  <c r="O45" i="31"/>
  <c r="N45" i="31"/>
  <c r="L45" i="31"/>
  <c r="K45" i="31"/>
  <c r="H45" i="31"/>
  <c r="I45" i="31" s="1"/>
  <c r="E45" i="31"/>
  <c r="F45" i="31" s="1"/>
  <c r="O44" i="31"/>
  <c r="O64" i="31" s="1"/>
  <c r="N44" i="31"/>
  <c r="N64" i="31" s="1"/>
  <c r="L44" i="31"/>
  <c r="K44" i="3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H21" i="31"/>
  <c r="G21" i="31"/>
  <c r="F21" i="31"/>
  <c r="E21" i="31"/>
  <c r="D21" i="31"/>
  <c r="C21" i="31"/>
  <c r="B21" i="31"/>
  <c r="O20" i="31"/>
  <c r="N20" i="31"/>
  <c r="M20" i="31"/>
  <c r="J20" i="31"/>
  <c r="H20" i="31"/>
  <c r="G20" i="31"/>
  <c r="F20" i="31"/>
  <c r="E20" i="31"/>
  <c r="D20" i="31"/>
  <c r="C20" i="31"/>
  <c r="B20" i="31"/>
  <c r="O19" i="31"/>
  <c r="N19" i="31"/>
  <c r="M19" i="31"/>
  <c r="K19" i="31"/>
  <c r="J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H18" i="31"/>
  <c r="G18" i="31"/>
  <c r="E18" i="31"/>
  <c r="D18" i="31"/>
  <c r="C18" i="31"/>
  <c r="B18" i="31"/>
  <c r="O17" i="31"/>
  <c r="N17" i="31"/>
  <c r="M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K179" i="30"/>
  <c r="L179" i="30" s="1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K169" i="30"/>
  <c r="L169" i="30" s="1"/>
  <c r="L17" i="30" s="1"/>
  <c r="H169" i="30"/>
  <c r="I169" i="30" s="1"/>
  <c r="I17" i="30" s="1"/>
  <c r="F169" i="30"/>
  <c r="E169" i="30"/>
  <c r="N168" i="30"/>
  <c r="O168" i="30" s="1"/>
  <c r="K168" i="30"/>
  <c r="L168" i="30" s="1"/>
  <c r="H168" i="30"/>
  <c r="I168" i="30" s="1"/>
  <c r="F168" i="30"/>
  <c r="E168" i="30"/>
  <c r="O167" i="30"/>
  <c r="N167" i="30"/>
  <c r="L167" i="30"/>
  <c r="K167" i="30"/>
  <c r="H167" i="30"/>
  <c r="I167" i="30" s="1"/>
  <c r="F167" i="30"/>
  <c r="E167" i="30"/>
  <c r="O166" i="30"/>
  <c r="N166" i="30"/>
  <c r="K166" i="30"/>
  <c r="L166" i="30" s="1"/>
  <c r="H166" i="30"/>
  <c r="I166" i="30" s="1"/>
  <c r="F166" i="30"/>
  <c r="E166" i="30"/>
  <c r="N165" i="30"/>
  <c r="O165" i="30" s="1"/>
  <c r="K165" i="30"/>
  <c r="L165" i="30" s="1"/>
  <c r="H165" i="30"/>
  <c r="I165" i="30" s="1"/>
  <c r="F165" i="30"/>
  <c r="E165" i="30"/>
  <c r="O164" i="30"/>
  <c r="N164" i="30"/>
  <c r="K164" i="30"/>
  <c r="L164" i="30" s="1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O21" i="30" s="1"/>
  <c r="L161" i="30"/>
  <c r="K161" i="30"/>
  <c r="H161" i="30"/>
  <c r="I161" i="30" s="1"/>
  <c r="I21" i="30" s="1"/>
  <c r="F161" i="30"/>
  <c r="E161" i="30"/>
  <c r="N160" i="30"/>
  <c r="O160" i="30" s="1"/>
  <c r="K160" i="30"/>
  <c r="L160" i="30" s="1"/>
  <c r="H160" i="30"/>
  <c r="I160" i="30" s="1"/>
  <c r="F160" i="30"/>
  <c r="E160" i="30"/>
  <c r="O159" i="30"/>
  <c r="N159" i="30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O154" i="30"/>
  <c r="N154" i="30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O152" i="30"/>
  <c r="N152" i="30"/>
  <c r="K152" i="30"/>
  <c r="L152" i="30" s="1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H144" i="30"/>
  <c r="I144" i="30" s="1"/>
  <c r="E144" i="30"/>
  <c r="F144" i="30" s="1"/>
  <c r="O143" i="30"/>
  <c r="N143" i="30"/>
  <c r="K143" i="30"/>
  <c r="L143" i="30" s="1"/>
  <c r="H143" i="30"/>
  <c r="I143" i="30" s="1"/>
  <c r="E143" i="30"/>
  <c r="F143" i="30" s="1"/>
  <c r="O142" i="30"/>
  <c r="N142" i="30"/>
  <c r="L142" i="30"/>
  <c r="K142" i="30"/>
  <c r="I142" i="30"/>
  <c r="H142" i="30"/>
  <c r="E142" i="30"/>
  <c r="F142" i="30" s="1"/>
  <c r="O141" i="30"/>
  <c r="N141" i="30"/>
  <c r="K141" i="30"/>
  <c r="L141" i="30" s="1"/>
  <c r="H141" i="30"/>
  <c r="I141" i="30" s="1"/>
  <c r="E141" i="30"/>
  <c r="F141" i="30" s="1"/>
  <c r="O140" i="30"/>
  <c r="N140" i="30"/>
  <c r="L140" i="30"/>
  <c r="K140" i="30"/>
  <c r="H140" i="30"/>
  <c r="I140" i="30" s="1"/>
  <c r="I18" i="30" s="1"/>
  <c r="E140" i="30"/>
  <c r="F140" i="30" s="1"/>
  <c r="F18" i="30" s="1"/>
  <c r="N139" i="30"/>
  <c r="O139" i="30" s="1"/>
  <c r="K139" i="30"/>
  <c r="L139" i="30" s="1"/>
  <c r="H139" i="30"/>
  <c r="I139" i="30" s="1"/>
  <c r="E139" i="30"/>
  <c r="F139" i="30" s="1"/>
  <c r="O138" i="30"/>
  <c r="N138" i="30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O136" i="30"/>
  <c r="N136" i="30"/>
  <c r="K136" i="30"/>
  <c r="L136" i="30" s="1"/>
  <c r="H136" i="30"/>
  <c r="I136" i="30" s="1"/>
  <c r="E136" i="30"/>
  <c r="F136" i="30" s="1"/>
  <c r="N135" i="30"/>
  <c r="O135" i="30" s="1"/>
  <c r="L135" i="30"/>
  <c r="K135" i="30"/>
  <c r="H135" i="30"/>
  <c r="I135" i="30" s="1"/>
  <c r="E135" i="30"/>
  <c r="F135" i="30" s="1"/>
  <c r="N134" i="30"/>
  <c r="O134" i="30" s="1"/>
  <c r="K134" i="30"/>
  <c r="L134" i="30" s="1"/>
  <c r="I134" i="30"/>
  <c r="H134" i="30"/>
  <c r="E134" i="30"/>
  <c r="F134" i="30" s="1"/>
  <c r="N133" i="30"/>
  <c r="O133" i="30" s="1"/>
  <c r="K133" i="30"/>
  <c r="L133" i="30" s="1"/>
  <c r="H133" i="30"/>
  <c r="I133" i="30" s="1"/>
  <c r="E133" i="30"/>
  <c r="F133" i="30" s="1"/>
  <c r="N132" i="30"/>
  <c r="O132" i="30" s="1"/>
  <c r="K132" i="30"/>
  <c r="L132" i="30" s="1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O130" i="30"/>
  <c r="N130" i="30"/>
  <c r="K130" i="30"/>
  <c r="L130" i="30" s="1"/>
  <c r="I130" i="30"/>
  <c r="H130" i="30"/>
  <c r="E130" i="30"/>
  <c r="F130" i="30" s="1"/>
  <c r="N129" i="30"/>
  <c r="O129" i="30" s="1"/>
  <c r="K129" i="30"/>
  <c r="L129" i="30" s="1"/>
  <c r="H129" i="30"/>
  <c r="I129" i="30" s="1"/>
  <c r="E129" i="30"/>
  <c r="F129" i="30" s="1"/>
  <c r="N128" i="30"/>
  <c r="O128" i="30" s="1"/>
  <c r="L128" i="30"/>
  <c r="K128" i="30"/>
  <c r="I128" i="30"/>
  <c r="H128" i="30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L126" i="30"/>
  <c r="K126" i="30"/>
  <c r="I126" i="30"/>
  <c r="H126" i="30"/>
  <c r="E126" i="30"/>
  <c r="F126" i="30" s="1"/>
  <c r="N125" i="30"/>
  <c r="L125" i="30"/>
  <c r="K125" i="30"/>
  <c r="H125" i="30"/>
  <c r="H145" i="30" s="1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K117" i="30"/>
  <c r="L117" i="30" s="1"/>
  <c r="H117" i="30"/>
  <c r="I117" i="30" s="1"/>
  <c r="E117" i="30"/>
  <c r="F117" i="30" s="1"/>
  <c r="O116" i="30"/>
  <c r="N116" i="30"/>
  <c r="L116" i="30"/>
  <c r="K116" i="30"/>
  <c r="H116" i="30"/>
  <c r="I116" i="30" s="1"/>
  <c r="E116" i="30"/>
  <c r="F116" i="30" s="1"/>
  <c r="N115" i="30"/>
  <c r="O115" i="30" s="1"/>
  <c r="K115" i="30"/>
  <c r="L115" i="30" s="1"/>
  <c r="I115" i="30"/>
  <c r="H115" i="30"/>
  <c r="E115" i="30"/>
  <c r="F115" i="30" s="1"/>
  <c r="O114" i="30"/>
  <c r="N114" i="30"/>
  <c r="K114" i="30"/>
  <c r="L114" i="30" s="1"/>
  <c r="H114" i="30"/>
  <c r="I114" i="30" s="1"/>
  <c r="E114" i="30"/>
  <c r="F114" i="30" s="1"/>
  <c r="N113" i="30"/>
  <c r="O113" i="30" s="1"/>
  <c r="K113" i="30"/>
  <c r="L113" i="30" s="1"/>
  <c r="H113" i="30"/>
  <c r="I113" i="30" s="1"/>
  <c r="E113" i="30"/>
  <c r="F113" i="30" s="1"/>
  <c r="N112" i="30"/>
  <c r="O112" i="30" s="1"/>
  <c r="K112" i="30"/>
  <c r="L112" i="30" s="1"/>
  <c r="H112" i="30"/>
  <c r="I112" i="30" s="1"/>
  <c r="E112" i="30"/>
  <c r="F112" i="30" s="1"/>
  <c r="O111" i="30"/>
  <c r="O30" i="30" s="1"/>
  <c r="N111" i="30"/>
  <c r="K111" i="30"/>
  <c r="K30" i="30" s="1"/>
  <c r="I111" i="30"/>
  <c r="I30" i="30" s="1"/>
  <c r="H111" i="30"/>
  <c r="E111" i="30"/>
  <c r="F111" i="30" s="1"/>
  <c r="F30" i="30" s="1"/>
  <c r="N110" i="30"/>
  <c r="O110" i="30" s="1"/>
  <c r="K110" i="30"/>
  <c r="L110" i="30" s="1"/>
  <c r="H110" i="30"/>
  <c r="I110" i="30" s="1"/>
  <c r="E110" i="30"/>
  <c r="F110" i="30" s="1"/>
  <c r="N109" i="30"/>
  <c r="O109" i="30" s="1"/>
  <c r="O28" i="30" s="1"/>
  <c r="L109" i="30"/>
  <c r="L28" i="30" s="1"/>
  <c r="K109" i="30"/>
  <c r="I109" i="30"/>
  <c r="H109" i="30"/>
  <c r="E109" i="30"/>
  <c r="F109" i="30" s="1"/>
  <c r="F28" i="30" s="1"/>
  <c r="N108" i="30"/>
  <c r="O108" i="30" s="1"/>
  <c r="K108" i="30"/>
  <c r="L108" i="30" s="1"/>
  <c r="H108" i="30"/>
  <c r="I108" i="30" s="1"/>
  <c r="E108" i="30"/>
  <c r="F108" i="30" s="1"/>
  <c r="N107" i="30"/>
  <c r="O107" i="30" s="1"/>
  <c r="L107" i="30"/>
  <c r="K107" i="30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O24" i="30" s="1"/>
  <c r="N105" i="30"/>
  <c r="K105" i="30"/>
  <c r="L105" i="30" s="1"/>
  <c r="L24" i="30" s="1"/>
  <c r="I105" i="30"/>
  <c r="H105" i="30"/>
  <c r="E105" i="30"/>
  <c r="F105" i="30" s="1"/>
  <c r="F24" i="30" s="1"/>
  <c r="N104" i="30"/>
  <c r="O104" i="30" s="1"/>
  <c r="L104" i="30"/>
  <c r="K104" i="30"/>
  <c r="H104" i="30"/>
  <c r="I104" i="30" s="1"/>
  <c r="E104" i="30"/>
  <c r="F104" i="30" s="1"/>
  <c r="O103" i="30"/>
  <c r="N103" i="30"/>
  <c r="K103" i="30"/>
  <c r="L103" i="30" s="1"/>
  <c r="L22" i="30" s="1"/>
  <c r="I103" i="30"/>
  <c r="H103" i="30"/>
  <c r="E103" i="30"/>
  <c r="F103" i="30" s="1"/>
  <c r="F22" i="30" s="1"/>
  <c r="N102" i="30"/>
  <c r="O102" i="30" s="1"/>
  <c r="K102" i="30"/>
  <c r="L102" i="30" s="1"/>
  <c r="H102" i="30"/>
  <c r="I102" i="30" s="1"/>
  <c r="E102" i="30"/>
  <c r="F102" i="30" s="1"/>
  <c r="N101" i="30"/>
  <c r="O101" i="30" s="1"/>
  <c r="L101" i="30"/>
  <c r="K101" i="30"/>
  <c r="I101" i="30"/>
  <c r="H101" i="30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L99" i="30"/>
  <c r="K99" i="30"/>
  <c r="I99" i="30"/>
  <c r="H99" i="30"/>
  <c r="E99" i="30"/>
  <c r="F99" i="30" s="1"/>
  <c r="N98" i="30"/>
  <c r="L98" i="30"/>
  <c r="K98" i="30"/>
  <c r="H98" i="30"/>
  <c r="H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L89" i="30"/>
  <c r="K89" i="30"/>
  <c r="H89" i="30"/>
  <c r="I89" i="30" s="1"/>
  <c r="E89" i="30"/>
  <c r="F89" i="30" s="1"/>
  <c r="N88" i="30"/>
  <c r="O88" i="30" s="1"/>
  <c r="K88" i="30"/>
  <c r="L88" i="30" s="1"/>
  <c r="H88" i="30"/>
  <c r="I88" i="30" s="1"/>
  <c r="E88" i="30"/>
  <c r="F88" i="30" s="1"/>
  <c r="O87" i="30"/>
  <c r="N87" i="30"/>
  <c r="L87" i="30"/>
  <c r="K87" i="30"/>
  <c r="I87" i="30"/>
  <c r="H87" i="30"/>
  <c r="E87" i="30"/>
  <c r="F87" i="30" s="1"/>
  <c r="N86" i="30"/>
  <c r="O86" i="30" s="1"/>
  <c r="O20" i="30" s="1"/>
  <c r="K86" i="30"/>
  <c r="L86" i="30" s="1"/>
  <c r="L20" i="30" s="1"/>
  <c r="H86" i="30"/>
  <c r="H20" i="30" s="1"/>
  <c r="E86" i="30"/>
  <c r="F86" i="30" s="1"/>
  <c r="F20" i="30" s="1"/>
  <c r="O85" i="30"/>
  <c r="N85" i="30"/>
  <c r="K85" i="30"/>
  <c r="L85" i="30" s="1"/>
  <c r="H85" i="30"/>
  <c r="I85" i="30" s="1"/>
  <c r="E85" i="30"/>
  <c r="F85" i="30" s="1"/>
  <c r="O84" i="30"/>
  <c r="N84" i="30"/>
  <c r="K84" i="30"/>
  <c r="L84" i="30" s="1"/>
  <c r="H84" i="30"/>
  <c r="I84" i="30" s="1"/>
  <c r="E84" i="30"/>
  <c r="F84" i="30" s="1"/>
  <c r="N83" i="30"/>
  <c r="O83" i="30" s="1"/>
  <c r="K83" i="30"/>
  <c r="L83" i="30" s="1"/>
  <c r="I83" i="30"/>
  <c r="H83" i="30"/>
  <c r="E83" i="30"/>
  <c r="F83" i="30" s="1"/>
  <c r="O82" i="30"/>
  <c r="N82" i="30"/>
  <c r="L82" i="30"/>
  <c r="K82" i="30"/>
  <c r="H82" i="30"/>
  <c r="I82" i="30" s="1"/>
  <c r="E82" i="30"/>
  <c r="F82" i="30" s="1"/>
  <c r="N81" i="30"/>
  <c r="O81" i="30" s="1"/>
  <c r="K81" i="30"/>
  <c r="L81" i="30" s="1"/>
  <c r="H81" i="30"/>
  <c r="I81" i="30" s="1"/>
  <c r="E81" i="30"/>
  <c r="F81" i="30" s="1"/>
  <c r="N80" i="30"/>
  <c r="O80" i="30" s="1"/>
  <c r="L80" i="30"/>
  <c r="K80" i="30"/>
  <c r="H80" i="30"/>
  <c r="I80" i="30" s="1"/>
  <c r="E80" i="30"/>
  <c r="F80" i="30" s="1"/>
  <c r="O79" i="30"/>
  <c r="N79" i="30"/>
  <c r="K79" i="30"/>
  <c r="L79" i="30" s="1"/>
  <c r="I79" i="30"/>
  <c r="H79" i="30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K77" i="30"/>
  <c r="L77" i="30" s="1"/>
  <c r="H77" i="30"/>
  <c r="I77" i="30" s="1"/>
  <c r="E77" i="30"/>
  <c r="F77" i="30" s="1"/>
  <c r="O76" i="30"/>
  <c r="N76" i="30"/>
  <c r="K76" i="30"/>
  <c r="L76" i="30" s="1"/>
  <c r="H76" i="30"/>
  <c r="I76" i="30" s="1"/>
  <c r="E76" i="30"/>
  <c r="F76" i="30" s="1"/>
  <c r="N75" i="30"/>
  <c r="O75" i="30" s="1"/>
  <c r="K75" i="30"/>
  <c r="L75" i="30" s="1"/>
  <c r="I75" i="30"/>
  <c r="H75" i="30"/>
  <c r="E75" i="30"/>
  <c r="F75" i="30" s="1"/>
  <c r="O74" i="30"/>
  <c r="N74" i="30"/>
  <c r="K74" i="30"/>
  <c r="L74" i="30" s="1"/>
  <c r="H74" i="30"/>
  <c r="I74" i="30" s="1"/>
  <c r="E74" i="30"/>
  <c r="F74" i="30" s="1"/>
  <c r="O73" i="30"/>
  <c r="N73" i="30"/>
  <c r="L73" i="30"/>
  <c r="L29" i="30" s="1"/>
  <c r="K73" i="30"/>
  <c r="H73" i="30"/>
  <c r="I73" i="30" s="1"/>
  <c r="E73" i="30"/>
  <c r="F73" i="30" s="1"/>
  <c r="N72" i="30"/>
  <c r="O72" i="30" s="1"/>
  <c r="O26" i="30" s="1"/>
  <c r="K72" i="30"/>
  <c r="K26" i="30" s="1"/>
  <c r="H72" i="30"/>
  <c r="I72" i="30" s="1"/>
  <c r="I26" i="30" s="1"/>
  <c r="E72" i="30"/>
  <c r="F72" i="30" s="1"/>
  <c r="F26" i="30" s="1"/>
  <c r="O71" i="30"/>
  <c r="N71" i="30"/>
  <c r="L71" i="30"/>
  <c r="K71" i="30"/>
  <c r="I71" i="30"/>
  <c r="H71" i="30"/>
  <c r="E71" i="30"/>
  <c r="E91" i="30" s="1"/>
  <c r="M69" i="30"/>
  <c r="J69" i="30"/>
  <c r="G69" i="30"/>
  <c r="D69" i="30"/>
  <c r="B69" i="30"/>
  <c r="M68" i="30"/>
  <c r="G68" i="30"/>
  <c r="B64" i="30"/>
  <c r="N63" i="30"/>
  <c r="O63" i="30" s="1"/>
  <c r="K63" i="30"/>
  <c r="L63" i="30" s="1"/>
  <c r="H63" i="30"/>
  <c r="I63" i="30" s="1"/>
  <c r="E63" i="30"/>
  <c r="F63" i="30" s="1"/>
  <c r="O62" i="30"/>
  <c r="N62" i="30"/>
  <c r="L62" i="30"/>
  <c r="K62" i="30"/>
  <c r="H62" i="30"/>
  <c r="I62" i="30" s="1"/>
  <c r="E62" i="30"/>
  <c r="F62" i="30" s="1"/>
  <c r="N61" i="30"/>
  <c r="O61" i="30" s="1"/>
  <c r="K61" i="30"/>
  <c r="L61" i="30" s="1"/>
  <c r="H61" i="30"/>
  <c r="I61" i="30" s="1"/>
  <c r="E61" i="30"/>
  <c r="F61" i="30" s="1"/>
  <c r="N60" i="30"/>
  <c r="O60" i="30" s="1"/>
  <c r="L60" i="30"/>
  <c r="K60" i="30"/>
  <c r="I60" i="30"/>
  <c r="H60" i="30"/>
  <c r="E60" i="30"/>
  <c r="F60" i="30" s="1"/>
  <c r="N59" i="30"/>
  <c r="O59" i="30" s="1"/>
  <c r="L59" i="30"/>
  <c r="K59" i="30"/>
  <c r="H59" i="30"/>
  <c r="I59" i="30" s="1"/>
  <c r="E59" i="30"/>
  <c r="F59" i="30" s="1"/>
  <c r="O58" i="30"/>
  <c r="N58" i="30"/>
  <c r="K58" i="30"/>
  <c r="L58" i="30" s="1"/>
  <c r="I58" i="30"/>
  <c r="H58" i="30"/>
  <c r="E58" i="30"/>
  <c r="F58" i="30" s="1"/>
  <c r="N57" i="30"/>
  <c r="O57" i="30" s="1"/>
  <c r="L57" i="30"/>
  <c r="K57" i="30"/>
  <c r="H57" i="30"/>
  <c r="I57" i="30" s="1"/>
  <c r="E57" i="30"/>
  <c r="F57" i="30" s="1"/>
  <c r="O56" i="30"/>
  <c r="N56" i="30"/>
  <c r="K56" i="30"/>
  <c r="L56" i="30" s="1"/>
  <c r="I56" i="30"/>
  <c r="H56" i="30"/>
  <c r="E56" i="30"/>
  <c r="F56" i="30" s="1"/>
  <c r="N55" i="30"/>
  <c r="O55" i="30" s="1"/>
  <c r="K55" i="30"/>
  <c r="L55" i="30" s="1"/>
  <c r="H55" i="30"/>
  <c r="I55" i="30" s="1"/>
  <c r="E55" i="30"/>
  <c r="F55" i="30" s="1"/>
  <c r="N54" i="30"/>
  <c r="O54" i="30" s="1"/>
  <c r="L54" i="30"/>
  <c r="K54" i="30"/>
  <c r="I54" i="30"/>
  <c r="H54" i="30"/>
  <c r="E54" i="30"/>
  <c r="F54" i="30" s="1"/>
  <c r="N53" i="30"/>
  <c r="O53" i="30" s="1"/>
  <c r="K53" i="30"/>
  <c r="L53" i="30" s="1"/>
  <c r="H53" i="30"/>
  <c r="I53" i="30" s="1"/>
  <c r="E53" i="30"/>
  <c r="F53" i="30" s="1"/>
  <c r="N52" i="30"/>
  <c r="O52" i="30" s="1"/>
  <c r="L52" i="30"/>
  <c r="K52" i="30"/>
  <c r="I52" i="30"/>
  <c r="H52" i="30"/>
  <c r="E52" i="30"/>
  <c r="F52" i="30" s="1"/>
  <c r="N51" i="30"/>
  <c r="O51" i="30" s="1"/>
  <c r="L51" i="30"/>
  <c r="K51" i="30"/>
  <c r="H51" i="30"/>
  <c r="I51" i="30" s="1"/>
  <c r="E51" i="30"/>
  <c r="F51" i="30" s="1"/>
  <c r="O50" i="30"/>
  <c r="N50" i="30"/>
  <c r="K50" i="30"/>
  <c r="L50" i="30" s="1"/>
  <c r="I50" i="30"/>
  <c r="H50" i="30"/>
  <c r="E50" i="30"/>
  <c r="F50" i="30" s="1"/>
  <c r="N49" i="30"/>
  <c r="O49" i="30" s="1"/>
  <c r="L49" i="30"/>
  <c r="K49" i="30"/>
  <c r="H49" i="30"/>
  <c r="I49" i="30" s="1"/>
  <c r="E49" i="30"/>
  <c r="F49" i="30" s="1"/>
  <c r="O48" i="30"/>
  <c r="N48" i="30"/>
  <c r="K48" i="30"/>
  <c r="L48" i="30" s="1"/>
  <c r="I48" i="30"/>
  <c r="H48" i="30"/>
  <c r="E48" i="30"/>
  <c r="F48" i="30" s="1"/>
  <c r="N47" i="30"/>
  <c r="O47" i="30" s="1"/>
  <c r="O31" i="30" s="1"/>
  <c r="K47" i="30"/>
  <c r="L47" i="30" s="1"/>
  <c r="L31" i="30" s="1"/>
  <c r="H47" i="30"/>
  <c r="I47" i="30" s="1"/>
  <c r="I31" i="30" s="1"/>
  <c r="E47" i="30"/>
  <c r="F47" i="30" s="1"/>
  <c r="F31" i="30" s="1"/>
  <c r="N46" i="30"/>
  <c r="O46" i="30" s="1"/>
  <c r="O27" i="30" s="1"/>
  <c r="L46" i="30"/>
  <c r="K46" i="30"/>
  <c r="I46" i="30"/>
  <c r="H46" i="30"/>
  <c r="E46" i="30"/>
  <c r="F46" i="30" s="1"/>
  <c r="F27" i="30" s="1"/>
  <c r="N45" i="30"/>
  <c r="O45" i="30" s="1"/>
  <c r="O25" i="30" s="1"/>
  <c r="K45" i="30"/>
  <c r="K25" i="30" s="1"/>
  <c r="H45" i="30"/>
  <c r="I45" i="30" s="1"/>
  <c r="I25" i="30" s="1"/>
  <c r="E45" i="30"/>
  <c r="F45" i="30" s="1"/>
  <c r="F25" i="30" s="1"/>
  <c r="N44" i="30"/>
  <c r="N64" i="30" s="1"/>
  <c r="L44" i="30"/>
  <c r="K44" i="30"/>
  <c r="I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N31" i="30"/>
  <c r="M31" i="30"/>
  <c r="K31" i="30"/>
  <c r="J31" i="30"/>
  <c r="G31" i="30"/>
  <c r="E31" i="30"/>
  <c r="D31" i="30"/>
  <c r="C31" i="30"/>
  <c r="B31" i="30"/>
  <c r="N30" i="30"/>
  <c r="M30" i="30"/>
  <c r="J30" i="30"/>
  <c r="H30" i="30"/>
  <c r="G30" i="30"/>
  <c r="E30" i="30"/>
  <c r="D30" i="30"/>
  <c r="C30" i="30"/>
  <c r="B30" i="30"/>
  <c r="O29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I28" i="30"/>
  <c r="H28" i="30"/>
  <c r="G28" i="30"/>
  <c r="E28" i="30"/>
  <c r="D28" i="30"/>
  <c r="C28" i="30"/>
  <c r="B28" i="30"/>
  <c r="N27" i="30"/>
  <c r="M27" i="30"/>
  <c r="L27" i="30"/>
  <c r="K27" i="30"/>
  <c r="J27" i="30"/>
  <c r="I27" i="30"/>
  <c r="H27" i="30"/>
  <c r="G27" i="30"/>
  <c r="E27" i="30"/>
  <c r="D27" i="30"/>
  <c r="C27" i="30"/>
  <c r="B27" i="30"/>
  <c r="M26" i="30"/>
  <c r="J26" i="30"/>
  <c r="H26" i="30"/>
  <c r="G26" i="30"/>
  <c r="E26" i="30"/>
  <c r="D26" i="30"/>
  <c r="C26" i="30"/>
  <c r="B26" i="30"/>
  <c r="N25" i="30"/>
  <c r="M25" i="30"/>
  <c r="J25" i="30"/>
  <c r="H25" i="30"/>
  <c r="G25" i="30"/>
  <c r="E25" i="30"/>
  <c r="D25" i="30"/>
  <c r="C25" i="30"/>
  <c r="B25" i="30"/>
  <c r="N24" i="30"/>
  <c r="M24" i="30"/>
  <c r="K24" i="30"/>
  <c r="J24" i="30"/>
  <c r="I24" i="30"/>
  <c r="H24" i="30"/>
  <c r="G24" i="30"/>
  <c r="E24" i="30"/>
  <c r="D24" i="30"/>
  <c r="C24" i="30"/>
  <c r="B24" i="30"/>
  <c r="N23" i="30"/>
  <c r="M23" i="30"/>
  <c r="L23" i="30"/>
  <c r="K23" i="30"/>
  <c r="J23" i="30"/>
  <c r="I23" i="30"/>
  <c r="H23" i="30"/>
  <c r="G23" i="30"/>
  <c r="E23" i="30"/>
  <c r="D23" i="30"/>
  <c r="C23" i="30"/>
  <c r="B23" i="30"/>
  <c r="O22" i="30"/>
  <c r="N22" i="30"/>
  <c r="M22" i="30"/>
  <c r="J22" i="30"/>
  <c r="I22" i="30"/>
  <c r="H22" i="30"/>
  <c r="G22" i="30"/>
  <c r="E22" i="30"/>
  <c r="D22" i="30"/>
  <c r="C22" i="30"/>
  <c r="B22" i="30"/>
  <c r="N21" i="30"/>
  <c r="M21" i="30"/>
  <c r="L21" i="30"/>
  <c r="K21" i="30"/>
  <c r="J21" i="30"/>
  <c r="H21" i="30"/>
  <c r="G21" i="30"/>
  <c r="F21" i="30"/>
  <c r="E21" i="30"/>
  <c r="D21" i="30"/>
  <c r="C21" i="30"/>
  <c r="B21" i="30"/>
  <c r="M20" i="30"/>
  <c r="K20" i="30"/>
  <c r="J20" i="30"/>
  <c r="G20" i="30"/>
  <c r="E20" i="30"/>
  <c r="D20" i="30"/>
  <c r="C20" i="30"/>
  <c r="B20" i="30"/>
  <c r="O19" i="30"/>
  <c r="N19" i="30"/>
  <c r="M19" i="30"/>
  <c r="K19" i="30"/>
  <c r="J19" i="30"/>
  <c r="H19" i="30"/>
  <c r="G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E18" i="30"/>
  <c r="D18" i="30"/>
  <c r="C18" i="30"/>
  <c r="B18" i="30"/>
  <c r="O17" i="30"/>
  <c r="N17" i="30"/>
  <c r="M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L199" i="29" s="1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O169" i="29"/>
  <c r="N169" i="29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O153" i="29"/>
  <c r="N153" i="29"/>
  <c r="L153" i="29"/>
  <c r="K153" i="29"/>
  <c r="H153" i="29"/>
  <c r="I153" i="29" s="1"/>
  <c r="F153" i="29"/>
  <c r="E153" i="29"/>
  <c r="N152" i="29"/>
  <c r="N172" i="29" s="1"/>
  <c r="K152" i="29"/>
  <c r="H152" i="29"/>
  <c r="H172" i="29" s="1"/>
  <c r="F152" i="29"/>
  <c r="E152" i="29"/>
  <c r="E172" i="29" s="1"/>
  <c r="M150" i="29"/>
  <c r="J150" i="29"/>
  <c r="G150" i="29"/>
  <c r="D150" i="29"/>
  <c r="B150" i="29"/>
  <c r="M149" i="29"/>
  <c r="G149" i="29"/>
  <c r="B145" i="29"/>
  <c r="N144" i="29"/>
  <c r="O144" i="29" s="1"/>
  <c r="O18" i="29" s="1"/>
  <c r="L144" i="29"/>
  <c r="L18" i="29" s="1"/>
  <c r="K144" i="29"/>
  <c r="I144" i="29"/>
  <c r="H144" i="29"/>
  <c r="F144" i="29"/>
  <c r="F18" i="29" s="1"/>
  <c r="E144" i="29"/>
  <c r="N143" i="29"/>
  <c r="O143" i="29" s="1"/>
  <c r="L143" i="29"/>
  <c r="K143" i="29"/>
  <c r="I143" i="29"/>
  <c r="H143" i="29"/>
  <c r="F143" i="29"/>
  <c r="E143" i="29"/>
  <c r="N142" i="29"/>
  <c r="O142" i="29" s="1"/>
  <c r="L142" i="29"/>
  <c r="K142" i="29"/>
  <c r="I142" i="29"/>
  <c r="H142" i="29"/>
  <c r="F142" i="29"/>
  <c r="E142" i="29"/>
  <c r="N141" i="29"/>
  <c r="O141" i="29" s="1"/>
  <c r="L141" i="29"/>
  <c r="K141" i="29"/>
  <c r="I141" i="29"/>
  <c r="H141" i="29"/>
  <c r="F141" i="29"/>
  <c r="E141" i="29"/>
  <c r="N140" i="29"/>
  <c r="O140" i="29" s="1"/>
  <c r="L140" i="29"/>
  <c r="K140" i="29"/>
  <c r="I140" i="29"/>
  <c r="H140" i="29"/>
  <c r="F140" i="29"/>
  <c r="E140" i="29"/>
  <c r="N139" i="29"/>
  <c r="O139" i="29" s="1"/>
  <c r="L139" i="29"/>
  <c r="K139" i="29"/>
  <c r="I139" i="29"/>
  <c r="H139" i="29"/>
  <c r="F139" i="29"/>
  <c r="E139" i="29"/>
  <c r="N138" i="29"/>
  <c r="O138" i="29" s="1"/>
  <c r="L138" i="29"/>
  <c r="K138" i="29"/>
  <c r="I138" i="29"/>
  <c r="H138" i="29"/>
  <c r="F138" i="29"/>
  <c r="E138" i="29"/>
  <c r="N137" i="29"/>
  <c r="O137" i="29" s="1"/>
  <c r="L137" i="29"/>
  <c r="K137" i="29"/>
  <c r="I137" i="29"/>
  <c r="H137" i="29"/>
  <c r="F137" i="29"/>
  <c r="E137" i="29"/>
  <c r="N136" i="29"/>
  <c r="O136" i="29" s="1"/>
  <c r="L136" i="29"/>
  <c r="K136" i="29"/>
  <c r="I136" i="29"/>
  <c r="H136" i="29"/>
  <c r="F136" i="29"/>
  <c r="E136" i="29"/>
  <c r="N135" i="29"/>
  <c r="O135" i="29" s="1"/>
  <c r="L135" i="29"/>
  <c r="K135" i="29"/>
  <c r="I135" i="29"/>
  <c r="H135" i="29"/>
  <c r="E135" i="29"/>
  <c r="F135" i="29" s="1"/>
  <c r="O134" i="29"/>
  <c r="N134" i="29"/>
  <c r="K134" i="29"/>
  <c r="L134" i="29" s="1"/>
  <c r="H134" i="29"/>
  <c r="I134" i="29" s="1"/>
  <c r="E134" i="29"/>
  <c r="F134" i="29" s="1"/>
  <c r="N133" i="29"/>
  <c r="O133" i="29" s="1"/>
  <c r="K133" i="29"/>
  <c r="L133" i="29" s="1"/>
  <c r="I133" i="29"/>
  <c r="H133" i="29"/>
  <c r="E133" i="29"/>
  <c r="F133" i="29" s="1"/>
  <c r="N132" i="29"/>
  <c r="O132" i="29" s="1"/>
  <c r="L132" i="29"/>
  <c r="K132" i="29"/>
  <c r="H132" i="29"/>
  <c r="I132" i="29" s="1"/>
  <c r="E132" i="29"/>
  <c r="F132" i="29" s="1"/>
  <c r="N131" i="29"/>
  <c r="O131" i="29" s="1"/>
  <c r="K131" i="29"/>
  <c r="L131" i="29" s="1"/>
  <c r="I131" i="29"/>
  <c r="H131" i="29"/>
  <c r="E131" i="29"/>
  <c r="F131" i="29" s="1"/>
  <c r="N130" i="29"/>
  <c r="O130" i="29" s="1"/>
  <c r="K130" i="29"/>
  <c r="L130" i="29" s="1"/>
  <c r="H130" i="29"/>
  <c r="I130" i="29" s="1"/>
  <c r="E130" i="29"/>
  <c r="F130" i="29" s="1"/>
  <c r="O129" i="29"/>
  <c r="N129" i="29"/>
  <c r="K129" i="29"/>
  <c r="L129" i="29" s="1"/>
  <c r="I129" i="29"/>
  <c r="H129" i="29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L127" i="29"/>
  <c r="K127" i="29"/>
  <c r="I127" i="29"/>
  <c r="H127" i="29"/>
  <c r="F127" i="29"/>
  <c r="E127" i="29"/>
  <c r="N126" i="29"/>
  <c r="O126" i="29" s="1"/>
  <c r="L126" i="29"/>
  <c r="K126" i="29"/>
  <c r="I126" i="29"/>
  <c r="H126" i="29"/>
  <c r="F126" i="29"/>
  <c r="E126" i="29"/>
  <c r="N125" i="29"/>
  <c r="N145" i="29" s="1"/>
  <c r="L125" i="29"/>
  <c r="K125" i="29"/>
  <c r="I125" i="29"/>
  <c r="H125" i="29"/>
  <c r="F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H117" i="29"/>
  <c r="I117" i="29" s="1"/>
  <c r="E117" i="29"/>
  <c r="F117" i="29" s="1"/>
  <c r="N116" i="29"/>
  <c r="O116" i="29" s="1"/>
  <c r="L116" i="29"/>
  <c r="K116" i="29"/>
  <c r="H116" i="29"/>
  <c r="I116" i="29" s="1"/>
  <c r="E116" i="29"/>
  <c r="F116" i="29" s="1"/>
  <c r="N115" i="29"/>
  <c r="O115" i="29" s="1"/>
  <c r="L115" i="29"/>
  <c r="K115" i="29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O112" i="29"/>
  <c r="N112" i="29"/>
  <c r="K112" i="29"/>
  <c r="L112" i="29" s="1"/>
  <c r="H112" i="29"/>
  <c r="I112" i="29" s="1"/>
  <c r="E112" i="29"/>
  <c r="F112" i="29" s="1"/>
  <c r="N111" i="29"/>
  <c r="O111" i="29" s="1"/>
  <c r="K111" i="29"/>
  <c r="L111" i="29" s="1"/>
  <c r="I111" i="29"/>
  <c r="H111" i="29"/>
  <c r="E111" i="29"/>
  <c r="F111" i="29" s="1"/>
  <c r="N110" i="29"/>
  <c r="O110" i="29" s="1"/>
  <c r="L110" i="29"/>
  <c r="K110" i="29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L108" i="29"/>
  <c r="K108" i="29"/>
  <c r="H108" i="29"/>
  <c r="I108" i="29" s="1"/>
  <c r="E108" i="29"/>
  <c r="F108" i="29" s="1"/>
  <c r="N107" i="29"/>
  <c r="O107" i="29" s="1"/>
  <c r="L107" i="29"/>
  <c r="K107" i="29"/>
  <c r="I107" i="29"/>
  <c r="H107" i="29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H105" i="29"/>
  <c r="I105" i="29" s="1"/>
  <c r="E105" i="29"/>
  <c r="F105" i="29" s="1"/>
  <c r="N104" i="29"/>
  <c r="O104" i="29" s="1"/>
  <c r="K104" i="29"/>
  <c r="L104" i="29" s="1"/>
  <c r="H104" i="29"/>
  <c r="I104" i="29" s="1"/>
  <c r="E104" i="29"/>
  <c r="F104" i="29" s="1"/>
  <c r="N103" i="29"/>
  <c r="O103" i="29" s="1"/>
  <c r="K103" i="29"/>
  <c r="L103" i="29" s="1"/>
  <c r="I103" i="29"/>
  <c r="H103" i="29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L101" i="29"/>
  <c r="K101" i="29"/>
  <c r="H101" i="29"/>
  <c r="I101" i="29" s="1"/>
  <c r="E101" i="29"/>
  <c r="F101" i="29" s="1"/>
  <c r="N100" i="29"/>
  <c r="O100" i="29" s="1"/>
  <c r="L100" i="29"/>
  <c r="K100" i="29"/>
  <c r="H100" i="29"/>
  <c r="I100" i="29" s="1"/>
  <c r="E100" i="29"/>
  <c r="F100" i="29" s="1"/>
  <c r="N99" i="29"/>
  <c r="O99" i="29" s="1"/>
  <c r="L99" i="29"/>
  <c r="K99" i="29"/>
  <c r="I99" i="29"/>
  <c r="H99" i="29"/>
  <c r="E99" i="29"/>
  <c r="F99" i="29" s="1"/>
  <c r="N98" i="29"/>
  <c r="K98" i="29"/>
  <c r="K118" i="29" s="1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K89" i="29"/>
  <c r="L89" i="29" s="1"/>
  <c r="H89" i="29"/>
  <c r="I89" i="29" s="1"/>
  <c r="E89" i="29"/>
  <c r="F89" i="29" s="1"/>
  <c r="O88" i="29"/>
  <c r="N88" i="29"/>
  <c r="K88" i="29"/>
  <c r="L88" i="29" s="1"/>
  <c r="I88" i="29"/>
  <c r="H88" i="29"/>
  <c r="E88" i="29"/>
  <c r="F88" i="29" s="1"/>
  <c r="N87" i="29"/>
  <c r="O87" i="29" s="1"/>
  <c r="L87" i="29"/>
  <c r="K87" i="29"/>
  <c r="H87" i="29"/>
  <c r="I87" i="29" s="1"/>
  <c r="E87" i="29"/>
  <c r="F87" i="29" s="1"/>
  <c r="O86" i="29"/>
  <c r="N86" i="29"/>
  <c r="L86" i="29"/>
  <c r="K86" i="29"/>
  <c r="H86" i="29"/>
  <c r="I86" i="29" s="1"/>
  <c r="E86" i="29"/>
  <c r="F86" i="29" s="1"/>
  <c r="N85" i="29"/>
  <c r="N19" i="29" s="1"/>
  <c r="L85" i="29"/>
  <c r="K85" i="29"/>
  <c r="H85" i="29"/>
  <c r="I85" i="29" s="1"/>
  <c r="I19" i="29" s="1"/>
  <c r="E85" i="29"/>
  <c r="F85" i="29" s="1"/>
  <c r="O84" i="29"/>
  <c r="N84" i="29"/>
  <c r="L84" i="29"/>
  <c r="K84" i="29"/>
  <c r="I84" i="29"/>
  <c r="H84" i="29"/>
  <c r="E84" i="29"/>
  <c r="F84" i="29" s="1"/>
  <c r="O83" i="29"/>
  <c r="N83" i="29"/>
  <c r="K83" i="29"/>
  <c r="L83" i="29" s="1"/>
  <c r="H83" i="29"/>
  <c r="I83" i="29" s="1"/>
  <c r="E83" i="29"/>
  <c r="F83" i="29" s="1"/>
  <c r="O82" i="29"/>
  <c r="N82" i="29"/>
  <c r="K82" i="29"/>
  <c r="K21" i="29" s="1"/>
  <c r="H82" i="29"/>
  <c r="I82" i="29" s="1"/>
  <c r="I21" i="29" s="1"/>
  <c r="E82" i="29"/>
  <c r="F82" i="29" s="1"/>
  <c r="N81" i="29"/>
  <c r="O81" i="29" s="1"/>
  <c r="K81" i="29"/>
  <c r="L81" i="29" s="1"/>
  <c r="H81" i="29"/>
  <c r="I81" i="29" s="1"/>
  <c r="E81" i="29"/>
  <c r="F81" i="29" s="1"/>
  <c r="N80" i="29"/>
  <c r="N20" i="29" s="1"/>
  <c r="K80" i="29"/>
  <c r="L80" i="29" s="1"/>
  <c r="L20" i="29" s="1"/>
  <c r="I80" i="29"/>
  <c r="H80" i="29"/>
  <c r="E80" i="29"/>
  <c r="F80" i="29" s="1"/>
  <c r="O79" i="29"/>
  <c r="N79" i="29"/>
  <c r="L79" i="29"/>
  <c r="K79" i="29"/>
  <c r="H79" i="29"/>
  <c r="I79" i="29" s="1"/>
  <c r="E79" i="29"/>
  <c r="F79" i="29" s="1"/>
  <c r="N78" i="29"/>
  <c r="O78" i="29" s="1"/>
  <c r="L78" i="29"/>
  <c r="K78" i="29"/>
  <c r="H78" i="29"/>
  <c r="I78" i="29" s="1"/>
  <c r="E78" i="29"/>
  <c r="F78" i="29" s="1"/>
  <c r="O77" i="29"/>
  <c r="N77" i="29"/>
  <c r="L77" i="29"/>
  <c r="K77" i="29"/>
  <c r="H77" i="29"/>
  <c r="I77" i="29" s="1"/>
  <c r="E77" i="29"/>
  <c r="F77" i="29" s="1"/>
  <c r="N76" i="29"/>
  <c r="O76" i="29" s="1"/>
  <c r="L76" i="29"/>
  <c r="K76" i="29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K74" i="29"/>
  <c r="L74" i="29" s="1"/>
  <c r="H74" i="29"/>
  <c r="I74" i="29" s="1"/>
  <c r="E74" i="29"/>
  <c r="F74" i="29" s="1"/>
  <c r="O73" i="29"/>
  <c r="N73" i="29"/>
  <c r="K73" i="29"/>
  <c r="L73" i="29" s="1"/>
  <c r="H73" i="29"/>
  <c r="I73" i="29" s="1"/>
  <c r="E73" i="29"/>
  <c r="F73" i="29" s="1"/>
  <c r="O72" i="29"/>
  <c r="N72" i="29"/>
  <c r="K72" i="29"/>
  <c r="L72" i="29" s="1"/>
  <c r="L17" i="29" s="1"/>
  <c r="I72" i="29"/>
  <c r="H72" i="29"/>
  <c r="E72" i="29"/>
  <c r="F72" i="29" s="1"/>
  <c r="N71" i="29"/>
  <c r="N91" i="29" s="1"/>
  <c r="L71" i="29"/>
  <c r="K71" i="29"/>
  <c r="H71" i="29"/>
  <c r="H91" i="29" s="1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H63" i="29"/>
  <c r="I63" i="29" s="1"/>
  <c r="E63" i="29"/>
  <c r="F63" i="29" s="1"/>
  <c r="N62" i="29"/>
  <c r="O62" i="29" s="1"/>
  <c r="L62" i="29"/>
  <c r="K62" i="29"/>
  <c r="H62" i="29"/>
  <c r="I62" i="29" s="1"/>
  <c r="E62" i="29"/>
  <c r="F62" i="29" s="1"/>
  <c r="O61" i="29"/>
  <c r="N61" i="29"/>
  <c r="L61" i="29"/>
  <c r="K61" i="29"/>
  <c r="I61" i="29"/>
  <c r="H61" i="29"/>
  <c r="E61" i="29"/>
  <c r="F61" i="29" s="1"/>
  <c r="O60" i="29"/>
  <c r="N60" i="29"/>
  <c r="K60" i="29"/>
  <c r="L60" i="29" s="1"/>
  <c r="H60" i="29"/>
  <c r="I60" i="29" s="1"/>
  <c r="E60" i="29"/>
  <c r="F60" i="29" s="1"/>
  <c r="O59" i="29"/>
  <c r="N59" i="29"/>
  <c r="K59" i="29"/>
  <c r="L59" i="29" s="1"/>
  <c r="H59" i="29"/>
  <c r="I59" i="29" s="1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K57" i="29"/>
  <c r="L57" i="29" s="1"/>
  <c r="I57" i="29"/>
  <c r="H57" i="29"/>
  <c r="E57" i="29"/>
  <c r="F57" i="29" s="1"/>
  <c r="O56" i="29"/>
  <c r="N56" i="29"/>
  <c r="L56" i="29"/>
  <c r="K56" i="29"/>
  <c r="H56" i="29"/>
  <c r="I56" i="29" s="1"/>
  <c r="E56" i="29"/>
  <c r="F56" i="29" s="1"/>
  <c r="N55" i="29"/>
  <c r="O55" i="29" s="1"/>
  <c r="L55" i="29"/>
  <c r="K55" i="29"/>
  <c r="H55" i="29"/>
  <c r="I55" i="29" s="1"/>
  <c r="E55" i="29"/>
  <c r="F55" i="29" s="1"/>
  <c r="O54" i="29"/>
  <c r="N54" i="29"/>
  <c r="L54" i="29"/>
  <c r="K54" i="29"/>
  <c r="H54" i="29"/>
  <c r="I54" i="29" s="1"/>
  <c r="E54" i="29"/>
  <c r="F54" i="29" s="1"/>
  <c r="N53" i="29"/>
  <c r="O53" i="29" s="1"/>
  <c r="L53" i="29"/>
  <c r="K53" i="29"/>
  <c r="I53" i="29"/>
  <c r="H53" i="29"/>
  <c r="E53" i="29"/>
  <c r="F53" i="29" s="1"/>
  <c r="N52" i="29"/>
  <c r="O52" i="29" s="1"/>
  <c r="K52" i="29"/>
  <c r="L52" i="29" s="1"/>
  <c r="H52" i="29"/>
  <c r="I52" i="29" s="1"/>
  <c r="E52" i="29"/>
  <c r="F52" i="29" s="1"/>
  <c r="N51" i="29"/>
  <c r="O51" i="29" s="1"/>
  <c r="K51" i="29"/>
  <c r="L51" i="29" s="1"/>
  <c r="H51" i="29"/>
  <c r="I51" i="29" s="1"/>
  <c r="E51" i="29"/>
  <c r="F51" i="29" s="1"/>
  <c r="O50" i="29"/>
  <c r="N50" i="29"/>
  <c r="K50" i="29"/>
  <c r="L50" i="29" s="1"/>
  <c r="H50" i="29"/>
  <c r="I50" i="29" s="1"/>
  <c r="E50" i="29"/>
  <c r="F50" i="29" s="1"/>
  <c r="O49" i="29"/>
  <c r="N49" i="29"/>
  <c r="K49" i="29"/>
  <c r="L49" i="29" s="1"/>
  <c r="I49" i="29"/>
  <c r="H49" i="29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L47" i="29"/>
  <c r="K47" i="29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L45" i="29"/>
  <c r="K45" i="29"/>
  <c r="I45" i="29"/>
  <c r="H45" i="29"/>
  <c r="E45" i="29"/>
  <c r="F45" i="29" s="1"/>
  <c r="O44" i="29"/>
  <c r="N44" i="29"/>
  <c r="K44" i="29"/>
  <c r="H44" i="29"/>
  <c r="H64" i="29" s="1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J21" i="29"/>
  <c r="H21" i="29"/>
  <c r="G21" i="29"/>
  <c r="F21" i="29"/>
  <c r="E21" i="29"/>
  <c r="D21" i="29"/>
  <c r="C21" i="29"/>
  <c r="B21" i="29"/>
  <c r="M20" i="29"/>
  <c r="K20" i="29"/>
  <c r="J20" i="29"/>
  <c r="I20" i="29"/>
  <c r="H20" i="29"/>
  <c r="G20" i="29"/>
  <c r="F20" i="29"/>
  <c r="E20" i="29"/>
  <c r="D20" i="29"/>
  <c r="C20" i="29"/>
  <c r="B20" i="29"/>
  <c r="M19" i="29"/>
  <c r="L19" i="29"/>
  <c r="K19" i="29"/>
  <c r="J19" i="29"/>
  <c r="H19" i="29"/>
  <c r="G19" i="29"/>
  <c r="F19" i="29"/>
  <c r="E19" i="29"/>
  <c r="D19" i="29"/>
  <c r="C19" i="29"/>
  <c r="B19" i="29"/>
  <c r="N18" i="29"/>
  <c r="M18" i="29"/>
  <c r="K18" i="29"/>
  <c r="J18" i="29"/>
  <c r="I18" i="29"/>
  <c r="H18" i="29"/>
  <c r="G18" i="29"/>
  <c r="E18" i="29"/>
  <c r="D18" i="29"/>
  <c r="C18" i="29"/>
  <c r="B18" i="29"/>
  <c r="O17" i="29"/>
  <c r="N17" i="29"/>
  <c r="M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O171" i="28"/>
  <c r="N171" i="28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K166" i="28"/>
  <c r="L166" i="28" s="1"/>
  <c r="H166" i="28"/>
  <c r="I166" i="28" s="1"/>
  <c r="F166" i="28"/>
  <c r="E166" i="28"/>
  <c r="O165" i="28"/>
  <c r="N165" i="28"/>
  <c r="K165" i="28"/>
  <c r="L165" i="28" s="1"/>
  <c r="H165" i="28"/>
  <c r="I165" i="28" s="1"/>
  <c r="F165" i="28"/>
  <c r="E165" i="28"/>
  <c r="O164" i="28"/>
  <c r="N164" i="28"/>
  <c r="K164" i="28"/>
  <c r="L164" i="28" s="1"/>
  <c r="H164" i="28"/>
  <c r="I164" i="28" s="1"/>
  <c r="F164" i="28"/>
  <c r="E164" i="28"/>
  <c r="O163" i="28"/>
  <c r="N163" i="28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O158" i="28"/>
  <c r="N158" i="28"/>
  <c r="K158" i="28"/>
  <c r="L158" i="28" s="1"/>
  <c r="H158" i="28"/>
  <c r="I158" i="28" s="1"/>
  <c r="F158" i="28"/>
  <c r="E158" i="28"/>
  <c r="O157" i="28"/>
  <c r="N157" i="28"/>
  <c r="K157" i="28"/>
  <c r="L157" i="28" s="1"/>
  <c r="H157" i="28"/>
  <c r="I157" i="28" s="1"/>
  <c r="F157" i="28"/>
  <c r="E157" i="28"/>
  <c r="O156" i="28"/>
  <c r="N156" i="28"/>
  <c r="K156" i="28"/>
  <c r="L156" i="28" s="1"/>
  <c r="H156" i="28"/>
  <c r="I156" i="28" s="1"/>
  <c r="F156" i="28"/>
  <c r="E156" i="28"/>
  <c r="O155" i="28"/>
  <c r="N155" i="28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O143" i="28"/>
  <c r="N143" i="28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O139" i="28"/>
  <c r="N139" i="28"/>
  <c r="K139" i="28"/>
  <c r="L139" i="28" s="1"/>
  <c r="H139" i="28"/>
  <c r="I139" i="28" s="1"/>
  <c r="F139" i="28"/>
  <c r="E139" i="28"/>
  <c r="O138" i="28"/>
  <c r="N138" i="28"/>
  <c r="K138" i="28"/>
  <c r="L138" i="28" s="1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N135" i="28"/>
  <c r="O135" i="28" s="1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N133" i="28"/>
  <c r="O133" i="28" s="1"/>
  <c r="L133" i="28"/>
  <c r="K133" i="28"/>
  <c r="H133" i="28"/>
  <c r="I133" i="28" s="1"/>
  <c r="F133" i="28"/>
  <c r="E133" i="28"/>
  <c r="O132" i="28"/>
  <c r="N132" i="28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O127" i="28"/>
  <c r="N127" i="28"/>
  <c r="K127" i="28"/>
  <c r="L127" i="28" s="1"/>
  <c r="H127" i="28"/>
  <c r="I127" i="28" s="1"/>
  <c r="F127" i="28"/>
  <c r="E127" i="28"/>
  <c r="O126" i="28"/>
  <c r="N126" i="28"/>
  <c r="K126" i="28"/>
  <c r="L126" i="28" s="1"/>
  <c r="H126" i="28"/>
  <c r="I126" i="28" s="1"/>
  <c r="F126" i="28"/>
  <c r="E126" i="28"/>
  <c r="O125" i="28"/>
  <c r="N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N115" i="28"/>
  <c r="O115" i="28" s="1"/>
  <c r="K115" i="28"/>
  <c r="L115" i="28" s="1"/>
  <c r="H115" i="28"/>
  <c r="I115" i="28" s="1"/>
  <c r="F115" i="28"/>
  <c r="E115" i="28"/>
  <c r="N114" i="28"/>
  <c r="O114" i="28" s="1"/>
  <c r="L114" i="28"/>
  <c r="K114" i="28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N112" i="28"/>
  <c r="O112" i="28" s="1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N110" i="28"/>
  <c r="O110" i="28" s="1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O108" i="28"/>
  <c r="N108" i="28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O106" i="28"/>
  <c r="N106" i="28"/>
  <c r="L106" i="28"/>
  <c r="K106" i="28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H98" i="28"/>
  <c r="H118" i="28" s="1"/>
  <c r="F98" i="28"/>
  <c r="F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O88" i="28"/>
  <c r="N88" i="28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O19" i="28" s="1"/>
  <c r="K85" i="28"/>
  <c r="L85" i="28" s="1"/>
  <c r="L19" i="28" s="1"/>
  <c r="H85" i="28"/>
  <c r="I85" i="28" s="1"/>
  <c r="I19" i="28" s="1"/>
  <c r="F85" i="28"/>
  <c r="F19" i="28" s="1"/>
  <c r="E85" i="28"/>
  <c r="O84" i="28"/>
  <c r="N84" i="28"/>
  <c r="L84" i="28"/>
  <c r="K84" i="28"/>
  <c r="H84" i="28"/>
  <c r="I84" i="28" s="1"/>
  <c r="F84" i="28"/>
  <c r="E84" i="28"/>
  <c r="N83" i="28"/>
  <c r="O83" i="28" s="1"/>
  <c r="K83" i="28"/>
  <c r="L83" i="28" s="1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O80" i="28"/>
  <c r="N80" i="28"/>
  <c r="L80" i="28"/>
  <c r="K80" i="28"/>
  <c r="H80" i="28"/>
  <c r="I80" i="28" s="1"/>
  <c r="F80" i="28"/>
  <c r="E80" i="28"/>
  <c r="O79" i="28"/>
  <c r="N79" i="28"/>
  <c r="K79" i="28"/>
  <c r="L79" i="28" s="1"/>
  <c r="L20" i="28" s="1"/>
  <c r="H79" i="28"/>
  <c r="I79" i="28" s="1"/>
  <c r="I20" i="28" s="1"/>
  <c r="F79" i="28"/>
  <c r="F20" i="28" s="1"/>
  <c r="E79" i="28"/>
  <c r="N78" i="28"/>
  <c r="O78" i="28" s="1"/>
  <c r="L78" i="28"/>
  <c r="K78" i="28"/>
  <c r="H78" i="28"/>
  <c r="I78" i="28" s="1"/>
  <c r="F78" i="28"/>
  <c r="E78" i="28"/>
  <c r="O77" i="28"/>
  <c r="N77" i="28"/>
  <c r="K77" i="28"/>
  <c r="L77" i="28" s="1"/>
  <c r="H77" i="28"/>
  <c r="I77" i="28" s="1"/>
  <c r="F77" i="28"/>
  <c r="E77" i="28"/>
  <c r="O76" i="28"/>
  <c r="O21" i="28" s="1"/>
  <c r="N76" i="28"/>
  <c r="L76" i="28"/>
  <c r="K76" i="28"/>
  <c r="H76" i="28"/>
  <c r="I76" i="28" s="1"/>
  <c r="I21" i="28" s="1"/>
  <c r="F76" i="28"/>
  <c r="E76" i="28"/>
  <c r="N75" i="28"/>
  <c r="O75" i="28" s="1"/>
  <c r="K75" i="28"/>
  <c r="L75" i="28" s="1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O72" i="28"/>
  <c r="N72" i="28"/>
  <c r="L72" i="28"/>
  <c r="K72" i="28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L63" i="28"/>
  <c r="K63" i="28"/>
  <c r="H63" i="28"/>
  <c r="I63" i="28" s="1"/>
  <c r="F63" i="28"/>
  <c r="E63" i="28"/>
  <c r="O62" i="28"/>
  <c r="N62" i="28"/>
  <c r="K62" i="28"/>
  <c r="L62" i="28" s="1"/>
  <c r="H62" i="28"/>
  <c r="I62" i="28" s="1"/>
  <c r="F62" i="28"/>
  <c r="E62" i="28"/>
  <c r="O61" i="28"/>
  <c r="N61" i="28"/>
  <c r="K61" i="28"/>
  <c r="L61" i="28" s="1"/>
  <c r="H61" i="28"/>
  <c r="I61" i="28" s="1"/>
  <c r="F61" i="28"/>
  <c r="E61" i="28"/>
  <c r="O60" i="28"/>
  <c r="N60" i="28"/>
  <c r="K60" i="28"/>
  <c r="L60" i="28" s="1"/>
  <c r="H60" i="28"/>
  <c r="I60" i="28" s="1"/>
  <c r="F60" i="28"/>
  <c r="E60" i="28"/>
  <c r="O59" i="28"/>
  <c r="N59" i="28"/>
  <c r="L59" i="28"/>
  <c r="K59" i="28"/>
  <c r="H59" i="28"/>
  <c r="I59" i="28" s="1"/>
  <c r="F59" i="28"/>
  <c r="E59" i="28"/>
  <c r="N58" i="28"/>
  <c r="O58" i="28" s="1"/>
  <c r="K58" i="28"/>
  <c r="L58" i="28" s="1"/>
  <c r="H58" i="28"/>
  <c r="I58" i="28" s="1"/>
  <c r="F58" i="28"/>
  <c r="E58" i="28"/>
  <c r="O57" i="28"/>
  <c r="N57" i="28"/>
  <c r="L57" i="28"/>
  <c r="K57" i="28"/>
  <c r="H57" i="28"/>
  <c r="I57" i="28" s="1"/>
  <c r="F57" i="28"/>
  <c r="E57" i="28"/>
  <c r="O56" i="28"/>
  <c r="N56" i="28"/>
  <c r="L56" i="28"/>
  <c r="K56" i="28"/>
  <c r="H56" i="28"/>
  <c r="I56" i="28" s="1"/>
  <c r="F56" i="28"/>
  <c r="E56" i="28"/>
  <c r="N55" i="28"/>
  <c r="O55" i="28" s="1"/>
  <c r="L55" i="28"/>
  <c r="K55" i="28"/>
  <c r="H55" i="28"/>
  <c r="I55" i="28" s="1"/>
  <c r="F55" i="28"/>
  <c r="E55" i="28"/>
  <c r="O54" i="28"/>
  <c r="N54" i="28"/>
  <c r="K54" i="28"/>
  <c r="L54" i="28" s="1"/>
  <c r="H54" i="28"/>
  <c r="I54" i="28" s="1"/>
  <c r="F54" i="28"/>
  <c r="E54" i="28"/>
  <c r="O53" i="28"/>
  <c r="O17" i="28" s="1"/>
  <c r="N53" i="28"/>
  <c r="K53" i="28"/>
  <c r="L53" i="28" s="1"/>
  <c r="L17" i="28" s="1"/>
  <c r="H53" i="28"/>
  <c r="I53" i="28" s="1"/>
  <c r="I17" i="28" s="1"/>
  <c r="F53" i="28"/>
  <c r="F17" i="28" s="1"/>
  <c r="E53" i="28"/>
  <c r="O52" i="28"/>
  <c r="N52" i="28"/>
  <c r="L52" i="28"/>
  <c r="K52" i="28"/>
  <c r="H52" i="28"/>
  <c r="I52" i="28" s="1"/>
  <c r="F52" i="28"/>
  <c r="E52" i="28"/>
  <c r="N51" i="28"/>
  <c r="O51" i="28" s="1"/>
  <c r="L51" i="28"/>
  <c r="K51" i="28"/>
  <c r="H51" i="28"/>
  <c r="I51" i="28" s="1"/>
  <c r="F51" i="28"/>
  <c r="E51" i="28"/>
  <c r="O50" i="28"/>
  <c r="N50" i="28"/>
  <c r="K50" i="28"/>
  <c r="L50" i="28" s="1"/>
  <c r="H50" i="28"/>
  <c r="I50" i="28" s="1"/>
  <c r="F50" i="28"/>
  <c r="E50" i="28"/>
  <c r="O49" i="28"/>
  <c r="N49" i="28"/>
  <c r="K49" i="28"/>
  <c r="L49" i="28" s="1"/>
  <c r="H49" i="28"/>
  <c r="I49" i="28" s="1"/>
  <c r="F49" i="28"/>
  <c r="E49" i="28"/>
  <c r="O48" i="28"/>
  <c r="N48" i="28"/>
  <c r="L48" i="28"/>
  <c r="K48" i="28"/>
  <c r="H48" i="28"/>
  <c r="I48" i="28" s="1"/>
  <c r="F48" i="28"/>
  <c r="E48" i="28"/>
  <c r="N47" i="28"/>
  <c r="O47" i="28" s="1"/>
  <c r="L47" i="28"/>
  <c r="K47" i="28"/>
  <c r="H47" i="28"/>
  <c r="I47" i="28" s="1"/>
  <c r="F47" i="28"/>
  <c r="E47" i="28"/>
  <c r="N46" i="28"/>
  <c r="O46" i="28" s="1"/>
  <c r="K46" i="28"/>
  <c r="L46" i="28" s="1"/>
  <c r="H46" i="28"/>
  <c r="I46" i="28" s="1"/>
  <c r="F46" i="28"/>
  <c r="E46" i="28"/>
  <c r="O45" i="28"/>
  <c r="N45" i="28"/>
  <c r="K45" i="28"/>
  <c r="L45" i="28" s="1"/>
  <c r="L18" i="28" s="1"/>
  <c r="H45" i="28"/>
  <c r="I45" i="28" s="1"/>
  <c r="I18" i="28" s="1"/>
  <c r="F45" i="28"/>
  <c r="F18" i="28" s="1"/>
  <c r="E45" i="28"/>
  <c r="N44" i="28"/>
  <c r="L44" i="28"/>
  <c r="K44" i="28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O20" i="28"/>
  <c r="N20" i="28"/>
  <c r="M20" i="28"/>
  <c r="K20" i="28"/>
  <c r="J20" i="28"/>
  <c r="H20" i="28"/>
  <c r="G20" i="28"/>
  <c r="E20" i="28"/>
  <c r="D20" i="28"/>
  <c r="C20" i="28"/>
  <c r="B20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I181" i="27"/>
  <c r="H181" i="27"/>
  <c r="F181" i="27"/>
  <c r="E181" i="27"/>
  <c r="N180" i="27"/>
  <c r="O180" i="27" s="1"/>
  <c r="K180" i="27"/>
  <c r="L180" i="27" s="1"/>
  <c r="I180" i="27"/>
  <c r="H180" i="27"/>
  <c r="F180" i="27"/>
  <c r="E180" i="27"/>
  <c r="N179" i="27"/>
  <c r="K179" i="27"/>
  <c r="K199" i="27" s="1"/>
  <c r="I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K171" i="27"/>
  <c r="L171" i="27" s="1"/>
  <c r="H171" i="27"/>
  <c r="I171" i="27" s="1"/>
  <c r="F171" i="27"/>
  <c r="E171" i="27"/>
  <c r="N170" i="27"/>
  <c r="O170" i="27" s="1"/>
  <c r="O21" i="27" s="1"/>
  <c r="K170" i="27"/>
  <c r="L170" i="27" s="1"/>
  <c r="L21" i="27" s="1"/>
  <c r="H170" i="27"/>
  <c r="I170" i="27" s="1"/>
  <c r="I21" i="27" s="1"/>
  <c r="F170" i="27"/>
  <c r="F21" i="27" s="1"/>
  <c r="E170" i="27"/>
  <c r="N169" i="27"/>
  <c r="O169" i="27" s="1"/>
  <c r="L169" i="27"/>
  <c r="K169" i="27"/>
  <c r="H169" i="27"/>
  <c r="I169" i="27" s="1"/>
  <c r="F169" i="27"/>
  <c r="E169" i="27"/>
  <c r="O168" i="27"/>
  <c r="N168" i="27"/>
  <c r="L168" i="27"/>
  <c r="K168" i="27"/>
  <c r="H168" i="27"/>
  <c r="I168" i="27" s="1"/>
  <c r="F168" i="27"/>
  <c r="E168" i="27"/>
  <c r="N167" i="27"/>
  <c r="O167" i="27" s="1"/>
  <c r="K167" i="27"/>
  <c r="L167" i="27" s="1"/>
  <c r="H167" i="27"/>
  <c r="I167" i="27" s="1"/>
  <c r="F167" i="27"/>
  <c r="E167" i="27"/>
  <c r="N166" i="27"/>
  <c r="O166" i="27" s="1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O164" i="27"/>
  <c r="N164" i="27"/>
  <c r="L164" i="27"/>
  <c r="K164" i="27"/>
  <c r="H164" i="27"/>
  <c r="I164" i="27" s="1"/>
  <c r="F164" i="27"/>
  <c r="E164" i="27"/>
  <c r="N163" i="27"/>
  <c r="O163" i="27" s="1"/>
  <c r="K163" i="27"/>
  <c r="L163" i="27" s="1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L161" i="27"/>
  <c r="K161" i="27"/>
  <c r="H161" i="27"/>
  <c r="I161" i="27" s="1"/>
  <c r="F161" i="27"/>
  <c r="E161" i="27"/>
  <c r="O160" i="27"/>
  <c r="N160" i="27"/>
  <c r="L160" i="27"/>
  <c r="K160" i="27"/>
  <c r="H160" i="27"/>
  <c r="I160" i="27" s="1"/>
  <c r="F160" i="27"/>
  <c r="E160" i="27"/>
  <c r="N159" i="27"/>
  <c r="O159" i="27" s="1"/>
  <c r="K159" i="27"/>
  <c r="L159" i="27" s="1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O156" i="27"/>
  <c r="N156" i="27"/>
  <c r="L156" i="27"/>
  <c r="K156" i="27"/>
  <c r="H156" i="27"/>
  <c r="I156" i="27" s="1"/>
  <c r="F156" i="27"/>
  <c r="E156" i="27"/>
  <c r="N155" i="27"/>
  <c r="O155" i="27" s="1"/>
  <c r="K155" i="27"/>
  <c r="L155" i="27" s="1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L153" i="27"/>
  <c r="K153" i="27"/>
  <c r="H153" i="27"/>
  <c r="I153" i="27" s="1"/>
  <c r="F153" i="27"/>
  <c r="E153" i="27"/>
  <c r="O152" i="27"/>
  <c r="N152" i="27"/>
  <c r="L152" i="27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K144" i="27"/>
  <c r="L144" i="27" s="1"/>
  <c r="H144" i="27"/>
  <c r="I144" i="27" s="1"/>
  <c r="E144" i="27"/>
  <c r="F144" i="27" s="1"/>
  <c r="O143" i="27"/>
  <c r="N143" i="27"/>
  <c r="L143" i="27"/>
  <c r="K143" i="27"/>
  <c r="H143" i="27"/>
  <c r="I143" i="27" s="1"/>
  <c r="E143" i="27"/>
  <c r="F143" i="27" s="1"/>
  <c r="N142" i="27"/>
  <c r="O142" i="27" s="1"/>
  <c r="K142" i="27"/>
  <c r="L142" i="27" s="1"/>
  <c r="I142" i="27"/>
  <c r="H142" i="27"/>
  <c r="E142" i="27"/>
  <c r="F142" i="27" s="1"/>
  <c r="O141" i="27"/>
  <c r="N141" i="27"/>
  <c r="K141" i="27"/>
  <c r="L141" i="27" s="1"/>
  <c r="H141" i="27"/>
  <c r="I141" i="27" s="1"/>
  <c r="E141" i="27"/>
  <c r="F141" i="27" s="1"/>
  <c r="O140" i="27"/>
  <c r="N140" i="27"/>
  <c r="L140" i="27"/>
  <c r="K140" i="27"/>
  <c r="H140" i="27"/>
  <c r="I140" i="27" s="1"/>
  <c r="E140" i="27"/>
  <c r="F140" i="27" s="1"/>
  <c r="N139" i="27"/>
  <c r="O139" i="27" s="1"/>
  <c r="K139" i="27"/>
  <c r="L139" i="27" s="1"/>
  <c r="H139" i="27"/>
  <c r="I139" i="27" s="1"/>
  <c r="E139" i="27"/>
  <c r="F139" i="27" s="1"/>
  <c r="O138" i="27"/>
  <c r="N138" i="27"/>
  <c r="L138" i="27"/>
  <c r="K138" i="27"/>
  <c r="I138" i="27"/>
  <c r="H138" i="27"/>
  <c r="E138" i="27"/>
  <c r="F138" i="27" s="1"/>
  <c r="N137" i="27"/>
  <c r="O137" i="27" s="1"/>
  <c r="K137" i="27"/>
  <c r="L137" i="27" s="1"/>
  <c r="H137" i="27"/>
  <c r="I137" i="27" s="1"/>
  <c r="E137" i="27"/>
  <c r="F137" i="27" s="1"/>
  <c r="O136" i="27"/>
  <c r="N136" i="27"/>
  <c r="L136" i="27"/>
  <c r="K136" i="27"/>
  <c r="H136" i="27"/>
  <c r="I136" i="27" s="1"/>
  <c r="E136" i="27"/>
  <c r="F136" i="27" s="1"/>
  <c r="N135" i="27"/>
  <c r="O135" i="27" s="1"/>
  <c r="K135" i="27"/>
  <c r="L135" i="27" s="1"/>
  <c r="H135" i="27"/>
  <c r="I135" i="27" s="1"/>
  <c r="E135" i="27"/>
  <c r="F135" i="27" s="1"/>
  <c r="N134" i="27"/>
  <c r="O134" i="27" s="1"/>
  <c r="L134" i="27"/>
  <c r="K134" i="27"/>
  <c r="I134" i="27"/>
  <c r="H134" i="27"/>
  <c r="E134" i="27"/>
  <c r="F134" i="27" s="1"/>
  <c r="N133" i="27"/>
  <c r="O133" i="27" s="1"/>
  <c r="L133" i="27"/>
  <c r="K133" i="27"/>
  <c r="H133" i="27"/>
  <c r="I133" i="27" s="1"/>
  <c r="E133" i="27"/>
  <c r="F133" i="27" s="1"/>
  <c r="O132" i="27"/>
  <c r="N132" i="27"/>
  <c r="K132" i="27"/>
  <c r="L132" i="27" s="1"/>
  <c r="H132" i="27"/>
  <c r="I132" i="27" s="1"/>
  <c r="E132" i="27"/>
  <c r="F132" i="27" s="1"/>
  <c r="O131" i="27"/>
  <c r="N131" i="27"/>
  <c r="L131" i="27"/>
  <c r="K131" i="27"/>
  <c r="H131" i="27"/>
  <c r="I131" i="27" s="1"/>
  <c r="E131" i="27"/>
  <c r="F131" i="27" s="1"/>
  <c r="N130" i="27"/>
  <c r="O130" i="27" s="1"/>
  <c r="K130" i="27"/>
  <c r="L130" i="27" s="1"/>
  <c r="I130" i="27"/>
  <c r="H130" i="27"/>
  <c r="E130" i="27"/>
  <c r="F130" i="27" s="1"/>
  <c r="O129" i="27"/>
  <c r="N129" i="27"/>
  <c r="L129" i="27"/>
  <c r="K129" i="27"/>
  <c r="H129" i="27"/>
  <c r="I129" i="27" s="1"/>
  <c r="E129" i="27"/>
  <c r="F129" i="27" s="1"/>
  <c r="N128" i="27"/>
  <c r="O128" i="27" s="1"/>
  <c r="K128" i="27"/>
  <c r="L128" i="27" s="1"/>
  <c r="H128" i="27"/>
  <c r="I128" i="27" s="1"/>
  <c r="E128" i="27"/>
  <c r="F128" i="27" s="1"/>
  <c r="O127" i="27"/>
  <c r="N127" i="27"/>
  <c r="L127" i="27"/>
  <c r="K127" i="27"/>
  <c r="H127" i="27"/>
  <c r="I127" i="27" s="1"/>
  <c r="E127" i="27"/>
  <c r="F127" i="27" s="1"/>
  <c r="N126" i="27"/>
  <c r="O126" i="27" s="1"/>
  <c r="K126" i="27"/>
  <c r="L126" i="27" s="1"/>
  <c r="I126" i="27"/>
  <c r="H126" i="27"/>
  <c r="E126" i="27"/>
  <c r="F126" i="27" s="1"/>
  <c r="O125" i="27"/>
  <c r="N125" i="27"/>
  <c r="K125" i="27"/>
  <c r="H125" i="27"/>
  <c r="H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F114" i="27"/>
  <c r="E114" i="27"/>
  <c r="N113" i="27"/>
  <c r="O113" i="27" s="1"/>
  <c r="L113" i="27"/>
  <c r="K113" i="27"/>
  <c r="H113" i="27"/>
  <c r="I113" i="27" s="1"/>
  <c r="F113" i="27"/>
  <c r="E113" i="27"/>
  <c r="O112" i="27"/>
  <c r="N112" i="27"/>
  <c r="K112" i="27"/>
  <c r="L112" i="27" s="1"/>
  <c r="H112" i="27"/>
  <c r="I112" i="27" s="1"/>
  <c r="F112" i="27"/>
  <c r="E112" i="27"/>
  <c r="O111" i="27"/>
  <c r="N111" i="27"/>
  <c r="K111" i="27"/>
  <c r="L111" i="27" s="1"/>
  <c r="H111" i="27"/>
  <c r="I111" i="27" s="1"/>
  <c r="F111" i="27"/>
  <c r="E111" i="27"/>
  <c r="O110" i="27"/>
  <c r="N110" i="27"/>
  <c r="L110" i="27"/>
  <c r="K110" i="27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I107" i="27" s="1"/>
  <c r="F107" i="27"/>
  <c r="E107" i="27"/>
  <c r="O106" i="27"/>
  <c r="N106" i="27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O104" i="27"/>
  <c r="N104" i="27"/>
  <c r="K104" i="27"/>
  <c r="L104" i="27" s="1"/>
  <c r="H104" i="27"/>
  <c r="I104" i="27" s="1"/>
  <c r="F104" i="27"/>
  <c r="E104" i="27"/>
  <c r="O103" i="27"/>
  <c r="N103" i="27"/>
  <c r="K103" i="27"/>
  <c r="L103" i="27" s="1"/>
  <c r="H103" i="27"/>
  <c r="I103" i="27" s="1"/>
  <c r="F103" i="27"/>
  <c r="E103" i="27"/>
  <c r="O102" i="27"/>
  <c r="N102" i="27"/>
  <c r="L102" i="27"/>
  <c r="K102" i="27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H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K90" i="27"/>
  <c r="L90" i="27" s="1"/>
  <c r="H90" i="27"/>
  <c r="I90" i="27" s="1"/>
  <c r="E90" i="27"/>
  <c r="F90" i="27" s="1"/>
  <c r="N89" i="27"/>
  <c r="O89" i="27" s="1"/>
  <c r="L89" i="27"/>
  <c r="K89" i="27"/>
  <c r="I89" i="27"/>
  <c r="H89" i="27"/>
  <c r="E89" i="27"/>
  <c r="F89" i="27" s="1"/>
  <c r="N88" i="27"/>
  <c r="O88" i="27" s="1"/>
  <c r="L88" i="27"/>
  <c r="K88" i="27"/>
  <c r="H88" i="27"/>
  <c r="I88" i="27" s="1"/>
  <c r="E88" i="27"/>
  <c r="F88" i="27" s="1"/>
  <c r="O87" i="27"/>
  <c r="N87" i="27"/>
  <c r="K87" i="27"/>
  <c r="L87" i="27" s="1"/>
  <c r="L20" i="27" s="1"/>
  <c r="I87" i="27"/>
  <c r="H87" i="27"/>
  <c r="E87" i="27"/>
  <c r="F87" i="27" s="1"/>
  <c r="F20" i="27" s="1"/>
  <c r="O86" i="27"/>
  <c r="N86" i="27"/>
  <c r="L86" i="27"/>
  <c r="K86" i="27"/>
  <c r="H86" i="27"/>
  <c r="I86" i="27" s="1"/>
  <c r="E86" i="27"/>
  <c r="F86" i="27" s="1"/>
  <c r="O85" i="27"/>
  <c r="N85" i="27"/>
  <c r="K85" i="27"/>
  <c r="L85" i="27" s="1"/>
  <c r="I85" i="27"/>
  <c r="H85" i="27"/>
  <c r="E85" i="27"/>
  <c r="F85" i="27" s="1"/>
  <c r="O84" i="27"/>
  <c r="N84" i="27"/>
  <c r="L84" i="27"/>
  <c r="K84" i="27"/>
  <c r="H84" i="27"/>
  <c r="I84" i="27" s="1"/>
  <c r="E84" i="27"/>
  <c r="F84" i="27" s="1"/>
  <c r="O83" i="27"/>
  <c r="N83" i="27"/>
  <c r="L83" i="27"/>
  <c r="K83" i="27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I81" i="27"/>
  <c r="H81" i="27"/>
  <c r="E81" i="27"/>
  <c r="F81" i="27" s="1"/>
  <c r="N80" i="27"/>
  <c r="O80" i="27" s="1"/>
  <c r="O19" i="27" s="1"/>
  <c r="L80" i="27"/>
  <c r="K80" i="27"/>
  <c r="H80" i="27"/>
  <c r="I80" i="27" s="1"/>
  <c r="I19" i="27" s="1"/>
  <c r="E80" i="27"/>
  <c r="F80" i="27" s="1"/>
  <c r="F19" i="27" s="1"/>
  <c r="O79" i="27"/>
  <c r="N79" i="27"/>
  <c r="K79" i="27"/>
  <c r="L79" i="27" s="1"/>
  <c r="H79" i="27"/>
  <c r="I79" i="27" s="1"/>
  <c r="E79" i="27"/>
  <c r="F79" i="27" s="1"/>
  <c r="N78" i="27"/>
  <c r="O78" i="27" s="1"/>
  <c r="L78" i="27"/>
  <c r="K78" i="27"/>
  <c r="I78" i="27"/>
  <c r="H78" i="27"/>
  <c r="E78" i="27"/>
  <c r="F78" i="27" s="1"/>
  <c r="O77" i="27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I76" i="27" s="1"/>
  <c r="E76" i="27"/>
  <c r="F76" i="27" s="1"/>
  <c r="O75" i="27"/>
  <c r="N75" i="27"/>
  <c r="L75" i="27"/>
  <c r="K75" i="27"/>
  <c r="H75" i="27"/>
  <c r="I75" i="27" s="1"/>
  <c r="E75" i="27"/>
  <c r="F75" i="27" s="1"/>
  <c r="N74" i="27"/>
  <c r="O74" i="27" s="1"/>
  <c r="K74" i="27"/>
  <c r="L74" i="27" s="1"/>
  <c r="I74" i="27"/>
  <c r="H74" i="27"/>
  <c r="E74" i="27"/>
  <c r="F74" i="27" s="1"/>
  <c r="O73" i="27"/>
  <c r="N73" i="27"/>
  <c r="L73" i="27"/>
  <c r="K73" i="27"/>
  <c r="I73" i="27"/>
  <c r="H73" i="27"/>
  <c r="E73" i="27"/>
  <c r="F73" i="27" s="1"/>
  <c r="N72" i="27"/>
  <c r="O72" i="27" s="1"/>
  <c r="L72" i="27"/>
  <c r="K72" i="27"/>
  <c r="H72" i="27"/>
  <c r="I72" i="27" s="1"/>
  <c r="E72" i="27"/>
  <c r="F72" i="27" s="1"/>
  <c r="O71" i="27"/>
  <c r="N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I63" i="27"/>
  <c r="H63" i="27"/>
  <c r="E63" i="27"/>
  <c r="F63" i="27" s="1"/>
  <c r="N62" i="27"/>
  <c r="O62" i="27" s="1"/>
  <c r="K62" i="27"/>
  <c r="L62" i="27" s="1"/>
  <c r="I62" i="27"/>
  <c r="H62" i="27"/>
  <c r="E62" i="27"/>
  <c r="F62" i="27" s="1"/>
  <c r="N61" i="27"/>
  <c r="N18" i="27" s="1"/>
  <c r="L61" i="27"/>
  <c r="K61" i="27"/>
  <c r="H61" i="27"/>
  <c r="I61" i="27" s="1"/>
  <c r="I18" i="27" s="1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L59" i="27"/>
  <c r="K59" i="27"/>
  <c r="I59" i="27"/>
  <c r="H59" i="27"/>
  <c r="E59" i="27"/>
  <c r="F59" i="27" s="1"/>
  <c r="N58" i="27"/>
  <c r="O58" i="27" s="1"/>
  <c r="L58" i="27"/>
  <c r="K58" i="27"/>
  <c r="I58" i="27"/>
  <c r="H58" i="27"/>
  <c r="E58" i="27"/>
  <c r="F58" i="27" s="1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H56" i="27"/>
  <c r="I56" i="27" s="1"/>
  <c r="E56" i="27"/>
  <c r="F56" i="27" s="1"/>
  <c r="N55" i="27"/>
  <c r="O55" i="27" s="1"/>
  <c r="L55" i="27"/>
  <c r="K55" i="27"/>
  <c r="I55" i="27"/>
  <c r="H55" i="27"/>
  <c r="E55" i="27"/>
  <c r="F55" i="27" s="1"/>
  <c r="O54" i="27"/>
  <c r="N54" i="27"/>
  <c r="K54" i="27"/>
  <c r="L54" i="27" s="1"/>
  <c r="I54" i="27"/>
  <c r="H54" i="27"/>
  <c r="E54" i="27"/>
  <c r="F54" i="27" s="1"/>
  <c r="N53" i="27"/>
  <c r="O53" i="27" s="1"/>
  <c r="L53" i="27"/>
  <c r="K53" i="27"/>
  <c r="H53" i="27"/>
  <c r="I53" i="27" s="1"/>
  <c r="E53" i="27"/>
  <c r="F53" i="27" s="1"/>
  <c r="O52" i="27"/>
  <c r="N52" i="27"/>
  <c r="L52" i="27"/>
  <c r="K52" i="27"/>
  <c r="H52" i="27"/>
  <c r="I52" i="27" s="1"/>
  <c r="E52" i="27"/>
  <c r="F52" i="27" s="1"/>
  <c r="N51" i="27"/>
  <c r="O51" i="27" s="1"/>
  <c r="L51" i="27"/>
  <c r="K51" i="27"/>
  <c r="I51" i="27"/>
  <c r="H51" i="27"/>
  <c r="E51" i="27"/>
  <c r="F51" i="27" s="1"/>
  <c r="N50" i="27"/>
  <c r="O50" i="27" s="1"/>
  <c r="O17" i="27" s="1"/>
  <c r="L50" i="27"/>
  <c r="K50" i="27"/>
  <c r="I50" i="27"/>
  <c r="H50" i="27"/>
  <c r="E50" i="27"/>
  <c r="F50" i="27" s="1"/>
  <c r="F17" i="27" s="1"/>
  <c r="O49" i="27"/>
  <c r="N49" i="27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N47" i="27"/>
  <c r="O47" i="27" s="1"/>
  <c r="L47" i="27"/>
  <c r="K47" i="27"/>
  <c r="I47" i="27"/>
  <c r="H47" i="27"/>
  <c r="E47" i="27"/>
  <c r="F47" i="27" s="1"/>
  <c r="O46" i="27"/>
  <c r="N46" i="27"/>
  <c r="L46" i="27"/>
  <c r="K46" i="27"/>
  <c r="I46" i="27"/>
  <c r="H46" i="27"/>
  <c r="E46" i="27"/>
  <c r="F46" i="27" s="1"/>
  <c r="N45" i="27"/>
  <c r="O45" i="27" s="1"/>
  <c r="K45" i="27"/>
  <c r="L45" i="27" s="1"/>
  <c r="H45" i="27"/>
  <c r="I45" i="27" s="1"/>
  <c r="E45" i="27"/>
  <c r="F45" i="27" s="1"/>
  <c r="O44" i="27"/>
  <c r="N44" i="27"/>
  <c r="L44" i="27"/>
  <c r="K44" i="27"/>
  <c r="I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O20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L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F195" i="26"/>
  <c r="E195" i="26"/>
  <c r="N194" i="26"/>
  <c r="O194" i="26" s="1"/>
  <c r="L194" i="26"/>
  <c r="K194" i="26"/>
  <c r="I194" i="26"/>
  <c r="H194" i="26"/>
  <c r="F194" i="26"/>
  <c r="E194" i="26"/>
  <c r="N193" i="26"/>
  <c r="O193" i="26" s="1"/>
  <c r="L193" i="26"/>
  <c r="K193" i="26"/>
  <c r="I193" i="26"/>
  <c r="H193" i="26"/>
  <c r="F193" i="26"/>
  <c r="E193" i="26"/>
  <c r="N192" i="26"/>
  <c r="O192" i="26" s="1"/>
  <c r="L192" i="26"/>
  <c r="K192" i="26"/>
  <c r="I192" i="26"/>
  <c r="H192" i="26"/>
  <c r="F192" i="26"/>
  <c r="E192" i="26"/>
  <c r="N191" i="26"/>
  <c r="O191" i="26" s="1"/>
  <c r="L191" i="26"/>
  <c r="K191" i="26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F189" i="26"/>
  <c r="E189" i="26"/>
  <c r="N188" i="26"/>
  <c r="O188" i="26" s="1"/>
  <c r="L188" i="26"/>
  <c r="K188" i="26"/>
  <c r="I188" i="26"/>
  <c r="H188" i="26"/>
  <c r="F188" i="26"/>
  <c r="E188" i="26"/>
  <c r="N187" i="26"/>
  <c r="O187" i="26" s="1"/>
  <c r="L187" i="26"/>
  <c r="K187" i="26"/>
  <c r="I187" i="26"/>
  <c r="H187" i="26"/>
  <c r="F187" i="26"/>
  <c r="E187" i="26"/>
  <c r="N186" i="26"/>
  <c r="O186" i="26" s="1"/>
  <c r="L186" i="26"/>
  <c r="K186" i="26"/>
  <c r="I186" i="26"/>
  <c r="H186" i="26"/>
  <c r="F186" i="26"/>
  <c r="E186" i="26"/>
  <c r="N185" i="26"/>
  <c r="O185" i="26" s="1"/>
  <c r="L185" i="26"/>
  <c r="K185" i="26"/>
  <c r="I185" i="26"/>
  <c r="H185" i="26"/>
  <c r="F185" i="26"/>
  <c r="E185" i="26"/>
  <c r="N184" i="26"/>
  <c r="O184" i="26" s="1"/>
  <c r="L184" i="26"/>
  <c r="K184" i="26"/>
  <c r="I184" i="26"/>
  <c r="H184" i="26"/>
  <c r="F184" i="26"/>
  <c r="E184" i="26"/>
  <c r="N183" i="26"/>
  <c r="O183" i="26" s="1"/>
  <c r="L183" i="26"/>
  <c r="K183" i="26"/>
  <c r="I183" i="26"/>
  <c r="H183" i="26"/>
  <c r="F183" i="26"/>
  <c r="E183" i="26"/>
  <c r="N182" i="26"/>
  <c r="O182" i="26" s="1"/>
  <c r="L182" i="26"/>
  <c r="K182" i="26"/>
  <c r="I182" i="26"/>
  <c r="H182" i="26"/>
  <c r="F182" i="26"/>
  <c r="E182" i="26"/>
  <c r="N181" i="26"/>
  <c r="O181" i="26" s="1"/>
  <c r="L181" i="26"/>
  <c r="K181" i="26"/>
  <c r="I181" i="26"/>
  <c r="H181" i="26"/>
  <c r="F181" i="26"/>
  <c r="E181" i="26"/>
  <c r="N180" i="26"/>
  <c r="O180" i="26" s="1"/>
  <c r="L180" i="26"/>
  <c r="K180" i="26"/>
  <c r="I180" i="26"/>
  <c r="H180" i="26"/>
  <c r="F180" i="26"/>
  <c r="E180" i="26"/>
  <c r="N179" i="26"/>
  <c r="N199" i="26" s="1"/>
  <c r="L179" i="26"/>
  <c r="L199" i="26" s="1"/>
  <c r="K179" i="26"/>
  <c r="K199" i="26" s="1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O19" i="26" s="1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F164" i="26"/>
  <c r="E164" i="26"/>
  <c r="O163" i="26"/>
  <c r="N163" i="26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O155" i="26"/>
  <c r="N155" i="26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N152" i="26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H144" i="26"/>
  <c r="I144" i="26" s="1"/>
  <c r="F144" i="26"/>
  <c r="E144" i="26"/>
  <c r="N143" i="26"/>
  <c r="O143" i="26" s="1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F142" i="26"/>
  <c r="E142" i="26"/>
  <c r="N141" i="26"/>
  <c r="O141" i="26" s="1"/>
  <c r="K141" i="26"/>
  <c r="L141" i="26" s="1"/>
  <c r="H141" i="26"/>
  <c r="I141" i="26" s="1"/>
  <c r="F141" i="26"/>
  <c r="E141" i="26"/>
  <c r="O140" i="26"/>
  <c r="N140" i="26"/>
  <c r="K140" i="26"/>
  <c r="L140" i="26" s="1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O138" i="26"/>
  <c r="N138" i="26"/>
  <c r="L138" i="26"/>
  <c r="K138" i="26"/>
  <c r="H138" i="26"/>
  <c r="I138" i="26" s="1"/>
  <c r="F138" i="26"/>
  <c r="E138" i="26"/>
  <c r="N137" i="26"/>
  <c r="O137" i="26" s="1"/>
  <c r="K137" i="26"/>
  <c r="L137" i="26" s="1"/>
  <c r="H137" i="26"/>
  <c r="I137" i="26" s="1"/>
  <c r="F137" i="26"/>
  <c r="E137" i="26"/>
  <c r="N136" i="26"/>
  <c r="O136" i="26" s="1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F128" i="26"/>
  <c r="E128" i="26"/>
  <c r="O127" i="26"/>
  <c r="N127" i="26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O125" i="26"/>
  <c r="N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O114" i="26"/>
  <c r="N114" i="26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N111" i="26"/>
  <c r="N31" i="26" s="1"/>
  <c r="K111" i="26"/>
  <c r="L111" i="26" s="1"/>
  <c r="L31" i="26" s="1"/>
  <c r="H111" i="26"/>
  <c r="I111" i="26" s="1"/>
  <c r="I31" i="26" s="1"/>
  <c r="F111" i="26"/>
  <c r="F31" i="26" s="1"/>
  <c r="E111" i="26"/>
  <c r="O110" i="26"/>
  <c r="N110" i="26"/>
  <c r="K110" i="26"/>
  <c r="L110" i="26" s="1"/>
  <c r="L30" i="26" s="1"/>
  <c r="H110" i="26"/>
  <c r="I110" i="26" s="1"/>
  <c r="I30" i="26" s="1"/>
  <c r="F110" i="26"/>
  <c r="F30" i="26" s="1"/>
  <c r="E110" i="26"/>
  <c r="N109" i="26"/>
  <c r="O109" i="26" s="1"/>
  <c r="O29" i="26" s="1"/>
  <c r="K109" i="26"/>
  <c r="L109" i="26" s="1"/>
  <c r="L29" i="26" s="1"/>
  <c r="H109" i="26"/>
  <c r="I109" i="26" s="1"/>
  <c r="I29" i="26" s="1"/>
  <c r="F109" i="26"/>
  <c r="F29" i="26" s="1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O27" i="26" s="1"/>
  <c r="K107" i="26"/>
  <c r="L107" i="26" s="1"/>
  <c r="L27" i="26" s="1"/>
  <c r="H107" i="26"/>
  <c r="I107" i="26" s="1"/>
  <c r="I27" i="26" s="1"/>
  <c r="F107" i="26"/>
  <c r="E107" i="26"/>
  <c r="O106" i="26"/>
  <c r="N106" i="26"/>
  <c r="K106" i="26"/>
  <c r="L106" i="26" s="1"/>
  <c r="H106" i="26"/>
  <c r="I106" i="26" s="1"/>
  <c r="F106" i="26"/>
  <c r="E106" i="26"/>
  <c r="N105" i="26"/>
  <c r="O105" i="26" s="1"/>
  <c r="O25" i="26" s="1"/>
  <c r="K105" i="26"/>
  <c r="L105" i="26" s="1"/>
  <c r="L25" i="26" s="1"/>
  <c r="H105" i="26"/>
  <c r="I105" i="26" s="1"/>
  <c r="I25" i="26" s="1"/>
  <c r="F105" i="26"/>
  <c r="E105" i="26"/>
  <c r="O104" i="26"/>
  <c r="N104" i="26"/>
  <c r="K104" i="26"/>
  <c r="K24" i="26" s="1"/>
  <c r="H104" i="26"/>
  <c r="I104" i="26" s="1"/>
  <c r="I24" i="26" s="1"/>
  <c r="F104" i="26"/>
  <c r="E104" i="26"/>
  <c r="N103" i="26"/>
  <c r="O103" i="26" s="1"/>
  <c r="O23" i="26" s="1"/>
  <c r="K103" i="26"/>
  <c r="L103" i="26" s="1"/>
  <c r="L23" i="26" s="1"/>
  <c r="H103" i="26"/>
  <c r="I103" i="26" s="1"/>
  <c r="I23" i="26" s="1"/>
  <c r="F103" i="26"/>
  <c r="E103" i="26"/>
  <c r="O102" i="26"/>
  <c r="N102" i="26"/>
  <c r="K102" i="26"/>
  <c r="L102" i="26" s="1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O98" i="26"/>
  <c r="N98" i="26"/>
  <c r="L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O88" i="26"/>
  <c r="N88" i="26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L18" i="26" s="1"/>
  <c r="H86" i="26"/>
  <c r="I86" i="26" s="1"/>
  <c r="I18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K84" i="26"/>
  <c r="L84" i="26" s="1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N77" i="26"/>
  <c r="N21" i="26" s="1"/>
  <c r="K77" i="26"/>
  <c r="L77" i="26" s="1"/>
  <c r="L21" i="26" s="1"/>
  <c r="H77" i="26"/>
  <c r="I77" i="26" s="1"/>
  <c r="I21" i="26" s="1"/>
  <c r="F77" i="26"/>
  <c r="E77" i="26"/>
  <c r="O76" i="26"/>
  <c r="N76" i="26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N74" i="26"/>
  <c r="O74" i="26" s="1"/>
  <c r="K74" i="26"/>
  <c r="L74" i="26" s="1"/>
  <c r="H74" i="26"/>
  <c r="I74" i="26" s="1"/>
  <c r="F74" i="26"/>
  <c r="E74" i="26"/>
  <c r="O73" i="26"/>
  <c r="N73" i="26"/>
  <c r="K73" i="26"/>
  <c r="L73" i="26" s="1"/>
  <c r="L32" i="26" s="1"/>
  <c r="H73" i="26"/>
  <c r="I73" i="26" s="1"/>
  <c r="I32" i="26" s="1"/>
  <c r="F73" i="26"/>
  <c r="F32" i="26" s="1"/>
  <c r="E73" i="26"/>
  <c r="N72" i="26"/>
  <c r="O72" i="26" s="1"/>
  <c r="O26" i="26" s="1"/>
  <c r="L72" i="26"/>
  <c r="K72" i="26"/>
  <c r="H72" i="26"/>
  <c r="I72" i="26" s="1"/>
  <c r="I26" i="26" s="1"/>
  <c r="F72" i="26"/>
  <c r="E72" i="26"/>
  <c r="N71" i="26"/>
  <c r="K71" i="26"/>
  <c r="L7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E63" i="26"/>
  <c r="F63" i="26" s="1"/>
  <c r="O62" i="26"/>
  <c r="N62" i="26"/>
  <c r="K62" i="26"/>
  <c r="L62" i="26" s="1"/>
  <c r="H62" i="26"/>
  <c r="I62" i="26" s="1"/>
  <c r="E62" i="26"/>
  <c r="F62" i="26" s="1"/>
  <c r="N61" i="26"/>
  <c r="O61" i="26" s="1"/>
  <c r="K61" i="26"/>
  <c r="L61" i="26" s="1"/>
  <c r="I61" i="26"/>
  <c r="H61" i="26"/>
  <c r="E61" i="26"/>
  <c r="F61" i="26" s="1"/>
  <c r="N60" i="26"/>
  <c r="O60" i="26" s="1"/>
  <c r="O17" i="26" s="1"/>
  <c r="K60" i="26"/>
  <c r="L60" i="26" s="1"/>
  <c r="L17" i="26" s="1"/>
  <c r="H60" i="26"/>
  <c r="I60" i="26" s="1"/>
  <c r="I17" i="26" s="1"/>
  <c r="E60" i="26"/>
  <c r="F60" i="26" s="1"/>
  <c r="F17" i="26" s="1"/>
  <c r="O59" i="26"/>
  <c r="N59" i="26"/>
  <c r="K59" i="26"/>
  <c r="L59" i="26" s="1"/>
  <c r="H59" i="26"/>
  <c r="I59" i="26" s="1"/>
  <c r="E59" i="26"/>
  <c r="F59" i="26" s="1"/>
  <c r="N58" i="26"/>
  <c r="O58" i="26" s="1"/>
  <c r="O22" i="26" s="1"/>
  <c r="K58" i="26"/>
  <c r="L58" i="26" s="1"/>
  <c r="L22" i="26" s="1"/>
  <c r="I58" i="26"/>
  <c r="H58" i="26"/>
  <c r="E58" i="26"/>
  <c r="F58" i="26" s="1"/>
  <c r="F22" i="26" s="1"/>
  <c r="N57" i="26"/>
  <c r="O57" i="26" s="1"/>
  <c r="K57" i="26"/>
  <c r="L57" i="26" s="1"/>
  <c r="I57" i="26"/>
  <c r="H57" i="26"/>
  <c r="E57" i="26"/>
  <c r="F57" i="26" s="1"/>
  <c r="N56" i="26"/>
  <c r="O56" i="26" s="1"/>
  <c r="K56" i="26"/>
  <c r="L56" i="26" s="1"/>
  <c r="H56" i="26"/>
  <c r="I56" i="26" s="1"/>
  <c r="E56" i="26"/>
  <c r="F56" i="26" s="1"/>
  <c r="O55" i="26"/>
  <c r="N55" i="26"/>
  <c r="K55" i="26"/>
  <c r="L55" i="26" s="1"/>
  <c r="H55" i="26"/>
  <c r="I55" i="26" s="1"/>
  <c r="E55" i="26"/>
  <c r="F55" i="26" s="1"/>
  <c r="N54" i="26"/>
  <c r="O54" i="26" s="1"/>
  <c r="K54" i="26"/>
  <c r="L54" i="26" s="1"/>
  <c r="I54" i="26"/>
  <c r="H54" i="26"/>
  <c r="E54" i="26"/>
  <c r="F54" i="26" s="1"/>
  <c r="N53" i="26"/>
  <c r="O53" i="26" s="1"/>
  <c r="K53" i="26"/>
  <c r="L53" i="26" s="1"/>
  <c r="I53" i="26"/>
  <c r="H53" i="26"/>
  <c r="E53" i="26"/>
  <c r="F53" i="26" s="1"/>
  <c r="N52" i="26"/>
  <c r="O52" i="26" s="1"/>
  <c r="K52" i="26"/>
  <c r="L52" i="26" s="1"/>
  <c r="H52" i="26"/>
  <c r="I52" i="26" s="1"/>
  <c r="E52" i="26"/>
  <c r="F52" i="26" s="1"/>
  <c r="O51" i="26"/>
  <c r="N51" i="26"/>
  <c r="K51" i="26"/>
  <c r="L51" i="26" s="1"/>
  <c r="H51" i="26"/>
  <c r="I51" i="26" s="1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H48" i="26"/>
  <c r="I48" i="26" s="1"/>
  <c r="E48" i="26"/>
  <c r="F48" i="26" s="1"/>
  <c r="O47" i="26"/>
  <c r="N47" i="26"/>
  <c r="K47" i="26"/>
  <c r="L47" i="26" s="1"/>
  <c r="H47" i="26"/>
  <c r="I47" i="26" s="1"/>
  <c r="E47" i="26"/>
  <c r="F47" i="26" s="1"/>
  <c r="N46" i="26"/>
  <c r="O46" i="26" s="1"/>
  <c r="K46" i="26"/>
  <c r="L46" i="26" s="1"/>
  <c r="I46" i="26"/>
  <c r="H46" i="26"/>
  <c r="E46" i="26"/>
  <c r="F46" i="26" s="1"/>
  <c r="N45" i="26"/>
  <c r="O45" i="26" s="1"/>
  <c r="K45" i="26"/>
  <c r="L45" i="26" s="1"/>
  <c r="I45" i="26"/>
  <c r="H45" i="26"/>
  <c r="E45" i="26"/>
  <c r="F45" i="26" s="1"/>
  <c r="N44" i="26"/>
  <c r="N64" i="26" s="1"/>
  <c r="K44" i="26"/>
  <c r="H44" i="26"/>
  <c r="H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L26" i="26"/>
  <c r="K26" i="26"/>
  <c r="J26" i="26"/>
  <c r="H26" i="26"/>
  <c r="G26" i="26"/>
  <c r="F26" i="26"/>
  <c r="E26" i="26"/>
  <c r="D26" i="26"/>
  <c r="C26" i="26"/>
  <c r="B26" i="26"/>
  <c r="N25" i="26"/>
  <c r="M25" i="26"/>
  <c r="K25" i="26"/>
  <c r="J25" i="26"/>
  <c r="H25" i="26"/>
  <c r="G25" i="26"/>
  <c r="F25" i="26"/>
  <c r="E25" i="26"/>
  <c r="D25" i="26"/>
  <c r="C25" i="26"/>
  <c r="B25" i="26"/>
  <c r="O24" i="26"/>
  <c r="N24" i="26"/>
  <c r="M24" i="26"/>
  <c r="J24" i="26"/>
  <c r="H24" i="26"/>
  <c r="G24" i="26"/>
  <c r="F24" i="26"/>
  <c r="E24" i="26"/>
  <c r="D24" i="26"/>
  <c r="C24" i="26"/>
  <c r="B24" i="26"/>
  <c r="N23" i="26"/>
  <c r="M23" i="26"/>
  <c r="K23" i="26"/>
  <c r="J23" i="26"/>
  <c r="H23" i="26"/>
  <c r="G23" i="26"/>
  <c r="F23" i="26"/>
  <c r="E23" i="26"/>
  <c r="D23" i="26"/>
  <c r="C23" i="26"/>
  <c r="B23" i="26"/>
  <c r="N22" i="26"/>
  <c r="M22" i="26"/>
  <c r="K22" i="26"/>
  <c r="J22" i="26"/>
  <c r="I22" i="26"/>
  <c r="H22" i="26"/>
  <c r="G22" i="26"/>
  <c r="E22" i="26"/>
  <c r="D22" i="26"/>
  <c r="C22" i="26"/>
  <c r="B22" i="26"/>
  <c r="M21" i="26"/>
  <c r="K21" i="26"/>
  <c r="J21" i="26"/>
  <c r="H21" i="26"/>
  <c r="G21" i="26"/>
  <c r="F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L197" i="25"/>
  <c r="K197" i="25"/>
  <c r="I197" i="25"/>
  <c r="H197" i="25"/>
  <c r="F197" i="25"/>
  <c r="E197" i="25"/>
  <c r="N196" i="25"/>
  <c r="O196" i="25" s="1"/>
  <c r="L196" i="25"/>
  <c r="K196" i="25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N193" i="25"/>
  <c r="O193" i="25" s="1"/>
  <c r="L193" i="25"/>
  <c r="K193" i="25"/>
  <c r="H193" i="25"/>
  <c r="I193" i="25" s="1"/>
  <c r="F193" i="25"/>
  <c r="E193" i="25"/>
  <c r="N192" i="25"/>
  <c r="O192" i="25" s="1"/>
  <c r="L192" i="25"/>
  <c r="K192" i="25"/>
  <c r="H192" i="25"/>
  <c r="I192" i="25" s="1"/>
  <c r="F192" i="25"/>
  <c r="E192" i="25"/>
  <c r="N191" i="25"/>
  <c r="O191" i="25" s="1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L189" i="25"/>
  <c r="K189" i="25"/>
  <c r="I189" i="25"/>
  <c r="H189" i="25"/>
  <c r="F189" i="25"/>
  <c r="E189" i="25"/>
  <c r="N188" i="25"/>
  <c r="O188" i="25" s="1"/>
  <c r="L188" i="25"/>
  <c r="K188" i="25"/>
  <c r="I188" i="25"/>
  <c r="H188" i="25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L185" i="25"/>
  <c r="K185" i="25"/>
  <c r="H185" i="25"/>
  <c r="I185" i="25" s="1"/>
  <c r="F185" i="25"/>
  <c r="E185" i="25"/>
  <c r="N184" i="25"/>
  <c r="O184" i="25" s="1"/>
  <c r="L184" i="25"/>
  <c r="K184" i="25"/>
  <c r="H184" i="25"/>
  <c r="I184" i="25" s="1"/>
  <c r="F184" i="25"/>
  <c r="E184" i="25"/>
  <c r="N183" i="25"/>
  <c r="O183" i="25" s="1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N199" i="25" s="1"/>
  <c r="L179" i="25"/>
  <c r="L199" i="25" s="1"/>
  <c r="K179" i="25"/>
  <c r="K199" i="25" s="1"/>
  <c r="H179" i="25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N170" i="25"/>
  <c r="O170" i="25" s="1"/>
  <c r="O19" i="25" s="1"/>
  <c r="L170" i="25"/>
  <c r="K170" i="25"/>
  <c r="H170" i="25"/>
  <c r="I170" i="25" s="1"/>
  <c r="I19" i="25" s="1"/>
  <c r="F170" i="25"/>
  <c r="E170" i="25"/>
  <c r="N169" i="25"/>
  <c r="O169" i="25" s="1"/>
  <c r="L169" i="25"/>
  <c r="K169" i="25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H166" i="25"/>
  <c r="I166" i="25" s="1"/>
  <c r="F166" i="25"/>
  <c r="E166" i="25"/>
  <c r="N165" i="25"/>
  <c r="O165" i="25" s="1"/>
  <c r="L165" i="25"/>
  <c r="K165" i="25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H162" i="25"/>
  <c r="I162" i="25" s="1"/>
  <c r="F162" i="25"/>
  <c r="E162" i="25"/>
  <c r="N161" i="25"/>
  <c r="O161" i="25" s="1"/>
  <c r="L161" i="25"/>
  <c r="K161" i="25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H158" i="25"/>
  <c r="I158" i="25" s="1"/>
  <c r="F158" i="25"/>
  <c r="E158" i="25"/>
  <c r="N157" i="25"/>
  <c r="O157" i="25" s="1"/>
  <c r="O21" i="25" s="1"/>
  <c r="L157" i="25"/>
  <c r="L21" i="25" s="1"/>
  <c r="K157" i="25"/>
  <c r="H157" i="25"/>
  <c r="I157" i="25" s="1"/>
  <c r="I21" i="25" s="1"/>
  <c r="F157" i="25"/>
  <c r="E157" i="25"/>
  <c r="N156" i="25"/>
  <c r="O156" i="25" s="1"/>
  <c r="L156" i="25"/>
  <c r="K156" i="25"/>
  <c r="H156" i="25"/>
  <c r="I156" i="25" s="1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H154" i="25"/>
  <c r="I154" i="25" s="1"/>
  <c r="F154" i="25"/>
  <c r="E154" i="25"/>
  <c r="N153" i="25"/>
  <c r="O153" i="25" s="1"/>
  <c r="L153" i="25"/>
  <c r="K153" i="25"/>
  <c r="H153" i="25"/>
  <c r="I153" i="25" s="1"/>
  <c r="F153" i="25"/>
  <c r="E153" i="25"/>
  <c r="N152" i="25"/>
  <c r="N172" i="25" s="1"/>
  <c r="L152" i="25"/>
  <c r="L172" i="25" s="1"/>
  <c r="K152" i="25"/>
  <c r="K172" i="25" s="1"/>
  <c r="H152" i="25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O143" i="25"/>
  <c r="N143" i="25"/>
  <c r="L143" i="25"/>
  <c r="K143" i="25"/>
  <c r="H143" i="25"/>
  <c r="I143" i="25" s="1"/>
  <c r="F143" i="25"/>
  <c r="E143" i="25"/>
  <c r="O142" i="25"/>
  <c r="N142" i="25"/>
  <c r="L142" i="25"/>
  <c r="K142" i="25"/>
  <c r="H142" i="25"/>
  <c r="I142" i="25" s="1"/>
  <c r="F142" i="25"/>
  <c r="E142" i="25"/>
  <c r="O141" i="25"/>
  <c r="N141" i="25"/>
  <c r="L141" i="25"/>
  <c r="K141" i="25"/>
  <c r="H141" i="25"/>
  <c r="I141" i="25" s="1"/>
  <c r="I22" i="25" s="1"/>
  <c r="F141" i="25"/>
  <c r="F22" i="25" s="1"/>
  <c r="E141" i="25"/>
  <c r="O140" i="25"/>
  <c r="N140" i="25"/>
  <c r="L140" i="25"/>
  <c r="K140" i="25"/>
  <c r="H140" i="25"/>
  <c r="I140" i="25" s="1"/>
  <c r="F140" i="25"/>
  <c r="E140" i="25"/>
  <c r="O139" i="25"/>
  <c r="N139" i="25"/>
  <c r="L139" i="25"/>
  <c r="K139" i="25"/>
  <c r="H139" i="25"/>
  <c r="I139" i="25" s="1"/>
  <c r="F139" i="25"/>
  <c r="E139" i="25"/>
  <c r="O138" i="25"/>
  <c r="N138" i="25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O136" i="25"/>
  <c r="N136" i="25"/>
  <c r="L136" i="25"/>
  <c r="K136" i="25"/>
  <c r="H136" i="25"/>
  <c r="I136" i="25" s="1"/>
  <c r="F136" i="25"/>
  <c r="E136" i="25"/>
  <c r="O135" i="25"/>
  <c r="N135" i="25"/>
  <c r="L135" i="25"/>
  <c r="K135" i="25"/>
  <c r="H135" i="25"/>
  <c r="I135" i="25" s="1"/>
  <c r="F135" i="25"/>
  <c r="E135" i="25"/>
  <c r="O134" i="25"/>
  <c r="N134" i="25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O132" i="25"/>
  <c r="N132" i="25"/>
  <c r="L132" i="25"/>
  <c r="K132" i="25"/>
  <c r="H132" i="25"/>
  <c r="I132" i="25" s="1"/>
  <c r="F132" i="25"/>
  <c r="E132" i="25"/>
  <c r="O131" i="25"/>
  <c r="N131" i="25"/>
  <c r="L131" i="25"/>
  <c r="K131" i="25"/>
  <c r="H131" i="25"/>
  <c r="I131" i="25" s="1"/>
  <c r="F131" i="25"/>
  <c r="E131" i="25"/>
  <c r="O130" i="25"/>
  <c r="N130" i="25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O128" i="25"/>
  <c r="N128" i="25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O126" i="25"/>
  <c r="N126" i="25"/>
  <c r="L126" i="25"/>
  <c r="K126" i="25"/>
  <c r="H126" i="25"/>
  <c r="I126" i="25" s="1"/>
  <c r="F126" i="25"/>
  <c r="E126" i="25"/>
  <c r="O125" i="25"/>
  <c r="O145" i="25" s="1"/>
  <c r="N125" i="25"/>
  <c r="N145" i="25" s="1"/>
  <c r="L125" i="25"/>
  <c r="K125" i="25"/>
  <c r="K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H117" i="25"/>
  <c r="I117" i="25" s="1"/>
  <c r="F117" i="25"/>
  <c r="E117" i="25"/>
  <c r="O116" i="25"/>
  <c r="N116" i="25"/>
  <c r="L116" i="25"/>
  <c r="K116" i="25"/>
  <c r="H116" i="25"/>
  <c r="I116" i="25" s="1"/>
  <c r="F116" i="25"/>
  <c r="E116" i="25"/>
  <c r="O115" i="25"/>
  <c r="N115" i="25"/>
  <c r="L115" i="25"/>
  <c r="K115" i="25"/>
  <c r="H115" i="25"/>
  <c r="I115" i="25" s="1"/>
  <c r="F115" i="25"/>
  <c r="E115" i="25"/>
  <c r="O114" i="25"/>
  <c r="N114" i="25"/>
  <c r="L114" i="25"/>
  <c r="K114" i="25"/>
  <c r="H114" i="25"/>
  <c r="I114" i="25" s="1"/>
  <c r="F114" i="25"/>
  <c r="E114" i="25"/>
  <c r="O113" i="25"/>
  <c r="N113" i="25"/>
  <c r="L113" i="25"/>
  <c r="K113" i="25"/>
  <c r="I113" i="25"/>
  <c r="H113" i="25"/>
  <c r="F113" i="25"/>
  <c r="E113" i="25"/>
  <c r="O112" i="25"/>
  <c r="N112" i="25"/>
  <c r="L112" i="25"/>
  <c r="K112" i="25"/>
  <c r="I112" i="25"/>
  <c r="H112" i="25"/>
  <c r="F112" i="25"/>
  <c r="E112" i="25"/>
  <c r="O111" i="25"/>
  <c r="N111" i="25"/>
  <c r="L111" i="25"/>
  <c r="K111" i="25"/>
  <c r="I111" i="25"/>
  <c r="H111" i="25"/>
  <c r="F111" i="25"/>
  <c r="E111" i="25"/>
  <c r="O110" i="25"/>
  <c r="N110" i="25"/>
  <c r="L110" i="25"/>
  <c r="K110" i="25"/>
  <c r="I110" i="25"/>
  <c r="H110" i="25"/>
  <c r="F110" i="25"/>
  <c r="E110" i="25"/>
  <c r="O109" i="25"/>
  <c r="N109" i="25"/>
  <c r="L109" i="25"/>
  <c r="K109" i="25"/>
  <c r="I109" i="25"/>
  <c r="H109" i="25"/>
  <c r="F109" i="25"/>
  <c r="E109" i="25"/>
  <c r="O108" i="25"/>
  <c r="N108" i="25"/>
  <c r="L108" i="25"/>
  <c r="K108" i="25"/>
  <c r="I108" i="25"/>
  <c r="H108" i="25"/>
  <c r="F108" i="25"/>
  <c r="E108" i="25"/>
  <c r="O107" i="25"/>
  <c r="N107" i="25"/>
  <c r="L107" i="25"/>
  <c r="K107" i="25"/>
  <c r="I107" i="25"/>
  <c r="H107" i="25"/>
  <c r="F107" i="25"/>
  <c r="E107" i="25"/>
  <c r="O106" i="25"/>
  <c r="N106" i="25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L104" i="25"/>
  <c r="K104" i="25"/>
  <c r="H104" i="25"/>
  <c r="I104" i="25" s="1"/>
  <c r="F104" i="25"/>
  <c r="E104" i="25"/>
  <c r="O103" i="25"/>
  <c r="N103" i="25"/>
  <c r="L103" i="25"/>
  <c r="K103" i="25"/>
  <c r="H103" i="25"/>
  <c r="I103" i="25" s="1"/>
  <c r="F103" i="25"/>
  <c r="E103" i="25"/>
  <c r="O102" i="25"/>
  <c r="N102" i="25"/>
  <c r="L102" i="25"/>
  <c r="K102" i="25"/>
  <c r="I102" i="25"/>
  <c r="H102" i="25"/>
  <c r="F102" i="25"/>
  <c r="E102" i="25"/>
  <c r="O101" i="25"/>
  <c r="N101" i="25"/>
  <c r="L101" i="25"/>
  <c r="K101" i="25"/>
  <c r="I101" i="25"/>
  <c r="H101" i="25"/>
  <c r="F101" i="25"/>
  <c r="E101" i="25"/>
  <c r="O100" i="25"/>
  <c r="N100" i="25"/>
  <c r="L100" i="25"/>
  <c r="K100" i="25"/>
  <c r="H100" i="25"/>
  <c r="I100" i="25" s="1"/>
  <c r="F100" i="25"/>
  <c r="E100" i="25"/>
  <c r="O99" i="25"/>
  <c r="N99" i="25"/>
  <c r="L99" i="25"/>
  <c r="K99" i="25"/>
  <c r="H99" i="25"/>
  <c r="I99" i="25" s="1"/>
  <c r="F99" i="25"/>
  <c r="E99" i="25"/>
  <c r="O98" i="25"/>
  <c r="O118" i="25" s="1"/>
  <c r="N98" i="25"/>
  <c r="N118" i="25" s="1"/>
  <c r="L98" i="25"/>
  <c r="L118" i="25" s="1"/>
  <c r="K98" i="25"/>
  <c r="K118" i="25" s="1"/>
  <c r="H98" i="25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I90" i="25"/>
  <c r="H90" i="25"/>
  <c r="F90" i="25"/>
  <c r="E90" i="25"/>
  <c r="N89" i="25"/>
  <c r="O89" i="25" s="1"/>
  <c r="L89" i="25"/>
  <c r="K89" i="25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L86" i="25"/>
  <c r="K86" i="25"/>
  <c r="I86" i="25"/>
  <c r="H86" i="25"/>
  <c r="F86" i="25"/>
  <c r="E86" i="25"/>
  <c r="N85" i="25"/>
  <c r="O85" i="25" s="1"/>
  <c r="O20" i="25" s="1"/>
  <c r="L85" i="25"/>
  <c r="K85" i="25"/>
  <c r="H85" i="25"/>
  <c r="I85" i="25" s="1"/>
  <c r="I20" i="25" s="1"/>
  <c r="F85" i="25"/>
  <c r="F20" i="25" s="1"/>
  <c r="E85" i="25"/>
  <c r="N84" i="25"/>
  <c r="O84" i="25" s="1"/>
  <c r="L84" i="25"/>
  <c r="K84" i="25"/>
  <c r="H84" i="25"/>
  <c r="I84" i="25" s="1"/>
  <c r="F84" i="25"/>
  <c r="E84" i="25"/>
  <c r="N83" i="25"/>
  <c r="O83" i="25" s="1"/>
  <c r="O18" i="25" s="1"/>
  <c r="L83" i="25"/>
  <c r="K83" i="25"/>
  <c r="H83" i="25"/>
  <c r="I83" i="25" s="1"/>
  <c r="I18" i="25" s="1"/>
  <c r="F83" i="25"/>
  <c r="E83" i="25"/>
  <c r="N82" i="25"/>
  <c r="O82" i="25" s="1"/>
  <c r="L82" i="25"/>
  <c r="K82" i="25"/>
  <c r="I82" i="25"/>
  <c r="H82" i="25"/>
  <c r="F82" i="25"/>
  <c r="E82" i="25"/>
  <c r="N81" i="25"/>
  <c r="O81" i="25" s="1"/>
  <c r="L81" i="25"/>
  <c r="K81" i="25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N79" i="25"/>
  <c r="O79" i="25" s="1"/>
  <c r="L79" i="25"/>
  <c r="K79" i="25"/>
  <c r="H79" i="25"/>
  <c r="I79" i="25" s="1"/>
  <c r="F79" i="25"/>
  <c r="E79" i="25"/>
  <c r="N78" i="25"/>
  <c r="O78" i="25" s="1"/>
  <c r="L78" i="25"/>
  <c r="K78" i="25"/>
  <c r="I78" i="25"/>
  <c r="H78" i="25"/>
  <c r="F78" i="25"/>
  <c r="E78" i="25"/>
  <c r="N77" i="25"/>
  <c r="O77" i="25" s="1"/>
  <c r="L77" i="25"/>
  <c r="K77" i="25"/>
  <c r="H77" i="25"/>
  <c r="I77" i="25" s="1"/>
  <c r="F77" i="25"/>
  <c r="E77" i="25"/>
  <c r="N76" i="25"/>
  <c r="O76" i="25" s="1"/>
  <c r="L76" i="25"/>
  <c r="K76" i="25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N74" i="25"/>
  <c r="O74" i="25" s="1"/>
  <c r="L74" i="25"/>
  <c r="K74" i="25"/>
  <c r="I74" i="25"/>
  <c r="H74" i="25"/>
  <c r="F74" i="25"/>
  <c r="E74" i="25"/>
  <c r="N73" i="25"/>
  <c r="O73" i="25" s="1"/>
  <c r="L73" i="25"/>
  <c r="K73" i="25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N91" i="25" s="1"/>
  <c r="L71" i="25"/>
  <c r="L91" i="25" s="1"/>
  <c r="K71" i="25"/>
  <c r="K91" i="25" s="1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F62" i="25"/>
  <c r="E62" i="25"/>
  <c r="N61" i="25"/>
  <c r="O61" i="25" s="1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N59" i="25"/>
  <c r="O59" i="25" s="1"/>
  <c r="L59" i="25"/>
  <c r="K59" i="25"/>
  <c r="I59" i="25"/>
  <c r="H59" i="25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L57" i="25"/>
  <c r="K57" i="25"/>
  <c r="H57" i="25"/>
  <c r="I57" i="25" s="1"/>
  <c r="F57" i="25"/>
  <c r="E57" i="25"/>
  <c r="N56" i="25"/>
  <c r="O56" i="25" s="1"/>
  <c r="L56" i="25"/>
  <c r="K56" i="25"/>
  <c r="H56" i="25"/>
  <c r="I56" i="25" s="1"/>
  <c r="F56" i="25"/>
  <c r="E56" i="25"/>
  <c r="N55" i="25"/>
  <c r="O55" i="25" s="1"/>
  <c r="O17" i="25" s="1"/>
  <c r="L55" i="25"/>
  <c r="K55" i="25"/>
  <c r="I55" i="25"/>
  <c r="H55" i="25"/>
  <c r="F55" i="25"/>
  <c r="E55" i="25"/>
  <c r="N54" i="25"/>
  <c r="O54" i="25" s="1"/>
  <c r="L54" i="25"/>
  <c r="K54" i="25"/>
  <c r="H54" i="25"/>
  <c r="I54" i="25" s="1"/>
  <c r="F54" i="25"/>
  <c r="E54" i="25"/>
  <c r="N53" i="25"/>
  <c r="O53" i="25" s="1"/>
  <c r="L53" i="25"/>
  <c r="K53" i="25"/>
  <c r="H53" i="25"/>
  <c r="I53" i="25" s="1"/>
  <c r="F53" i="25"/>
  <c r="E53" i="25"/>
  <c r="N52" i="25"/>
  <c r="O52" i="25" s="1"/>
  <c r="L52" i="25"/>
  <c r="K52" i="25"/>
  <c r="I52" i="25"/>
  <c r="H52" i="25"/>
  <c r="F52" i="25"/>
  <c r="E52" i="25"/>
  <c r="N51" i="25"/>
  <c r="O51" i="25" s="1"/>
  <c r="L51" i="25"/>
  <c r="K51" i="25"/>
  <c r="I51" i="25"/>
  <c r="H51" i="25"/>
  <c r="F51" i="25"/>
  <c r="E51" i="25"/>
  <c r="N50" i="25"/>
  <c r="O50" i="25" s="1"/>
  <c r="L50" i="25"/>
  <c r="K50" i="25"/>
  <c r="H50" i="25"/>
  <c r="I50" i="25" s="1"/>
  <c r="F50" i="25"/>
  <c r="E50" i="25"/>
  <c r="N49" i="25"/>
  <c r="O49" i="25" s="1"/>
  <c r="L49" i="25"/>
  <c r="K49" i="25"/>
  <c r="H49" i="25"/>
  <c r="I49" i="25" s="1"/>
  <c r="F49" i="25"/>
  <c r="E49" i="25"/>
  <c r="N48" i="25"/>
  <c r="O48" i="25" s="1"/>
  <c r="L48" i="25"/>
  <c r="K48" i="25"/>
  <c r="I48" i="25"/>
  <c r="H48" i="25"/>
  <c r="F48" i="25"/>
  <c r="E48" i="25"/>
  <c r="N47" i="25"/>
  <c r="O47" i="25" s="1"/>
  <c r="L47" i="25"/>
  <c r="K47" i="25"/>
  <c r="I47" i="25"/>
  <c r="H47" i="25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L45" i="25"/>
  <c r="K45" i="25"/>
  <c r="H45" i="25"/>
  <c r="I45" i="25" s="1"/>
  <c r="F45" i="25"/>
  <c r="E45" i="25"/>
  <c r="N44" i="25"/>
  <c r="N64" i="25" s="1"/>
  <c r="L44" i="25"/>
  <c r="L64" i="25" s="1"/>
  <c r="K44" i="25"/>
  <c r="K64" i="25" s="1"/>
  <c r="I44" i="25"/>
  <c r="H44" i="25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H22" i="25"/>
  <c r="G22" i="25"/>
  <c r="E22" i="25"/>
  <c r="D22" i="25"/>
  <c r="C22" i="25"/>
  <c r="B22" i="25"/>
  <c r="N21" i="25"/>
  <c r="M21" i="25"/>
  <c r="K21" i="25"/>
  <c r="J21" i="25"/>
  <c r="H21" i="25"/>
  <c r="G21" i="25"/>
  <c r="F21" i="25"/>
  <c r="E21" i="25"/>
  <c r="D21" i="25"/>
  <c r="C21" i="25"/>
  <c r="B21" i="25"/>
  <c r="N20" i="25"/>
  <c r="M20" i="25"/>
  <c r="L20" i="25"/>
  <c r="K20" i="25"/>
  <c r="J20" i="25"/>
  <c r="H20" i="25"/>
  <c r="G20" i="25"/>
  <c r="E20" i="25"/>
  <c r="D20" i="25"/>
  <c r="C20" i="25"/>
  <c r="B20" i="25"/>
  <c r="N19" i="25"/>
  <c r="M19" i="25"/>
  <c r="L19" i="25"/>
  <c r="K19" i="25"/>
  <c r="J19" i="25"/>
  <c r="H19" i="25"/>
  <c r="G19" i="25"/>
  <c r="F19" i="25"/>
  <c r="E19" i="25"/>
  <c r="D19" i="25"/>
  <c r="C19" i="25"/>
  <c r="B19" i="25"/>
  <c r="N18" i="25"/>
  <c r="M18" i="25"/>
  <c r="L18" i="25"/>
  <c r="K18" i="25"/>
  <c r="J18" i="25"/>
  <c r="H18" i="25"/>
  <c r="G18" i="25"/>
  <c r="F18" i="25"/>
  <c r="E18" i="25"/>
  <c r="D18" i="25"/>
  <c r="C18" i="25"/>
  <c r="B18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K198" i="24"/>
  <c r="H198" i="24"/>
  <c r="I198" i="24" s="1"/>
  <c r="E198" i="24"/>
  <c r="N197" i="24"/>
  <c r="O197" i="24" s="1"/>
  <c r="K197" i="24"/>
  <c r="H197" i="24"/>
  <c r="F197" i="24"/>
  <c r="E197" i="24"/>
  <c r="O196" i="24"/>
  <c r="N196" i="24"/>
  <c r="K196" i="24"/>
  <c r="L196" i="24" s="1"/>
  <c r="H196" i="24"/>
  <c r="I196" i="24" s="1"/>
  <c r="E196" i="24"/>
  <c r="N195" i="24"/>
  <c r="O195" i="24" s="1"/>
  <c r="K195" i="24"/>
  <c r="H195" i="24"/>
  <c r="F195" i="24"/>
  <c r="E195" i="24"/>
  <c r="N194" i="24"/>
  <c r="O194" i="24" s="1"/>
  <c r="L194" i="24"/>
  <c r="K194" i="24"/>
  <c r="H194" i="24"/>
  <c r="E194" i="24"/>
  <c r="N193" i="24"/>
  <c r="O193" i="24" s="1"/>
  <c r="K193" i="24"/>
  <c r="H193" i="24"/>
  <c r="I193" i="24" s="1"/>
  <c r="F193" i="24"/>
  <c r="E193" i="24"/>
  <c r="N192" i="24"/>
  <c r="O192" i="24" s="1"/>
  <c r="K192" i="24"/>
  <c r="L192" i="24" s="1"/>
  <c r="H192" i="24"/>
  <c r="E192" i="24"/>
  <c r="O191" i="24"/>
  <c r="N191" i="24"/>
  <c r="K191" i="24"/>
  <c r="H191" i="24"/>
  <c r="I191" i="24" s="1"/>
  <c r="F191" i="24"/>
  <c r="E191" i="24"/>
  <c r="N190" i="24"/>
  <c r="O190" i="24" s="1"/>
  <c r="L190" i="24"/>
  <c r="K190" i="24"/>
  <c r="H190" i="24"/>
  <c r="F190" i="24"/>
  <c r="E190" i="24"/>
  <c r="N189" i="24"/>
  <c r="O189" i="24" s="1"/>
  <c r="K189" i="24"/>
  <c r="L189" i="24" s="1"/>
  <c r="H189" i="24"/>
  <c r="I189" i="24" s="1"/>
  <c r="E189" i="24"/>
  <c r="N188" i="24"/>
  <c r="O188" i="24" s="1"/>
  <c r="K188" i="24"/>
  <c r="H188" i="24"/>
  <c r="F188" i="24"/>
  <c r="E188" i="24"/>
  <c r="O187" i="24"/>
  <c r="N187" i="24"/>
  <c r="K187" i="24"/>
  <c r="L187" i="24" s="1"/>
  <c r="H187" i="24"/>
  <c r="I187" i="24" s="1"/>
  <c r="E187" i="24"/>
  <c r="N186" i="24"/>
  <c r="O186" i="24" s="1"/>
  <c r="K186" i="24"/>
  <c r="H186" i="24"/>
  <c r="I186" i="24" s="1"/>
  <c r="F186" i="24"/>
  <c r="E186" i="24"/>
  <c r="N185" i="24"/>
  <c r="O185" i="24" s="1"/>
  <c r="K185" i="24"/>
  <c r="L185" i="24" s="1"/>
  <c r="H185" i="24"/>
  <c r="E185" i="24"/>
  <c r="O184" i="24"/>
  <c r="N184" i="24"/>
  <c r="K184" i="24"/>
  <c r="H184" i="24"/>
  <c r="I184" i="24" s="1"/>
  <c r="F184" i="24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I182" i="24" s="1"/>
  <c r="E182" i="24"/>
  <c r="O181" i="24"/>
  <c r="N181" i="24"/>
  <c r="K181" i="24"/>
  <c r="H181" i="24"/>
  <c r="F181" i="24"/>
  <c r="E181" i="24"/>
  <c r="N180" i="24"/>
  <c r="O180" i="24" s="1"/>
  <c r="K180" i="24"/>
  <c r="L180" i="24" s="1"/>
  <c r="H180" i="24"/>
  <c r="I180" i="24" s="1"/>
  <c r="E180" i="24"/>
  <c r="N179" i="24"/>
  <c r="N199" i="24" s="1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66" i="24" s="1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F170" i="24"/>
  <c r="E170" i="24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O167" i="24"/>
  <c r="N167" i="24"/>
  <c r="L167" i="24"/>
  <c r="K167" i="24"/>
  <c r="H167" i="24"/>
  <c r="F167" i="24"/>
  <c r="E167" i="24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F163" i="24"/>
  <c r="E163" i="24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O160" i="24"/>
  <c r="N160" i="24"/>
  <c r="K160" i="24"/>
  <c r="L160" i="24" s="1"/>
  <c r="H160" i="24"/>
  <c r="E160" i="24"/>
  <c r="O159" i="24"/>
  <c r="N159" i="24"/>
  <c r="K159" i="24"/>
  <c r="H159" i="24"/>
  <c r="I159" i="24" s="1"/>
  <c r="E159" i="24"/>
  <c r="N158" i="24"/>
  <c r="O158" i="24" s="1"/>
  <c r="K158" i="24"/>
  <c r="H158" i="24"/>
  <c r="F158" i="24"/>
  <c r="E158" i="24"/>
  <c r="O157" i="24"/>
  <c r="N157" i="24"/>
  <c r="K157" i="24"/>
  <c r="L157" i="24" s="1"/>
  <c r="H157" i="24"/>
  <c r="I157" i="24" s="1"/>
  <c r="E157" i="24"/>
  <c r="O156" i="24"/>
  <c r="N156" i="24"/>
  <c r="K156" i="24"/>
  <c r="H156" i="24"/>
  <c r="F156" i="24"/>
  <c r="E156" i="24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L144" i="24"/>
  <c r="K144" i="24"/>
  <c r="H144" i="24"/>
  <c r="I144" i="24" s="1"/>
  <c r="F144" i="24"/>
  <c r="E144" i="24"/>
  <c r="O143" i="24"/>
  <c r="N143" i="24"/>
  <c r="K143" i="24"/>
  <c r="L143" i="24" s="1"/>
  <c r="H143" i="24"/>
  <c r="I143" i="24" s="1"/>
  <c r="F143" i="24"/>
  <c r="E143" i="24"/>
  <c r="N142" i="24"/>
  <c r="O142" i="24" s="1"/>
  <c r="K142" i="24"/>
  <c r="L142" i="24" s="1"/>
  <c r="H142" i="24"/>
  <c r="I142" i="24" s="1"/>
  <c r="F142" i="24"/>
  <c r="E142" i="24"/>
  <c r="O141" i="24"/>
  <c r="N141" i="24"/>
  <c r="K141" i="24"/>
  <c r="L141" i="24" s="1"/>
  <c r="H141" i="24"/>
  <c r="I141" i="24" s="1"/>
  <c r="F141" i="24"/>
  <c r="E141" i="24"/>
  <c r="N140" i="24"/>
  <c r="O140" i="24" s="1"/>
  <c r="L140" i="24"/>
  <c r="K140" i="24"/>
  <c r="H140" i="24"/>
  <c r="I140" i="24" s="1"/>
  <c r="F140" i="24"/>
  <c r="E140" i="24"/>
  <c r="N139" i="24"/>
  <c r="O139" i="24" s="1"/>
  <c r="K139" i="24"/>
  <c r="L139" i="24" s="1"/>
  <c r="H139" i="24"/>
  <c r="I139" i="24" s="1"/>
  <c r="F139" i="24"/>
  <c r="E139" i="24"/>
  <c r="O138" i="24"/>
  <c r="N138" i="24"/>
  <c r="K138" i="24"/>
  <c r="L138" i="24" s="1"/>
  <c r="H138" i="24"/>
  <c r="I138" i="24" s="1"/>
  <c r="F138" i="24"/>
  <c r="E138" i="24"/>
  <c r="N137" i="24"/>
  <c r="O137" i="24" s="1"/>
  <c r="K137" i="24"/>
  <c r="L137" i="24" s="1"/>
  <c r="H137" i="24"/>
  <c r="I137" i="24" s="1"/>
  <c r="F137" i="24"/>
  <c r="E137" i="24"/>
  <c r="O136" i="24"/>
  <c r="N136" i="24"/>
  <c r="L136" i="24"/>
  <c r="K136" i="24"/>
  <c r="H136" i="24"/>
  <c r="I136" i="24" s="1"/>
  <c r="F136" i="24"/>
  <c r="E136" i="24"/>
  <c r="N135" i="24"/>
  <c r="O135" i="24" s="1"/>
  <c r="K135" i="24"/>
  <c r="L135" i="24" s="1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L132" i="24"/>
  <c r="K132" i="24"/>
  <c r="H132" i="24"/>
  <c r="I132" i="24" s="1"/>
  <c r="F132" i="24"/>
  <c r="E132" i="24"/>
  <c r="O131" i="24"/>
  <c r="N131" i="24"/>
  <c r="K131" i="24"/>
  <c r="L131" i="24" s="1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O129" i="24"/>
  <c r="N129" i="24"/>
  <c r="K129" i="24"/>
  <c r="L129" i="24" s="1"/>
  <c r="H129" i="24"/>
  <c r="I129" i="24" s="1"/>
  <c r="F129" i="24"/>
  <c r="E129" i="24"/>
  <c r="N128" i="24"/>
  <c r="O128" i="24" s="1"/>
  <c r="L128" i="24"/>
  <c r="K128" i="24"/>
  <c r="H128" i="24"/>
  <c r="I128" i="24" s="1"/>
  <c r="F128" i="24"/>
  <c r="E128" i="24"/>
  <c r="O127" i="24"/>
  <c r="N127" i="24"/>
  <c r="K127" i="24"/>
  <c r="L127" i="24" s="1"/>
  <c r="H127" i="24"/>
  <c r="I127" i="24" s="1"/>
  <c r="F127" i="24"/>
  <c r="E127" i="24"/>
  <c r="N126" i="24"/>
  <c r="O126" i="24" s="1"/>
  <c r="K126" i="24"/>
  <c r="L126" i="24" s="1"/>
  <c r="H126" i="24"/>
  <c r="I126" i="24" s="1"/>
  <c r="F126" i="24"/>
  <c r="E126" i="24"/>
  <c r="O125" i="24"/>
  <c r="N125" i="24"/>
  <c r="K125" i="24"/>
  <c r="H125" i="24"/>
  <c r="H145" i="24" s="1"/>
  <c r="F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H117" i="24"/>
  <c r="I117" i="24" s="1"/>
  <c r="F117" i="24"/>
  <c r="E117" i="24"/>
  <c r="N116" i="24"/>
  <c r="O116" i="24" s="1"/>
  <c r="K116" i="24"/>
  <c r="L116" i="24" s="1"/>
  <c r="H116" i="24"/>
  <c r="I116" i="24" s="1"/>
  <c r="F116" i="24"/>
  <c r="E116" i="24"/>
  <c r="O115" i="24"/>
  <c r="N115" i="24"/>
  <c r="K115" i="24"/>
  <c r="L115" i="24" s="1"/>
  <c r="H115" i="24"/>
  <c r="I115" i="24" s="1"/>
  <c r="F115" i="24"/>
  <c r="E115" i="24"/>
  <c r="N114" i="24"/>
  <c r="O114" i="24" s="1"/>
  <c r="K114" i="24"/>
  <c r="L114" i="24" s="1"/>
  <c r="I114" i="24"/>
  <c r="H114" i="24"/>
  <c r="F114" i="24"/>
  <c r="E114" i="24"/>
  <c r="O113" i="24"/>
  <c r="N113" i="24"/>
  <c r="K113" i="24"/>
  <c r="L113" i="24" s="1"/>
  <c r="I113" i="24"/>
  <c r="H113" i="24"/>
  <c r="F113" i="24"/>
  <c r="E113" i="24"/>
  <c r="O112" i="24"/>
  <c r="N112" i="24"/>
  <c r="K112" i="24"/>
  <c r="L112" i="24" s="1"/>
  <c r="I112" i="24"/>
  <c r="H112" i="24"/>
  <c r="F112" i="24"/>
  <c r="E112" i="24"/>
  <c r="N111" i="24"/>
  <c r="O111" i="24" s="1"/>
  <c r="K111" i="24"/>
  <c r="L111" i="24" s="1"/>
  <c r="I111" i="24"/>
  <c r="H111" i="24"/>
  <c r="F111" i="24"/>
  <c r="E111" i="24"/>
  <c r="N110" i="24"/>
  <c r="O110" i="24" s="1"/>
  <c r="K110" i="24"/>
  <c r="L110" i="24" s="1"/>
  <c r="I110" i="24"/>
  <c r="H110" i="24"/>
  <c r="F110" i="24"/>
  <c r="E110" i="24"/>
  <c r="O109" i="24"/>
  <c r="N109" i="24"/>
  <c r="K109" i="24"/>
  <c r="L109" i="24" s="1"/>
  <c r="I109" i="24"/>
  <c r="H109" i="24"/>
  <c r="F109" i="24"/>
  <c r="E109" i="24"/>
  <c r="O108" i="24"/>
  <c r="N108" i="24"/>
  <c r="K108" i="24"/>
  <c r="L108" i="24" s="1"/>
  <c r="I108" i="24"/>
  <c r="H108" i="24"/>
  <c r="F108" i="24"/>
  <c r="E108" i="24"/>
  <c r="N107" i="24"/>
  <c r="O107" i="24" s="1"/>
  <c r="K107" i="24"/>
  <c r="L107" i="24" s="1"/>
  <c r="I107" i="24"/>
  <c r="H107" i="24"/>
  <c r="F107" i="24"/>
  <c r="E107" i="24"/>
  <c r="N106" i="24"/>
  <c r="O106" i="24" s="1"/>
  <c r="K106" i="24"/>
  <c r="L106" i="24" s="1"/>
  <c r="I106" i="24"/>
  <c r="H106" i="24"/>
  <c r="F106" i="24"/>
  <c r="E106" i="24"/>
  <c r="O105" i="24"/>
  <c r="N105" i="24"/>
  <c r="K105" i="24"/>
  <c r="L105" i="24" s="1"/>
  <c r="H105" i="24"/>
  <c r="I105" i="24" s="1"/>
  <c r="F105" i="24"/>
  <c r="E105" i="24"/>
  <c r="N104" i="24"/>
  <c r="O104" i="24" s="1"/>
  <c r="L104" i="24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K101" i="24"/>
  <c r="L101" i="24" s="1"/>
  <c r="H101" i="24"/>
  <c r="I101" i="24" s="1"/>
  <c r="F101" i="24"/>
  <c r="E101" i="24"/>
  <c r="O100" i="24"/>
  <c r="N100" i="24"/>
  <c r="L100" i="24"/>
  <c r="K100" i="24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O86" i="24"/>
  <c r="N86" i="24"/>
  <c r="K86" i="24"/>
  <c r="L86" i="24" s="1"/>
  <c r="H86" i="24"/>
  <c r="I86" i="24" s="1"/>
  <c r="E86" i="24"/>
  <c r="F86" i="24" s="1"/>
  <c r="N85" i="24"/>
  <c r="O85" i="24" s="1"/>
  <c r="L85" i="24"/>
  <c r="K85" i="24"/>
  <c r="H85" i="24"/>
  <c r="I85" i="24" s="1"/>
  <c r="E85" i="24"/>
  <c r="F85" i="24" s="1"/>
  <c r="O84" i="24"/>
  <c r="N84" i="24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O78" i="24"/>
  <c r="N78" i="24"/>
  <c r="L78" i="24"/>
  <c r="K78" i="24"/>
  <c r="H78" i="24"/>
  <c r="I78" i="24" s="1"/>
  <c r="E78" i="24"/>
  <c r="F78" i="24" s="1"/>
  <c r="N77" i="24"/>
  <c r="O77" i="24" s="1"/>
  <c r="K77" i="24"/>
  <c r="L77" i="24" s="1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I72" i="24"/>
  <c r="H72" i="24"/>
  <c r="E72" i="24"/>
  <c r="F72" i="24" s="1"/>
  <c r="N71" i="24"/>
  <c r="N91" i="24" s="1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I58" i="24" s="1"/>
  <c r="I22" i="24" s="1"/>
  <c r="O63" i="24"/>
  <c r="N63" i="24"/>
  <c r="K63" i="24"/>
  <c r="H63" i="24"/>
  <c r="I63" i="24" s="1"/>
  <c r="E63" i="24"/>
  <c r="O62" i="24"/>
  <c r="N62" i="24"/>
  <c r="L62" i="24"/>
  <c r="K62" i="24"/>
  <c r="H62" i="24"/>
  <c r="E62" i="24"/>
  <c r="F62" i="24" s="1"/>
  <c r="O61" i="24"/>
  <c r="N61" i="24"/>
  <c r="K61" i="24"/>
  <c r="I61" i="24"/>
  <c r="H61" i="24"/>
  <c r="E61" i="24"/>
  <c r="O60" i="24"/>
  <c r="N60" i="24"/>
  <c r="K60" i="24"/>
  <c r="H60" i="24"/>
  <c r="E60" i="24"/>
  <c r="F60" i="24" s="1"/>
  <c r="N59" i="24"/>
  <c r="O59" i="24" s="1"/>
  <c r="K59" i="24"/>
  <c r="H59" i="24"/>
  <c r="I59" i="24" s="1"/>
  <c r="E59" i="24"/>
  <c r="O58" i="24"/>
  <c r="O22" i="24" s="1"/>
  <c r="N58" i="24"/>
  <c r="K58" i="24"/>
  <c r="L58" i="24" s="1"/>
  <c r="L22" i="24" s="1"/>
  <c r="H58" i="24"/>
  <c r="E58" i="24"/>
  <c r="F58" i="24" s="1"/>
  <c r="F22" i="24" s="1"/>
  <c r="O57" i="24"/>
  <c r="N57" i="24"/>
  <c r="K57" i="24"/>
  <c r="I57" i="24"/>
  <c r="H57" i="24"/>
  <c r="E57" i="24"/>
  <c r="N56" i="24"/>
  <c r="N17" i="24" s="1"/>
  <c r="L56" i="24"/>
  <c r="K56" i="24"/>
  <c r="H56" i="24"/>
  <c r="E56" i="24"/>
  <c r="F56" i="24" s="1"/>
  <c r="F17" i="24" s="1"/>
  <c r="O55" i="24"/>
  <c r="N55" i="24"/>
  <c r="K55" i="24"/>
  <c r="H55" i="24"/>
  <c r="I55" i="24" s="1"/>
  <c r="E55" i="24"/>
  <c r="F55" i="24" s="1"/>
  <c r="O54" i="24"/>
  <c r="N54" i="24"/>
  <c r="L54" i="24"/>
  <c r="K54" i="24"/>
  <c r="H54" i="24"/>
  <c r="E54" i="24"/>
  <c r="F54" i="24" s="1"/>
  <c r="O53" i="24"/>
  <c r="N53" i="24"/>
  <c r="K53" i="24"/>
  <c r="I53" i="24"/>
  <c r="H53" i="24"/>
  <c r="E53" i="24"/>
  <c r="O52" i="24"/>
  <c r="N52" i="24"/>
  <c r="K52" i="24"/>
  <c r="L52" i="24" s="1"/>
  <c r="H52" i="24"/>
  <c r="E52" i="24"/>
  <c r="N51" i="24"/>
  <c r="O51" i="24" s="1"/>
  <c r="K51" i="24"/>
  <c r="H51" i="24"/>
  <c r="I51" i="24" s="1"/>
  <c r="E51" i="24"/>
  <c r="F51" i="24" s="1"/>
  <c r="O50" i="24"/>
  <c r="N50" i="24"/>
  <c r="K50" i="24"/>
  <c r="L50" i="24" s="1"/>
  <c r="I50" i="24"/>
  <c r="H50" i="24"/>
  <c r="E50" i="24"/>
  <c r="O49" i="24"/>
  <c r="N49" i="24"/>
  <c r="K49" i="24"/>
  <c r="H49" i="24"/>
  <c r="E49" i="24"/>
  <c r="F49" i="24" s="1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O45" i="24"/>
  <c r="N45" i="24"/>
  <c r="K45" i="24"/>
  <c r="H45" i="24"/>
  <c r="E45" i="24"/>
  <c r="F45" i="24" s="1"/>
  <c r="O44" i="24"/>
  <c r="N44" i="24"/>
  <c r="K44" i="24"/>
  <c r="H44" i="24"/>
  <c r="H64" i="24" s="1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K22" i="24"/>
  <c r="J22" i="24"/>
  <c r="H22" i="24"/>
  <c r="G22" i="24"/>
  <c r="D22" i="24"/>
  <c r="C22" i="24"/>
  <c r="B22" i="24"/>
  <c r="N21" i="24"/>
  <c r="M21" i="24"/>
  <c r="K21" i="24"/>
  <c r="J21" i="24"/>
  <c r="H21" i="24"/>
  <c r="G21" i="24"/>
  <c r="E21" i="24"/>
  <c r="D21" i="24"/>
  <c r="C21" i="24"/>
  <c r="B21" i="24"/>
  <c r="N20" i="24"/>
  <c r="M20" i="24"/>
  <c r="K20" i="24"/>
  <c r="J20" i="24"/>
  <c r="H20" i="24"/>
  <c r="G20" i="24"/>
  <c r="F20" i="24"/>
  <c r="E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K18" i="24"/>
  <c r="J18" i="24"/>
  <c r="G18" i="24"/>
  <c r="E18" i="24"/>
  <c r="D18" i="24"/>
  <c r="C18" i="24"/>
  <c r="B18" i="24"/>
  <c r="M17" i="24"/>
  <c r="L17" i="24"/>
  <c r="K17" i="24"/>
  <c r="J17" i="24"/>
  <c r="H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31" l="1"/>
  <c r="L179" i="31"/>
  <c r="L199" i="31" s="1"/>
  <c r="K172" i="31"/>
  <c r="L172" i="31"/>
  <c r="K145" i="31"/>
  <c r="L145" i="31"/>
  <c r="L118" i="31"/>
  <c r="K118" i="31"/>
  <c r="L91" i="31"/>
  <c r="K20" i="31"/>
  <c r="K37" i="31" s="1"/>
  <c r="K91" i="31"/>
  <c r="K64" i="31"/>
  <c r="L64" i="31"/>
  <c r="G5" i="31" s="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44" i="31"/>
  <c r="I64" i="31" s="1"/>
  <c r="F118" i="31"/>
  <c r="F44" i="31"/>
  <c r="F64" i="31" s="1"/>
  <c r="N199" i="30"/>
  <c r="O179" i="30"/>
  <c r="O199" i="30" s="1"/>
  <c r="O172" i="30"/>
  <c r="N172" i="30"/>
  <c r="N145" i="30"/>
  <c r="O125" i="30"/>
  <c r="O145" i="30" s="1"/>
  <c r="N28" i="30"/>
  <c r="N118" i="30"/>
  <c r="O98" i="30"/>
  <c r="O118" i="30" s="1"/>
  <c r="N20" i="30"/>
  <c r="N26" i="30"/>
  <c r="O91" i="30"/>
  <c r="O23" i="30"/>
  <c r="O37" i="30" s="1"/>
  <c r="N91" i="30"/>
  <c r="O44" i="30"/>
  <c r="O64" i="30" s="1"/>
  <c r="G9" i="31"/>
  <c r="H37" i="31"/>
  <c r="E37" i="31"/>
  <c r="I37" i="31"/>
  <c r="F37" i="31"/>
  <c r="N37" i="31"/>
  <c r="L37" i="31"/>
  <c r="O37" i="31"/>
  <c r="G7" i="31"/>
  <c r="G3" i="31"/>
  <c r="L145" i="30"/>
  <c r="K22" i="30"/>
  <c r="K37" i="30" s="1"/>
  <c r="L111" i="30"/>
  <c r="L30" i="30" s="1"/>
  <c r="L72" i="30"/>
  <c r="L26" i="30" s="1"/>
  <c r="L45" i="30"/>
  <c r="L25" i="30" s="1"/>
  <c r="L19" i="30"/>
  <c r="K199" i="30"/>
  <c r="L199" i="30"/>
  <c r="G9" i="30" s="1"/>
  <c r="K172" i="30"/>
  <c r="L172" i="30"/>
  <c r="K145" i="30"/>
  <c r="K118" i="30"/>
  <c r="K91" i="30"/>
  <c r="L91" i="30"/>
  <c r="K64" i="30"/>
  <c r="L64" i="30"/>
  <c r="I179" i="30"/>
  <c r="I199" i="30" s="1"/>
  <c r="I152" i="30"/>
  <c r="I172" i="30" s="1"/>
  <c r="I125" i="30"/>
  <c r="I145" i="30" s="1"/>
  <c r="I98" i="30"/>
  <c r="I118" i="30" s="1"/>
  <c r="I19" i="30"/>
  <c r="I29" i="30"/>
  <c r="I86" i="30"/>
  <c r="I20" i="30" s="1"/>
  <c r="H91" i="30"/>
  <c r="I64" i="30"/>
  <c r="H31" i="30"/>
  <c r="H37" i="30" s="1"/>
  <c r="H64" i="30"/>
  <c r="F125" i="30"/>
  <c r="F145" i="30" s="1"/>
  <c r="F98" i="30"/>
  <c r="F118" i="30" s="1"/>
  <c r="F29" i="30"/>
  <c r="F19" i="30"/>
  <c r="F71" i="30"/>
  <c r="F44" i="30"/>
  <c r="F64" i="30" s="1"/>
  <c r="O179" i="29"/>
  <c r="O199" i="29" s="1"/>
  <c r="O152" i="29"/>
  <c r="O172" i="29" s="1"/>
  <c r="O125" i="29"/>
  <c r="O145" i="29" s="1"/>
  <c r="N118" i="29"/>
  <c r="O98" i="29"/>
  <c r="O118" i="29" s="1"/>
  <c r="O71" i="29"/>
  <c r="O80" i="29"/>
  <c r="O20" i="29" s="1"/>
  <c r="O85" i="29"/>
  <c r="O19" i="29" s="1"/>
  <c r="O64" i="29"/>
  <c r="N64" i="29"/>
  <c r="E37" i="30"/>
  <c r="G5" i="30"/>
  <c r="K172" i="29"/>
  <c r="L152" i="29"/>
  <c r="L172" i="29" s="1"/>
  <c r="L145" i="29"/>
  <c r="K145" i="29"/>
  <c r="L98" i="29"/>
  <c r="L118" i="29" s="1"/>
  <c r="L91" i="29"/>
  <c r="L82" i="29"/>
  <c r="L21" i="29" s="1"/>
  <c r="L37" i="29" s="1"/>
  <c r="K91" i="29"/>
  <c r="K64" i="29"/>
  <c r="L44" i="29"/>
  <c r="L64" i="29" s="1"/>
  <c r="I152" i="29"/>
  <c r="I172" i="29" s="1"/>
  <c r="H145" i="29"/>
  <c r="I145" i="29"/>
  <c r="I98" i="29"/>
  <c r="I118" i="29" s="1"/>
  <c r="I71" i="29"/>
  <c r="I91" i="29" s="1"/>
  <c r="I44" i="29"/>
  <c r="I64" i="29" s="1"/>
  <c r="F172" i="29"/>
  <c r="E91" i="29"/>
  <c r="O199" i="28"/>
  <c r="N199" i="28"/>
  <c r="N172" i="28"/>
  <c r="O172" i="28"/>
  <c r="O145" i="28"/>
  <c r="N145" i="28"/>
  <c r="O98" i="28"/>
  <c r="O118" i="28" s="1"/>
  <c r="N91" i="28"/>
  <c r="O91" i="28"/>
  <c r="N64" i="28"/>
  <c r="O44" i="28"/>
  <c r="O64" i="28" s="1"/>
  <c r="G5" i="28" s="1"/>
  <c r="E145" i="29"/>
  <c r="E118" i="29"/>
  <c r="E64" i="29"/>
  <c r="F145" i="29"/>
  <c r="F98" i="29"/>
  <c r="F118" i="29" s="1"/>
  <c r="G3" i="29" s="1"/>
  <c r="F71" i="29"/>
  <c r="F91" i="29" s="1"/>
  <c r="F44" i="29"/>
  <c r="F64" i="29" s="1"/>
  <c r="K37" i="29"/>
  <c r="H37" i="29"/>
  <c r="E37" i="29"/>
  <c r="I37" i="29"/>
  <c r="F37" i="29"/>
  <c r="N37" i="29"/>
  <c r="G9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G3" i="27" s="1"/>
  <c r="N118" i="27"/>
  <c r="N91" i="27"/>
  <c r="O91" i="27"/>
  <c r="O61" i="27"/>
  <c r="O18" i="27" s="1"/>
  <c r="O37" i="27" s="1"/>
  <c r="O64" i="27"/>
  <c r="N64" i="27"/>
  <c r="K37" i="28"/>
  <c r="O37" i="28"/>
  <c r="E37" i="28"/>
  <c r="F37" i="28"/>
  <c r="N37" i="28"/>
  <c r="L37" i="28"/>
  <c r="I37" i="28"/>
  <c r="G9" i="28"/>
  <c r="G7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N172" i="26"/>
  <c r="O152" i="26"/>
  <c r="O172" i="26" s="1"/>
  <c r="O145" i="26"/>
  <c r="N145" i="26"/>
  <c r="O111" i="26"/>
  <c r="O31" i="26" s="1"/>
  <c r="N118" i="26"/>
  <c r="O118" i="26"/>
  <c r="O77" i="26"/>
  <c r="O21" i="26" s="1"/>
  <c r="N91" i="26"/>
  <c r="O71" i="26"/>
  <c r="N28" i="26"/>
  <c r="N37" i="26" s="1"/>
  <c r="O44" i="26"/>
  <c r="F37" i="27"/>
  <c r="N37" i="27"/>
  <c r="E37" i="27"/>
  <c r="L37" i="27"/>
  <c r="I37" i="27"/>
  <c r="G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L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O152" i="25"/>
  <c r="O172" i="25" s="1"/>
  <c r="O71" i="25"/>
  <c r="O91" i="25" s="1"/>
  <c r="O44" i="25"/>
  <c r="O64" i="25" s="1"/>
  <c r="G3" i="26"/>
  <c r="G9" i="26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L37" i="25"/>
  <c r="F37" i="25"/>
  <c r="K37" i="25"/>
  <c r="O37" i="25"/>
  <c r="H37" i="25"/>
  <c r="N37" i="25"/>
  <c r="E37" i="25"/>
  <c r="I37" i="25"/>
  <c r="G5" i="25"/>
  <c r="G7" i="25"/>
  <c r="G3" i="25"/>
  <c r="G9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F172" i="24" s="1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F199" i="24" s="1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O91" i="24"/>
  <c r="K199" i="24"/>
  <c r="L179" i="24"/>
  <c r="L199" i="24" s="1"/>
  <c r="G9" i="24" s="1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99" i="24" s="1"/>
  <c r="I152" i="24"/>
  <c r="I125" i="24"/>
  <c r="I145" i="24" s="1"/>
  <c r="I98" i="24"/>
  <c r="I118" i="24" s="1"/>
  <c r="I71" i="24"/>
  <c r="H18" i="24"/>
  <c r="H37" i="24" s="1"/>
  <c r="I44" i="24"/>
  <c r="F71" i="24"/>
  <c r="E22" i="24"/>
  <c r="E37" i="24" s="1"/>
  <c r="E64" i="24"/>
  <c r="F44" i="24"/>
  <c r="K37" i="24"/>
  <c r="N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N37" i="30" l="1"/>
  <c r="G11" i="31"/>
  <c r="L37" i="30"/>
  <c r="L118" i="30"/>
  <c r="G3" i="30" s="1"/>
  <c r="I37" i="30"/>
  <c r="I91" i="30"/>
  <c r="F91" i="30"/>
  <c r="G7" i="30" s="1"/>
  <c r="F23" i="30"/>
  <c r="F37" i="30" s="1"/>
  <c r="O37" i="29"/>
  <c r="G11" i="29" s="1"/>
  <c r="O91" i="29"/>
  <c r="G7" i="29" s="1"/>
  <c r="G5" i="29"/>
  <c r="G11" i="28"/>
  <c r="O91" i="26"/>
  <c r="O64" i="26"/>
  <c r="O28" i="26"/>
  <c r="O37" i="26" s="1"/>
  <c r="G11" i="27"/>
  <c r="K37" i="26"/>
  <c r="G7" i="26"/>
  <c r="L64" i="26"/>
  <c r="L28" i="26"/>
  <c r="L37" i="26" s="1"/>
  <c r="I64" i="26"/>
  <c r="I28" i="26"/>
  <c r="I37" i="26" s="1"/>
  <c r="F64" i="26"/>
  <c r="G5" i="26" s="1"/>
  <c r="F28" i="26"/>
  <c r="F37" i="26" s="1"/>
  <c r="O37" i="24"/>
  <c r="G11" i="25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30" l="1"/>
  <c r="G11" i="26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C219" i="9"/>
  <c r="I278" i="9"/>
  <c r="H126" i="9"/>
  <c r="E221" i="9"/>
  <c r="K215" i="9"/>
  <c r="N179" i="9"/>
  <c r="K267" i="9"/>
  <c r="G39" i="3"/>
  <c r="O44" i="3"/>
  <c r="K78" i="9"/>
  <c r="E166" i="9"/>
  <c r="H260" i="9"/>
  <c r="N34" i="9"/>
  <c r="O79" i="9"/>
  <c r="O71" i="9"/>
  <c r="L27" i="9"/>
  <c r="I126" i="9"/>
  <c r="K120" i="9"/>
  <c r="H61" i="9"/>
  <c r="G74" i="3"/>
  <c r="K250" i="9"/>
  <c r="O123" i="9"/>
  <c r="E64" i="9"/>
  <c r="F253" i="9"/>
  <c r="I226" i="9"/>
  <c r="C106" i="9"/>
  <c r="H40" i="9"/>
  <c r="K232" i="9"/>
  <c r="I140" i="9"/>
  <c r="N227" i="9"/>
  <c r="H67" i="9"/>
  <c r="E124" i="9"/>
  <c r="L60" i="9"/>
  <c r="E264" i="9"/>
  <c r="H29" i="9"/>
  <c r="I183" i="9"/>
  <c r="O34" i="9"/>
  <c r="G44" i="3"/>
  <c r="L183" i="9"/>
  <c r="F155" i="9"/>
  <c r="N105" i="9"/>
  <c r="N102" i="9"/>
  <c r="H63" i="9"/>
  <c r="K75" i="9"/>
  <c r="H98" i="9"/>
  <c r="I152" i="9"/>
  <c r="N256" i="9"/>
  <c r="C32" i="9"/>
  <c r="L224" i="9"/>
  <c r="I214" i="9"/>
  <c r="H73" i="9"/>
  <c r="F268" i="9"/>
  <c r="N116" i="9"/>
  <c r="F255" i="9"/>
  <c r="L233" i="9"/>
  <c r="H202" i="9"/>
  <c r="C115" i="9"/>
  <c r="O116" i="9"/>
  <c r="I26" i="9"/>
  <c r="L156" i="9"/>
  <c r="L254" i="9"/>
  <c r="K42" i="3"/>
  <c r="O48" i="3"/>
  <c r="N231" i="9"/>
  <c r="C99" i="9"/>
  <c r="H263" i="9"/>
  <c r="N222" i="9"/>
  <c r="L32" i="9"/>
  <c r="O232" i="9"/>
  <c r="E89" i="9"/>
  <c r="F278" i="9"/>
  <c r="F106" i="9"/>
  <c r="I82" i="9"/>
  <c r="O218" i="9"/>
  <c r="F147" i="9"/>
  <c r="H234" i="9"/>
  <c r="O149" i="9"/>
  <c r="I127" i="9"/>
  <c r="L195" i="9"/>
  <c r="I90" i="9"/>
  <c r="L102" i="9"/>
  <c r="O186" i="9"/>
  <c r="N199" i="9"/>
  <c r="F280" i="9"/>
  <c r="C152" i="9"/>
  <c r="L116" i="9"/>
  <c r="O66" i="3"/>
  <c r="O38" i="3"/>
  <c r="I87" i="9"/>
  <c r="K83" i="9"/>
  <c r="F179" i="9"/>
  <c r="K146" i="9"/>
  <c r="F103" i="9"/>
  <c r="E223" i="9"/>
  <c r="O72" i="3"/>
  <c r="F110" i="9"/>
  <c r="H153" i="9"/>
  <c r="N83" i="9"/>
  <c r="O214" i="9"/>
  <c r="I200" i="9"/>
  <c r="L198" i="9"/>
  <c r="C159" i="9"/>
  <c r="E25" i="9"/>
  <c r="E183" i="9"/>
  <c r="I189" i="9"/>
  <c r="F116" i="9"/>
  <c r="H204" i="9"/>
  <c r="F30" i="9"/>
  <c r="H214" i="9"/>
  <c r="K223" i="9"/>
  <c r="L265" i="9"/>
  <c r="O204" i="9"/>
  <c r="O226" i="9"/>
  <c r="C84" i="9"/>
  <c r="C204" i="9"/>
  <c r="I197" i="9"/>
  <c r="E119" i="9"/>
  <c r="K62" i="9"/>
  <c r="I166" i="9"/>
  <c r="F191" i="9"/>
  <c r="H125" i="9"/>
  <c r="F196" i="9"/>
  <c r="N31" i="9"/>
  <c r="O238" i="9"/>
  <c r="H230" i="9"/>
  <c r="O259" i="9"/>
  <c r="C69" i="9"/>
  <c r="C251" i="9"/>
  <c r="K41" i="3"/>
  <c r="F215" i="9"/>
  <c r="O220" i="9"/>
  <c r="F25" i="9"/>
  <c r="I116" i="9"/>
  <c r="N29" i="9"/>
  <c r="L241" i="9"/>
  <c r="F48" i="9"/>
  <c r="I71" i="9"/>
  <c r="E278" i="9"/>
  <c r="N67" i="9"/>
  <c r="O39" i="3"/>
  <c r="L272" i="9"/>
  <c r="O141" i="9"/>
  <c r="I136" i="9"/>
  <c r="F271" i="9"/>
  <c r="F124" i="9"/>
  <c r="O251" i="9"/>
  <c r="I179" i="9"/>
  <c r="E271" i="9"/>
  <c r="E114" i="9"/>
  <c r="K178" i="9"/>
  <c r="I88" i="9"/>
  <c r="I120" i="9"/>
  <c r="N278" i="9"/>
  <c r="I117" i="9"/>
  <c r="N44" i="9"/>
  <c r="O88" i="9"/>
  <c r="E186" i="9"/>
  <c r="E27" i="9"/>
  <c r="C127" i="9"/>
  <c r="F37" i="9"/>
  <c r="K11" i="5"/>
  <c r="K179" i="9"/>
  <c r="I174" i="9"/>
  <c r="N49" i="9"/>
  <c r="L47" i="9"/>
  <c r="E257" i="9"/>
  <c r="N51" i="9"/>
  <c r="E162" i="9"/>
  <c r="C73" i="9"/>
  <c r="O138" i="9"/>
  <c r="G48" i="3"/>
  <c r="O203" i="9"/>
  <c r="K163" i="9"/>
  <c r="N196" i="9"/>
  <c r="C44" i="9"/>
  <c r="H151" i="9"/>
  <c r="F193" i="9"/>
  <c r="H235" i="9"/>
  <c r="C123" i="9"/>
  <c r="H220" i="9"/>
  <c r="F52" i="9"/>
  <c r="O43" i="3"/>
  <c r="H122" i="9"/>
  <c r="N152" i="9"/>
  <c r="I238" i="9"/>
  <c r="K117" i="9"/>
  <c r="C140" i="9"/>
  <c r="O236" i="9"/>
  <c r="K90" i="9"/>
  <c r="L85" i="9"/>
  <c r="L276" i="9"/>
  <c r="N25" i="9"/>
  <c r="F223" i="9"/>
  <c r="F261" i="9"/>
  <c r="L242" i="9"/>
  <c r="N277" i="9"/>
  <c r="O73" i="9"/>
  <c r="I162" i="9"/>
  <c r="I258" i="9"/>
  <c r="C196" i="9"/>
  <c r="N119" i="9"/>
  <c r="L22" i="9"/>
  <c r="K272" i="9"/>
  <c r="I68" i="9"/>
  <c r="H236" i="9"/>
  <c r="L62" i="9"/>
  <c r="L142" i="9"/>
  <c r="F212" i="9"/>
  <c r="O258" i="9"/>
  <c r="E195" i="9"/>
  <c r="I231" i="9"/>
  <c r="H48" i="9"/>
  <c r="N22" i="9"/>
  <c r="K16" i="3"/>
  <c r="F105" i="9"/>
  <c r="I139" i="9"/>
  <c r="N217" i="9"/>
  <c r="K262" i="9"/>
  <c r="I62" i="9"/>
  <c r="L76" i="9"/>
  <c r="C271" i="9"/>
  <c r="K7" i="5"/>
  <c r="E220" i="9"/>
  <c r="E47" i="9"/>
  <c r="O271" i="9"/>
  <c r="L67" i="9"/>
  <c r="F202" i="9"/>
  <c r="F73" i="9"/>
  <c r="K79" i="9"/>
  <c r="K195" i="9"/>
  <c r="N138" i="9"/>
  <c r="O275" i="9"/>
  <c r="L103" i="9"/>
  <c r="O39" i="9"/>
  <c r="N191" i="9"/>
  <c r="L268" i="9"/>
  <c r="L237" i="9"/>
  <c r="I125" i="9"/>
  <c r="I22" i="9"/>
  <c r="F102" i="9"/>
  <c r="L81" i="9"/>
  <c r="C229" i="9"/>
  <c r="K33" i="9"/>
  <c r="H265" i="9"/>
  <c r="K107" i="9"/>
  <c r="K62" i="3"/>
  <c r="K269" i="9"/>
  <c r="H142" i="9"/>
  <c r="I102" i="9"/>
  <c r="E117" i="9"/>
  <c r="O45" i="9"/>
  <c r="N90" i="9"/>
  <c r="C178" i="9"/>
  <c r="K157" i="9"/>
  <c r="E139" i="9"/>
  <c r="L89" i="9"/>
  <c r="I23" i="9"/>
  <c r="N27" i="9"/>
  <c r="I259" i="9"/>
  <c r="E239" i="9"/>
  <c r="C100" i="9"/>
  <c r="O268" i="9"/>
  <c r="L90" i="9"/>
  <c r="I229" i="9"/>
  <c r="H28" i="9"/>
  <c r="E238" i="9"/>
  <c r="H232" i="9"/>
  <c r="C149" i="9"/>
  <c r="E181" i="9"/>
  <c r="L143" i="9"/>
  <c r="F89" i="9"/>
  <c r="E165" i="9"/>
  <c r="K242" i="9"/>
  <c r="F174" i="9"/>
  <c r="F265" i="9"/>
  <c r="N65" i="9"/>
  <c r="N66" i="9"/>
  <c r="K259" i="9"/>
  <c r="O114" i="9"/>
  <c r="O181" i="9"/>
  <c r="E107" i="9"/>
  <c r="E103" i="9"/>
  <c r="H266" i="9"/>
  <c r="K138" i="9"/>
  <c r="H264" i="9"/>
  <c r="L26" i="9"/>
  <c r="F117" i="9"/>
  <c r="F29" i="9"/>
  <c r="O193" i="9"/>
  <c r="L155" i="9"/>
  <c r="K260" i="9"/>
  <c r="C165" i="9"/>
  <c r="E234" i="9"/>
  <c r="L159" i="9"/>
  <c r="E113" i="9"/>
  <c r="N224" i="9"/>
  <c r="G41" i="3"/>
  <c r="C101" i="9"/>
  <c r="E202" i="9"/>
  <c r="K231" i="9"/>
  <c r="O75" i="9"/>
  <c r="N273" i="9"/>
  <c r="E251" i="9"/>
  <c r="I276" i="9"/>
  <c r="H107" i="9"/>
  <c r="N260" i="9"/>
  <c r="N218" i="9"/>
  <c r="O111" i="9"/>
  <c r="E76" i="9"/>
  <c r="K182" i="9"/>
  <c r="K8" i="5"/>
  <c r="C121" i="9"/>
  <c r="F175" i="9"/>
  <c r="K241" i="9"/>
  <c r="K204" i="9"/>
  <c r="O80" i="9"/>
  <c r="C182" i="9"/>
  <c r="H152" i="9"/>
  <c r="K159" i="9"/>
  <c r="I61" i="9"/>
  <c r="N30" i="9"/>
  <c r="K70" i="3"/>
  <c r="C194" i="9"/>
  <c r="N84" i="9"/>
  <c r="I80" i="9"/>
  <c r="K71" i="9"/>
  <c r="E32" i="9"/>
  <c r="C261" i="9"/>
  <c r="F90" i="9"/>
  <c r="F203" i="9"/>
  <c r="H177" i="9"/>
  <c r="L44" i="9"/>
  <c r="L178" i="9"/>
  <c r="N73" i="9"/>
  <c r="G35" i="3"/>
  <c r="C179" i="9"/>
  <c r="H161" i="9"/>
  <c r="O176" i="9"/>
  <c r="E266" i="9"/>
  <c r="E237" i="9"/>
  <c r="F70" i="9"/>
  <c r="H229" i="9"/>
  <c r="L274" i="9"/>
  <c r="I34" i="9"/>
  <c r="C200" i="9"/>
  <c r="K34" i="9"/>
  <c r="I264" i="9"/>
  <c r="K12" i="3"/>
  <c r="L192" i="9"/>
  <c r="I106" i="9"/>
  <c r="K18" i="5"/>
  <c r="C103" i="9"/>
  <c r="N100" i="9"/>
  <c r="C195" i="9"/>
  <c r="O229" i="9"/>
  <c r="K280" i="9"/>
  <c r="H254" i="9"/>
  <c r="C105" i="9"/>
  <c r="H218" i="9"/>
  <c r="K66" i="3"/>
  <c r="C256" i="9"/>
  <c r="I269" i="9"/>
  <c r="F273" i="9"/>
  <c r="C78" i="9"/>
  <c r="E42" i="9"/>
  <c r="N193" i="9"/>
  <c r="C85" i="9"/>
  <c r="I163" i="9"/>
  <c r="L212" i="9"/>
  <c r="C34" i="9"/>
  <c r="L106" i="9"/>
  <c r="F71" i="9"/>
  <c r="E214" i="9"/>
  <c r="F137" i="9"/>
  <c r="L65" i="9"/>
  <c r="F64" i="9"/>
  <c r="K199" i="9"/>
  <c r="F159" i="9"/>
  <c r="C263" i="9"/>
  <c r="F78" i="9"/>
  <c r="E126" i="9"/>
  <c r="C124" i="9"/>
  <c r="N123" i="9"/>
  <c r="H44" i="9"/>
  <c r="O67" i="3"/>
  <c r="I104" i="9"/>
  <c r="C198" i="9"/>
  <c r="F231" i="9"/>
  <c r="O122" i="9"/>
  <c r="K122" i="9"/>
  <c r="H196" i="9"/>
  <c r="K143" i="9"/>
  <c r="C141" i="9"/>
  <c r="F164" i="9"/>
  <c r="O179" i="9"/>
  <c r="H267" i="9"/>
  <c r="C180" i="9"/>
  <c r="H261" i="9"/>
  <c r="N89" i="9"/>
  <c r="L84" i="9"/>
  <c r="H52" i="9"/>
  <c r="O69" i="3"/>
  <c r="K101" i="9"/>
  <c r="I164" i="9"/>
  <c r="N177" i="9"/>
  <c r="N64" i="9"/>
  <c r="O277" i="9"/>
  <c r="N213" i="9"/>
  <c r="K109" i="9"/>
  <c r="N253" i="9"/>
  <c r="H184" i="9"/>
  <c r="N68" i="9"/>
  <c r="G38" i="3"/>
  <c r="H179" i="9"/>
  <c r="I108" i="9"/>
  <c r="K154" i="9"/>
  <c r="O239" i="9"/>
  <c r="C89" i="9"/>
  <c r="H144" i="9"/>
  <c r="O42" i="3"/>
  <c r="N158" i="9"/>
  <c r="C90" i="9"/>
  <c r="L213" i="9"/>
  <c r="F28" i="9"/>
  <c r="E225" i="9"/>
  <c r="I154" i="9"/>
  <c r="H65" i="9"/>
  <c r="E174" i="9"/>
  <c r="I256" i="9"/>
  <c r="H116" i="9"/>
  <c r="E216" i="9"/>
  <c r="G64" i="3"/>
  <c r="O86" i="9"/>
  <c r="L117" i="9"/>
  <c r="H26" i="9"/>
  <c r="H115" i="9"/>
  <c r="K264" i="9"/>
  <c r="N23" i="9"/>
  <c r="H258" i="9"/>
  <c r="N115" i="9"/>
  <c r="C274" i="9"/>
  <c r="C267" i="9"/>
  <c r="K155" i="9"/>
  <c r="H262" i="9"/>
  <c r="K80" i="9"/>
  <c r="H146" i="9"/>
  <c r="F98" i="9"/>
  <c r="K140" i="9"/>
  <c r="C77" i="9"/>
  <c r="H33" i="9"/>
  <c r="O33" i="9"/>
  <c r="E127" i="9"/>
  <c r="K44" i="3"/>
  <c r="K266" i="9"/>
  <c r="L221" i="9"/>
  <c r="K64" i="9"/>
  <c r="F225" i="9"/>
  <c r="K16" i="5"/>
  <c r="L266" i="9"/>
  <c r="K41" i="9"/>
  <c r="L193" i="9"/>
  <c r="I277" i="9"/>
  <c r="K72" i="9"/>
  <c r="K213" i="9"/>
  <c r="K181" i="9"/>
  <c r="K65" i="9"/>
  <c r="L152" i="9"/>
  <c r="N189" i="9"/>
  <c r="L35" i="9"/>
  <c r="F274" i="9"/>
  <c r="C158" i="9"/>
  <c r="K174" i="9"/>
  <c r="L145" i="9"/>
  <c r="L73" i="9"/>
  <c r="C186" i="9"/>
  <c r="H75" i="9"/>
  <c r="H197" i="9"/>
  <c r="K151" i="9"/>
  <c r="N274" i="9"/>
  <c r="K39" i="9"/>
  <c r="N35" i="9"/>
  <c r="C232" i="9"/>
  <c r="O41" i="9"/>
  <c r="I279" i="9"/>
  <c r="K116" i="9"/>
  <c r="I28" i="9"/>
  <c r="F107" i="9"/>
  <c r="O24" i="9"/>
  <c r="F279" i="9"/>
  <c r="N121" i="9"/>
  <c r="H188" i="9"/>
  <c r="H25" i="9"/>
  <c r="F88" i="9"/>
  <c r="I187" i="9"/>
  <c r="C184" i="9"/>
  <c r="I273" i="9"/>
  <c r="N148" i="9"/>
  <c r="F199" i="9"/>
  <c r="K256" i="9"/>
  <c r="I83" i="9"/>
  <c r="N160" i="9"/>
  <c r="C242" i="9"/>
  <c r="I176" i="9"/>
  <c r="O26" i="9"/>
  <c r="H138" i="9"/>
  <c r="N279" i="9"/>
  <c r="H238" i="9"/>
  <c r="F195" i="9"/>
  <c r="K46" i="9"/>
  <c r="H145" i="9"/>
  <c r="E260" i="9"/>
  <c r="H46" i="9"/>
  <c r="H242" i="9"/>
  <c r="K113" i="9"/>
  <c r="L66" i="9"/>
  <c r="L23" i="9"/>
  <c r="N235" i="9"/>
  <c r="O253" i="9"/>
  <c r="I60" i="9"/>
  <c r="N75" i="9"/>
  <c r="K69" i="3"/>
  <c r="K22" i="9"/>
  <c r="O151" i="9"/>
  <c r="E154" i="9"/>
  <c r="H100" i="9"/>
  <c r="O152" i="9"/>
  <c r="G63" i="3"/>
  <c r="E197" i="9"/>
  <c r="O233" i="9"/>
  <c r="I44" i="9"/>
  <c r="C81" i="9"/>
  <c r="H193" i="9"/>
  <c r="L126" i="9"/>
  <c r="H101" i="9"/>
  <c r="C26" i="9"/>
  <c r="I52" i="9"/>
  <c r="K189" i="9"/>
  <c r="C27" i="9"/>
  <c r="C151" i="9"/>
  <c r="K128" i="9"/>
  <c r="H50" i="9"/>
  <c r="L64" i="9"/>
  <c r="L68" i="9"/>
  <c r="F235" i="9"/>
  <c r="C213" i="9"/>
  <c r="N229" i="9"/>
  <c r="C39" i="9"/>
  <c r="F160" i="9"/>
  <c r="K23" i="3"/>
  <c r="E38" i="9"/>
  <c r="E157" i="9"/>
  <c r="K217" i="9"/>
  <c r="E182" i="9"/>
  <c r="K82" i="9"/>
  <c r="O42" i="9"/>
  <c r="E163" i="9"/>
  <c r="E102" i="9"/>
  <c r="I160" i="9"/>
  <c r="K24" i="5"/>
  <c r="E226" i="9"/>
  <c r="C118" i="9"/>
  <c r="O175" i="9"/>
  <c r="O196" i="9"/>
  <c r="L70" i="9"/>
  <c r="F86" i="9"/>
  <c r="E82" i="9"/>
  <c r="F204" i="9"/>
  <c r="H83" i="9"/>
  <c r="C70" i="9"/>
  <c r="L277" i="9"/>
  <c r="E254" i="9"/>
  <c r="I41" i="9"/>
  <c r="C79" i="9"/>
  <c r="G69" i="3"/>
  <c r="K68" i="9"/>
  <c r="O254" i="9"/>
  <c r="K10" i="3"/>
  <c r="O240" i="9"/>
  <c r="H154" i="9"/>
  <c r="O128" i="9"/>
  <c r="E44" i="9"/>
  <c r="K180" i="9"/>
  <c r="I198" i="9"/>
  <c r="O121" i="9"/>
  <c r="N261" i="9"/>
  <c r="E155" i="9"/>
  <c r="C122" i="9"/>
  <c r="N140" i="9"/>
  <c r="L139" i="9"/>
  <c r="E272" i="9"/>
  <c r="O67" i="9"/>
  <c r="C137" i="9"/>
  <c r="E72" i="9"/>
  <c r="H212" i="9"/>
  <c r="C71" i="9"/>
  <c r="F186" i="9"/>
  <c r="C136" i="9"/>
  <c r="L257" i="9"/>
  <c r="E123" i="9"/>
  <c r="K38" i="9"/>
  <c r="K40" i="3"/>
  <c r="O162" i="9"/>
  <c r="N197" i="9"/>
  <c r="F87" i="9"/>
  <c r="I149" i="9"/>
  <c r="I255" i="9"/>
  <c r="H30" i="9"/>
  <c r="C25" i="9"/>
  <c r="F26" i="9"/>
  <c r="O252" i="9"/>
  <c r="I177" i="9"/>
  <c r="N126" i="9"/>
  <c r="F74" i="9"/>
  <c r="O34" i="3"/>
  <c r="C177" i="9"/>
  <c r="I202" i="9"/>
  <c r="K149" i="9"/>
  <c r="N161" i="9"/>
  <c r="E87" i="9"/>
  <c r="H99" i="9"/>
  <c r="O99" i="9"/>
  <c r="L87" i="9"/>
  <c r="E188" i="9"/>
  <c r="H112" i="9"/>
  <c r="C268" i="9"/>
  <c r="F80" i="9"/>
  <c r="C216" i="9"/>
  <c r="O199" i="9"/>
  <c r="C162" i="9"/>
  <c r="N149" i="9"/>
  <c r="O75" i="3"/>
  <c r="O100" i="9"/>
  <c r="C264" i="9"/>
  <c r="F152" i="9"/>
  <c r="E71" i="9"/>
  <c r="N61" i="9"/>
  <c r="K14" i="5"/>
  <c r="E194" i="9"/>
  <c r="O119" i="9"/>
  <c r="N156" i="9"/>
  <c r="N43" i="9"/>
  <c r="C98" i="9"/>
  <c r="K68" i="3"/>
  <c r="L72" i="9"/>
  <c r="N76" i="9"/>
  <c r="F72" i="9"/>
  <c r="O228" i="9"/>
  <c r="C183" i="9"/>
  <c r="I84" i="9"/>
  <c r="N267" i="9"/>
  <c r="H259" i="9"/>
  <c r="I32" i="9"/>
  <c r="O189" i="9"/>
  <c r="F200" i="9"/>
  <c r="H121" i="9"/>
  <c r="E83" i="9"/>
  <c r="F68" i="9"/>
  <c r="F139" i="9"/>
  <c r="E122" i="9"/>
  <c r="K50" i="3"/>
  <c r="O40" i="3"/>
  <c r="N275" i="9"/>
  <c r="K46" i="3"/>
  <c r="K35" i="9"/>
  <c r="K81" i="9"/>
  <c r="O216" i="9"/>
  <c r="K65" i="3"/>
  <c r="C175" i="9"/>
  <c r="N268" i="9"/>
  <c r="C161" i="9"/>
  <c r="H117" i="9"/>
  <c r="E229" i="9"/>
  <c r="H225" i="9"/>
  <c r="N106" i="9"/>
  <c r="H137" i="9"/>
  <c r="F238" i="9"/>
  <c r="C275" i="9"/>
  <c r="F275" i="9"/>
  <c r="H47" i="9"/>
  <c r="K220" i="9"/>
  <c r="F216" i="9"/>
  <c r="N188" i="9"/>
  <c r="N174" i="9"/>
  <c r="N259" i="9"/>
  <c r="L189" i="9"/>
  <c r="C43" i="9"/>
  <c r="H233" i="9"/>
  <c r="N219" i="9"/>
  <c r="K258" i="9"/>
  <c r="E231" i="9"/>
  <c r="I113" i="9"/>
  <c r="E196" i="9"/>
  <c r="I100" i="9"/>
  <c r="E277" i="9"/>
  <c r="L181" i="9"/>
  <c r="O200" i="9"/>
  <c r="H69" i="9"/>
  <c r="L148" i="9"/>
  <c r="I110" i="9"/>
  <c r="C107" i="9"/>
  <c r="I79" i="9"/>
  <c r="N46" i="9"/>
  <c r="E144" i="9"/>
  <c r="I138" i="9"/>
  <c r="E241" i="9"/>
  <c r="G62" i="3"/>
  <c r="H35" i="9"/>
  <c r="C163" i="9"/>
  <c r="G59" i="3"/>
  <c r="K225" i="9"/>
  <c r="F108" i="9"/>
  <c r="O32" i="9"/>
  <c r="N226" i="9"/>
  <c r="L123" i="9"/>
  <c r="N114" i="9"/>
  <c r="I212" i="9"/>
  <c r="E68" i="9"/>
  <c r="K112" i="9"/>
  <c r="N28" i="9"/>
  <c r="F251" i="9"/>
  <c r="O37" i="9"/>
  <c r="E24" i="9"/>
  <c r="I253" i="9"/>
  <c r="L40" i="9"/>
  <c r="O35" i="3"/>
  <c r="F38" i="9"/>
  <c r="C126" i="9"/>
  <c r="E34" i="9"/>
  <c r="E78" i="9"/>
  <c r="O68" i="9"/>
  <c r="I43" i="9"/>
  <c r="C62" i="9"/>
  <c r="N252" i="9"/>
  <c r="G58" i="3"/>
  <c r="O104" i="9"/>
  <c r="K118" i="9"/>
  <c r="C48" i="9"/>
  <c r="L147" i="9"/>
  <c r="K21" i="5"/>
  <c r="H191" i="9"/>
  <c r="L262" i="9"/>
  <c r="F224" i="9"/>
  <c r="O33" i="3"/>
  <c r="H62" i="9"/>
  <c r="I151" i="9"/>
  <c r="I31" i="9"/>
  <c r="F228" i="9"/>
  <c r="H38" i="9"/>
  <c r="C60" i="9"/>
  <c r="K50" i="9"/>
  <c r="E215" i="9"/>
  <c r="K56" i="3"/>
  <c r="N212" i="9"/>
  <c r="F162" i="9"/>
  <c r="E253" i="9"/>
  <c r="F149" i="9"/>
  <c r="L120" i="9"/>
  <c r="L190" i="9"/>
  <c r="F67" i="9"/>
  <c r="L82" i="9"/>
  <c r="K32" i="9"/>
  <c r="F33" i="9"/>
  <c r="K87" i="9"/>
  <c r="N154" i="9"/>
  <c r="N280" i="9"/>
  <c r="I213" i="9"/>
  <c r="L174" i="9"/>
  <c r="F217" i="9"/>
  <c r="L187" i="9"/>
  <c r="G73" i="3"/>
  <c r="F128" i="9"/>
  <c r="F76" i="9"/>
  <c r="F45" i="9"/>
  <c r="L125" i="9"/>
  <c r="F252" i="9"/>
  <c r="H241" i="9"/>
  <c r="L220" i="9"/>
  <c r="H222" i="9"/>
  <c r="H108" i="9"/>
  <c r="H162" i="9"/>
  <c r="I235" i="9"/>
  <c r="E233" i="9"/>
  <c r="F44" i="9"/>
  <c r="F51" i="9"/>
  <c r="K98" i="9"/>
  <c r="H37" i="9"/>
  <c r="H216" i="9"/>
  <c r="O70" i="3"/>
  <c r="E149" i="9"/>
  <c r="K52" i="9"/>
  <c r="I67" i="9"/>
  <c r="N265" i="9"/>
  <c r="C258" i="9"/>
  <c r="F144" i="9"/>
  <c r="H279" i="9"/>
  <c r="C144" i="9"/>
  <c r="H72" i="9"/>
  <c r="F166" i="9"/>
  <c r="I270" i="9"/>
  <c r="L86" i="9"/>
  <c r="K44" i="9"/>
  <c r="N266" i="9"/>
  <c r="E258" i="9"/>
  <c r="O57" i="3"/>
  <c r="N198" i="9"/>
  <c r="F232" i="9"/>
  <c r="C110" i="9"/>
  <c r="I188" i="9"/>
  <c r="C238" i="9"/>
  <c r="K185" i="9"/>
  <c r="I119" i="9"/>
  <c r="C22" i="9"/>
  <c r="F143" i="9"/>
  <c r="E98" i="9"/>
  <c r="E185" i="9"/>
  <c r="L136" i="9"/>
  <c r="K7" i="3"/>
  <c r="C176" i="9"/>
  <c r="I77" i="9"/>
  <c r="K27" i="9"/>
  <c r="G75" i="3"/>
  <c r="I195" i="9"/>
  <c r="F141" i="9"/>
  <c r="N118" i="9"/>
  <c r="E204" i="9"/>
  <c r="N165" i="9"/>
  <c r="I190" i="9"/>
  <c r="N220" i="9"/>
  <c r="N175" i="9"/>
  <c r="N120" i="9"/>
  <c r="H106" i="9"/>
  <c r="C215" i="9"/>
  <c r="N78" i="9"/>
  <c r="K15" i="5"/>
  <c r="C109" i="9"/>
  <c r="C139" i="9"/>
  <c r="C52" i="9"/>
  <c r="E140" i="9"/>
  <c r="H64" i="9"/>
  <c r="K34" i="3"/>
  <c r="L49" i="9"/>
  <c r="O47" i="9"/>
  <c r="H226" i="9"/>
  <c r="H79" i="9"/>
  <c r="G32" i="3"/>
  <c r="I141" i="9"/>
  <c r="O270" i="9"/>
  <c r="O82" i="9"/>
  <c r="H109" i="9"/>
  <c r="O47" i="3"/>
  <c r="K150" i="9"/>
  <c r="I271" i="9"/>
  <c r="N159" i="9"/>
  <c r="H128" i="9"/>
  <c r="K47" i="9"/>
  <c r="L275" i="9"/>
  <c r="F145" i="9"/>
  <c r="F270" i="9"/>
  <c r="F75" i="9"/>
  <c r="K253" i="9"/>
  <c r="N38" i="9"/>
  <c r="C228" i="9"/>
  <c r="H85" i="9"/>
  <c r="L144" i="9"/>
  <c r="G43" i="3"/>
  <c r="K240" i="9"/>
  <c r="I40" i="9"/>
  <c r="O31" i="9"/>
  <c r="I250" i="9"/>
  <c r="C166" i="9"/>
  <c r="E108" i="9"/>
  <c r="H74" i="9"/>
  <c r="C262" i="9"/>
  <c r="K222" i="9"/>
  <c r="C220" i="9"/>
  <c r="H189" i="9"/>
  <c r="E104" i="9"/>
  <c r="F157" i="9"/>
  <c r="H88" i="9"/>
  <c r="F84" i="9"/>
  <c r="I272" i="9"/>
  <c r="O108" i="9"/>
  <c r="N183" i="9"/>
  <c r="H223" i="9"/>
  <c r="K192" i="9"/>
  <c r="N62" i="9"/>
  <c r="O241" i="9"/>
  <c r="K49" i="9"/>
  <c r="N238" i="9"/>
  <c r="L253" i="9"/>
  <c r="I144" i="9"/>
  <c r="N202" i="9"/>
  <c r="O223" i="9"/>
  <c r="O43" i="9"/>
  <c r="E74" i="9"/>
  <c r="F239" i="9"/>
  <c r="K45" i="3"/>
  <c r="C113" i="9"/>
  <c r="L199" i="9"/>
  <c r="K60" i="9"/>
  <c r="E217" i="9"/>
  <c r="E28" i="9"/>
  <c r="E192" i="9"/>
  <c r="K251" i="9"/>
  <c r="I219" i="9"/>
  <c r="O45" i="3"/>
  <c r="O269" i="9"/>
  <c r="I233" i="9"/>
  <c r="L48" i="9"/>
  <c r="F192" i="9"/>
  <c r="H105" i="9"/>
  <c r="H219" i="9"/>
  <c r="K126" i="9"/>
  <c r="O59" i="3"/>
  <c r="K31" i="9"/>
  <c r="L71" i="9"/>
  <c r="C278" i="9"/>
  <c r="E187" i="9"/>
  <c r="O213" i="9"/>
  <c r="H120" i="9"/>
  <c r="I232" i="9"/>
  <c r="O56" i="3"/>
  <c r="I185" i="9"/>
  <c r="E279" i="9"/>
  <c r="I24" i="9"/>
  <c r="E235" i="9"/>
  <c r="H200" i="9"/>
  <c r="H257" i="9"/>
  <c r="O22" i="9"/>
  <c r="I204" i="9"/>
  <c r="I201" i="9"/>
  <c r="E141" i="9"/>
  <c r="C273" i="9"/>
  <c r="K89" i="9"/>
  <c r="E116" i="9"/>
  <c r="C35" i="9"/>
  <c r="K63" i="3"/>
  <c r="O68" i="3"/>
  <c r="L179" i="9"/>
  <c r="N270" i="9"/>
  <c r="E30" i="9"/>
  <c r="O262" i="9"/>
  <c r="E125" i="9"/>
  <c r="C160" i="9"/>
  <c r="N110" i="9"/>
  <c r="I122" i="9"/>
  <c r="H213" i="9"/>
  <c r="E256" i="9"/>
  <c r="N82" i="9"/>
  <c r="O48" i="9"/>
  <c r="C252" i="9"/>
  <c r="K191" i="9"/>
  <c r="K238" i="9"/>
  <c r="I147" i="9"/>
  <c r="E259" i="9"/>
  <c r="I123" i="9"/>
  <c r="L230" i="9"/>
  <c r="I227" i="9"/>
  <c r="I181" i="9"/>
  <c r="O124" i="9"/>
  <c r="H155" i="9"/>
  <c r="C29" i="9"/>
  <c r="F260" i="9"/>
  <c r="E203" i="9"/>
  <c r="N225" i="9"/>
  <c r="K164" i="9"/>
  <c r="K60" i="3"/>
  <c r="C231" i="9"/>
  <c r="K84" i="9"/>
  <c r="K278" i="9"/>
  <c r="F49" i="9"/>
  <c r="K19" i="5"/>
  <c r="I221" i="9"/>
  <c r="O191" i="9"/>
  <c r="E191" i="9"/>
  <c r="C116" i="9"/>
  <c r="L115" i="9"/>
  <c r="K73" i="3"/>
  <c r="K69" i="9"/>
  <c r="I76" i="9"/>
  <c r="O77" i="9"/>
  <c r="O202" i="9"/>
  <c r="I261" i="9"/>
  <c r="O157" i="9"/>
  <c r="K161" i="9"/>
  <c r="O147" i="9"/>
  <c r="I157" i="9"/>
  <c r="L267" i="9"/>
  <c r="H278" i="9"/>
  <c r="H124" i="9"/>
  <c r="N88" i="9"/>
  <c r="I142" i="9"/>
  <c r="K74" i="9"/>
  <c r="F241" i="9"/>
  <c r="H103" i="9"/>
  <c r="E120" i="9"/>
  <c r="C145" i="9"/>
  <c r="N71" i="9"/>
  <c r="K221" i="9"/>
  <c r="K66" i="9"/>
  <c r="O60" i="9"/>
  <c r="F262" i="9"/>
  <c r="H277" i="9"/>
  <c r="K197" i="9"/>
  <c r="I111" i="9"/>
  <c r="C234" i="9"/>
  <c r="K202" i="9"/>
  <c r="E232" i="9"/>
  <c r="L166" i="9"/>
  <c r="E65" i="9"/>
  <c r="I236" i="9"/>
  <c r="F83" i="9"/>
  <c r="K148" i="9"/>
  <c r="E160" i="9"/>
  <c r="I262" i="9"/>
  <c r="F61" i="9"/>
  <c r="E230" i="9"/>
  <c r="I178" i="9"/>
  <c r="F42" i="9"/>
  <c r="F120" i="9"/>
  <c r="N254" i="9"/>
  <c r="K38" i="3"/>
  <c r="O118" i="9"/>
  <c r="E262" i="9"/>
  <c r="H24" i="9"/>
  <c r="N144" i="9"/>
  <c r="L99" i="9"/>
  <c r="L163" i="9"/>
  <c r="E73" i="9"/>
  <c r="C235" i="9"/>
  <c r="K237" i="9"/>
  <c r="K64" i="3"/>
  <c r="C265" i="9"/>
  <c r="C255" i="9"/>
  <c r="K183" i="9"/>
  <c r="K147" i="9"/>
  <c r="F126" i="9"/>
  <c r="O46" i="9"/>
  <c r="I275" i="9"/>
  <c r="E112" i="9"/>
  <c r="K26" i="9"/>
  <c r="K152" i="9"/>
  <c r="O62" i="3"/>
  <c r="G50" i="3"/>
  <c r="O136" i="9"/>
  <c r="C42" i="9"/>
  <c r="K17" i="3"/>
  <c r="C65" i="9"/>
  <c r="N112" i="9"/>
  <c r="K75" i="3"/>
  <c r="L196" i="9"/>
  <c r="N164" i="9"/>
  <c r="K235" i="9"/>
  <c r="E261" i="9"/>
  <c r="L101" i="9"/>
  <c r="K114" i="9"/>
  <c r="F109" i="9"/>
  <c r="C112" i="9"/>
  <c r="H157" i="9"/>
  <c r="E70" i="9"/>
  <c r="H186" i="9"/>
  <c r="I156" i="9"/>
  <c r="O90" i="9"/>
  <c r="O60" i="3"/>
  <c r="K67" i="9"/>
  <c r="E115" i="9"/>
  <c r="H280" i="9"/>
  <c r="I30" i="9"/>
  <c r="K17" i="5"/>
  <c r="F219" i="9"/>
  <c r="O153" i="9"/>
  <c r="F104" i="9"/>
  <c r="H156" i="9"/>
  <c r="L250" i="9"/>
  <c r="N69" i="9"/>
  <c r="N232" i="9"/>
  <c r="L78" i="9"/>
  <c r="K201" i="9"/>
  <c r="F32" i="9"/>
  <c r="L43" i="9"/>
  <c r="K137" i="9"/>
  <c r="O71" i="3"/>
  <c r="E273" i="9"/>
  <c r="C104" i="9"/>
  <c r="O74" i="3"/>
  <c r="I46" i="9"/>
  <c r="N128" i="9"/>
  <c r="H70" i="9"/>
  <c r="E201" i="9"/>
  <c r="N237" i="9"/>
  <c r="K279" i="9"/>
  <c r="N271" i="9"/>
  <c r="L255" i="9"/>
  <c r="K70" i="9"/>
  <c r="K156" i="9"/>
  <c r="K42" i="9"/>
  <c r="I128" i="9"/>
  <c r="K166" i="9"/>
  <c r="N257" i="9"/>
  <c r="O36" i="9"/>
  <c r="K67" i="3"/>
  <c r="N117" i="9"/>
  <c r="C202" i="9"/>
  <c r="O28" i="9"/>
  <c r="O61" i="9"/>
  <c r="N215" i="9"/>
  <c r="L219" i="9"/>
  <c r="I145" i="9"/>
  <c r="C279" i="9"/>
  <c r="E180" i="9"/>
  <c r="F180" i="9"/>
  <c r="O143" i="9"/>
  <c r="H60" i="9"/>
  <c r="K212" i="9"/>
  <c r="I268" i="9"/>
  <c r="K165" i="9"/>
  <c r="H180" i="9"/>
  <c r="O280" i="9"/>
  <c r="O182" i="9"/>
  <c r="G60" i="3"/>
  <c r="L227" i="9"/>
  <c r="I161" i="9"/>
  <c r="E176" i="9"/>
  <c r="K40" i="9"/>
  <c r="I89" i="9"/>
  <c r="G47" i="3"/>
  <c r="I199" i="9"/>
  <c r="G34" i="3"/>
  <c r="I155" i="9"/>
  <c r="K153" i="9"/>
  <c r="O215" i="9"/>
  <c r="E29" i="9"/>
  <c r="H217" i="9"/>
  <c r="K10" i="5"/>
  <c r="I143" i="9"/>
  <c r="L239" i="9"/>
  <c r="G68" i="3"/>
  <c r="E148" i="9"/>
  <c r="H237" i="9"/>
  <c r="O192" i="9"/>
  <c r="K39" i="3"/>
  <c r="K115" i="9"/>
  <c r="K59" i="3"/>
  <c r="I64" i="9"/>
  <c r="E265" i="9"/>
  <c r="F140" i="9"/>
  <c r="K99" i="9"/>
  <c r="N72" i="9"/>
  <c r="N180" i="9"/>
  <c r="H31" i="9"/>
  <c r="N151" i="9"/>
  <c r="K9" i="3"/>
  <c r="N276" i="9"/>
  <c r="L228" i="9"/>
  <c r="H181" i="9"/>
  <c r="L258" i="9"/>
  <c r="K193" i="9"/>
  <c r="E145" i="9"/>
  <c r="N236" i="9"/>
  <c r="H123" i="9"/>
  <c r="I228" i="9"/>
  <c r="E274" i="9"/>
  <c r="H182" i="9"/>
  <c r="E156" i="9"/>
  <c r="F148" i="9"/>
  <c r="F99" i="9"/>
  <c r="L114" i="9"/>
  <c r="O231" i="9"/>
  <c r="N184" i="9"/>
  <c r="E90" i="9"/>
  <c r="C266" i="9"/>
  <c r="L236" i="9"/>
  <c r="E218" i="9"/>
  <c r="C28" i="9"/>
  <c r="I265" i="9"/>
  <c r="K71" i="3"/>
  <c r="C66" i="9"/>
  <c r="O65" i="3"/>
  <c r="N240" i="9"/>
  <c r="H194" i="9"/>
  <c r="K13" i="3"/>
  <c r="C185" i="9"/>
  <c r="H192" i="9"/>
  <c r="I47" i="9"/>
  <c r="O195" i="9"/>
  <c r="H251" i="9"/>
  <c r="L41" i="9"/>
  <c r="N221" i="9"/>
  <c r="G72" i="3"/>
  <c r="L100" i="9"/>
  <c r="N85" i="9"/>
  <c r="C280" i="9"/>
  <c r="L197" i="9"/>
  <c r="E66" i="9"/>
  <c r="F118" i="9"/>
  <c r="K36" i="9"/>
  <c r="H253" i="9"/>
  <c r="E184" i="9"/>
  <c r="L202" i="9"/>
  <c r="F165" i="9"/>
  <c r="E147" i="9"/>
  <c r="L104" i="9"/>
  <c r="K106" i="9"/>
  <c r="K86" i="9"/>
  <c r="L154" i="9"/>
  <c r="K14" i="3"/>
  <c r="E75" i="9"/>
  <c r="N33" i="9"/>
  <c r="F27" i="9"/>
  <c r="E222" i="9"/>
  <c r="C45" i="9"/>
  <c r="K36" i="3"/>
  <c r="O103" i="9"/>
  <c r="C233" i="9"/>
  <c r="H43" i="9"/>
  <c r="K127" i="9"/>
  <c r="I33" i="9"/>
  <c r="K257" i="9"/>
  <c r="I72" i="9"/>
  <c r="O250" i="9"/>
  <c r="E101" i="9"/>
  <c r="I222" i="9"/>
  <c r="H34" i="9"/>
  <c r="K200" i="9"/>
  <c r="I45" i="9"/>
  <c r="L151" i="9"/>
  <c r="H102" i="9"/>
  <c r="K12" i="5"/>
  <c r="L182" i="9"/>
  <c r="C164" i="9"/>
  <c r="E143" i="9"/>
  <c r="H195" i="9"/>
  <c r="F272" i="9"/>
  <c r="F242" i="9"/>
  <c r="I239" i="9"/>
  <c r="C68" i="9"/>
  <c r="F264" i="9"/>
  <c r="O150" i="9"/>
  <c r="I29" i="9"/>
  <c r="C64" i="9"/>
  <c r="I242" i="9"/>
  <c r="N155" i="9"/>
  <c r="K48" i="9"/>
  <c r="K63" i="9"/>
  <c r="K175" i="9"/>
  <c r="C218" i="9"/>
  <c r="N139" i="9"/>
  <c r="O156" i="9"/>
  <c r="F263" i="9"/>
  <c r="H68" i="9"/>
  <c r="E255" i="9"/>
  <c r="K111" i="9"/>
  <c r="F227" i="9"/>
  <c r="C190" i="9"/>
  <c r="G65" i="3"/>
  <c r="O165" i="9"/>
  <c r="G42" i="3"/>
  <c r="E263" i="9"/>
  <c r="O178" i="9"/>
  <c r="O117" i="9"/>
  <c r="O224" i="9"/>
  <c r="E111" i="9"/>
  <c r="K74" i="3"/>
  <c r="K61" i="3"/>
  <c r="N74" i="9"/>
  <c r="L222" i="9"/>
  <c r="E105" i="9"/>
  <c r="H81" i="9"/>
  <c r="E45" i="9"/>
  <c r="E69" i="9"/>
  <c r="K144" i="9"/>
  <c r="N214" i="9"/>
  <c r="I196" i="9"/>
  <c r="O227" i="9"/>
  <c r="L75" i="9"/>
  <c r="I48" i="9"/>
  <c r="O148" i="9"/>
  <c r="E33" i="9"/>
  <c r="E193" i="9"/>
  <c r="K108" i="9"/>
  <c r="F100" i="9"/>
  <c r="C38" i="9"/>
  <c r="H66" i="9"/>
  <c r="I35" i="9"/>
  <c r="C125" i="9"/>
  <c r="K273" i="9"/>
  <c r="I63" i="9"/>
  <c r="C41" i="9"/>
  <c r="I260" i="9"/>
  <c r="O145" i="9"/>
  <c r="K119" i="9"/>
  <c r="K226" i="9"/>
  <c r="I101" i="9"/>
  <c r="F111" i="9"/>
  <c r="K105" i="9"/>
  <c r="K125" i="9"/>
  <c r="E270" i="9"/>
  <c r="F201" i="9"/>
  <c r="F62" i="9"/>
  <c r="L29" i="9"/>
  <c r="E190" i="9"/>
  <c r="N101" i="9"/>
  <c r="N141" i="9"/>
  <c r="O37" i="3"/>
  <c r="C188" i="9"/>
  <c r="O109" i="9"/>
  <c r="I224" i="9"/>
  <c r="C153" i="9"/>
  <c r="L105" i="9"/>
  <c r="E80" i="9"/>
  <c r="F41" i="9"/>
  <c r="I158" i="9"/>
  <c r="E36" i="9"/>
  <c r="I234" i="9"/>
  <c r="O51" i="9"/>
  <c r="K142" i="9"/>
  <c r="F250" i="9"/>
  <c r="K102" i="9"/>
  <c r="N176" i="9"/>
  <c r="L79" i="9"/>
  <c r="K277" i="9"/>
  <c r="F40" i="9"/>
  <c r="K187" i="9"/>
  <c r="C174" i="9"/>
  <c r="N241" i="9"/>
  <c r="N47" i="9"/>
  <c r="E212" i="9"/>
  <c r="H149" i="9"/>
  <c r="K160" i="9"/>
  <c r="I280" i="9"/>
  <c r="C212" i="9"/>
  <c r="H111" i="9"/>
  <c r="F240" i="9"/>
  <c r="K139" i="9"/>
  <c r="N233" i="9"/>
  <c r="K176" i="9"/>
  <c r="K57" i="3"/>
  <c r="K136" i="9"/>
  <c r="E177" i="9"/>
  <c r="E161" i="9"/>
  <c r="L46" i="9"/>
  <c r="O49" i="3"/>
  <c r="L269" i="9"/>
  <c r="E150" i="9"/>
  <c r="I103" i="9"/>
  <c r="K216" i="9"/>
  <c r="E49" i="9"/>
  <c r="N107" i="9"/>
  <c r="K230" i="9"/>
  <c r="E138" i="9"/>
  <c r="F257" i="9"/>
  <c r="F123" i="9"/>
  <c r="O197" i="9"/>
  <c r="H268" i="9"/>
  <c r="H71" i="9"/>
  <c r="K275" i="9"/>
  <c r="I107" i="9"/>
  <c r="L127" i="9"/>
  <c r="K24" i="3"/>
  <c r="F214" i="9"/>
  <c r="L229" i="9"/>
  <c r="H139" i="9"/>
  <c r="E236" i="9"/>
  <c r="K21" i="3"/>
  <c r="O125" i="9"/>
  <c r="I66" i="9"/>
  <c r="N234" i="9"/>
  <c r="L39" i="9"/>
  <c r="N250" i="9"/>
  <c r="E99" i="9"/>
  <c r="K23" i="5"/>
  <c r="C102" i="9"/>
  <c r="H86" i="9"/>
  <c r="L61" i="9"/>
  <c r="E43" i="9"/>
  <c r="C50" i="9"/>
  <c r="O41" i="3"/>
  <c r="F151" i="9"/>
  <c r="E276" i="9"/>
  <c r="E39" i="9"/>
  <c r="C193" i="9"/>
  <c r="E268" i="9"/>
  <c r="C119" i="9"/>
  <c r="F65" i="9"/>
  <c r="O140" i="9"/>
  <c r="I274" i="9"/>
  <c r="K51" i="9"/>
  <c r="K184" i="9"/>
  <c r="C253" i="9"/>
  <c r="K85" i="9"/>
  <c r="O160" i="9"/>
  <c r="N146" i="9"/>
  <c r="L111" i="9"/>
  <c r="H110" i="9"/>
  <c r="H119" i="9"/>
  <c r="E35" i="9"/>
  <c r="O276" i="9"/>
  <c r="K145" i="9"/>
  <c r="L42" i="9"/>
  <c r="C226" i="9"/>
  <c r="I216" i="9"/>
  <c r="C223" i="9"/>
  <c r="E179" i="9"/>
  <c r="E159" i="9"/>
  <c r="N143" i="9"/>
  <c r="H255" i="9"/>
  <c r="L31" i="9"/>
  <c r="F101" i="9"/>
  <c r="C111" i="9"/>
  <c r="F112" i="9"/>
  <c r="K25" i="5"/>
  <c r="F161" i="9"/>
  <c r="N147" i="9"/>
  <c r="I237" i="9"/>
  <c r="O52" i="9"/>
  <c r="L203" i="9"/>
  <c r="H36" i="9"/>
  <c r="O35" i="9"/>
  <c r="I81" i="9"/>
  <c r="H77" i="9"/>
  <c r="L184" i="9"/>
  <c r="K214" i="9"/>
  <c r="O112" i="9"/>
  <c r="K23" i="9"/>
  <c r="O66" i="9"/>
  <c r="G37" i="3"/>
  <c r="N190" i="9"/>
  <c r="E137" i="9"/>
  <c r="O85" i="9"/>
  <c r="N86" i="9"/>
  <c r="O89" i="9"/>
  <c r="K239" i="9"/>
  <c r="O161" i="9"/>
  <c r="O50" i="3"/>
  <c r="O106" i="9"/>
  <c r="H163" i="9"/>
  <c r="H203" i="9"/>
  <c r="K76" i="9"/>
  <c r="O36" i="3"/>
  <c r="E240" i="9"/>
  <c r="E62" i="9"/>
  <c r="N103" i="9"/>
  <c r="I86" i="9"/>
  <c r="O272" i="9"/>
  <c r="O221" i="9"/>
  <c r="K265" i="9"/>
  <c r="O257" i="9"/>
  <c r="L45" i="9"/>
  <c r="L33" i="9"/>
  <c r="I217" i="9"/>
  <c r="C239" i="9"/>
  <c r="O188" i="9"/>
  <c r="L165" i="9"/>
  <c r="N63" i="9"/>
  <c r="H159" i="9"/>
  <c r="N52" i="9"/>
  <c r="F194" i="9"/>
  <c r="O110" i="9"/>
  <c r="N187" i="9"/>
  <c r="C214" i="9"/>
  <c r="C49" i="9"/>
  <c r="C191" i="9"/>
  <c r="H45" i="9"/>
  <c r="O102" i="9"/>
  <c r="C155" i="9"/>
  <c r="K48" i="3"/>
  <c r="C61" i="9"/>
  <c r="K121" i="9"/>
  <c r="O177" i="9"/>
  <c r="K6" i="3"/>
  <c r="F182" i="9"/>
  <c r="O185" i="9"/>
  <c r="H221" i="9"/>
  <c r="F198" i="9"/>
  <c r="E228" i="9"/>
  <c r="C117" i="9"/>
  <c r="N230" i="9"/>
  <c r="O194" i="9"/>
  <c r="H275" i="9"/>
  <c r="C23" i="9"/>
  <c r="K268" i="9"/>
  <c r="N204" i="9"/>
  <c r="K9" i="5"/>
  <c r="E106" i="9"/>
  <c r="F222" i="9"/>
  <c r="K218" i="9"/>
  <c r="F36" i="9"/>
  <c r="N178" i="9"/>
  <c r="H90" i="9"/>
  <c r="I27" i="9"/>
  <c r="E199" i="9"/>
  <c r="N239" i="9"/>
  <c r="C201" i="9"/>
  <c r="I254" i="9"/>
  <c r="O127" i="9"/>
  <c r="L231" i="9"/>
  <c r="N136" i="9"/>
  <c r="C254" i="9"/>
  <c r="H87" i="9"/>
  <c r="K228" i="9"/>
  <c r="E280" i="9"/>
  <c r="L234" i="9"/>
  <c r="L235" i="9"/>
  <c r="E50" i="9"/>
  <c r="I194" i="9"/>
  <c r="N195" i="9"/>
  <c r="N50" i="9"/>
  <c r="I42" i="9"/>
  <c r="O212" i="9"/>
  <c r="F125" i="9"/>
  <c r="O83" i="9"/>
  <c r="F82" i="9"/>
  <c r="E118" i="9"/>
  <c r="F234" i="9"/>
  <c r="O64" i="3"/>
  <c r="L238" i="9"/>
  <c r="F163" i="9"/>
  <c r="G61" i="3"/>
  <c r="N79" i="9"/>
  <c r="L260" i="9"/>
  <c r="C257" i="9"/>
  <c r="O274" i="9"/>
  <c r="L88" i="9"/>
  <c r="I115" i="9"/>
  <c r="L251" i="9"/>
  <c r="H89" i="9"/>
  <c r="I165" i="9"/>
  <c r="I137" i="9"/>
  <c r="O49" i="9"/>
  <c r="I69" i="9"/>
  <c r="O74" i="9"/>
  <c r="K18" i="3"/>
  <c r="C222" i="9"/>
  <c r="L161" i="9"/>
  <c r="C241" i="9"/>
  <c r="N192" i="9"/>
  <c r="L153" i="9"/>
  <c r="E31" i="9"/>
  <c r="K43" i="3"/>
  <c r="O25" i="9"/>
  <c r="N87" i="9"/>
  <c r="L278" i="9"/>
  <c r="I175" i="9"/>
  <c r="E275" i="9"/>
  <c r="N113" i="9"/>
  <c r="F35" i="9"/>
  <c r="C36" i="9"/>
  <c r="N41" i="9"/>
  <c r="C197" i="9"/>
  <c r="H23" i="9"/>
  <c r="C82" i="9"/>
  <c r="O263" i="9"/>
  <c r="N45" i="9"/>
  <c r="N203" i="9"/>
  <c r="O144" i="9"/>
  <c r="O265" i="9"/>
  <c r="F39" i="9"/>
  <c r="H39" i="9"/>
  <c r="E52" i="9"/>
  <c r="N182" i="9"/>
  <c r="H136" i="9"/>
  <c r="I39" i="9"/>
  <c r="O234" i="9"/>
  <c r="E189" i="9"/>
  <c r="E227" i="9"/>
  <c r="L83" i="9"/>
  <c r="N153" i="9"/>
  <c r="H187" i="9"/>
  <c r="I49" i="9"/>
  <c r="N26" i="9"/>
  <c r="K270" i="9"/>
  <c r="F121" i="9"/>
  <c r="L232" i="9"/>
  <c r="L119" i="9"/>
  <c r="K37" i="3"/>
  <c r="I112" i="9"/>
  <c r="F276" i="9"/>
  <c r="O146" i="9"/>
  <c r="H104" i="9"/>
  <c r="N81" i="9"/>
  <c r="I263" i="9"/>
  <c r="O230" i="9"/>
  <c r="O31" i="3"/>
  <c r="K28" i="9"/>
  <c r="C221" i="9"/>
  <c r="L109" i="9"/>
  <c r="G66" i="3"/>
  <c r="C75" i="9"/>
  <c r="I257" i="9"/>
  <c r="L137" i="9"/>
  <c r="O40" i="9"/>
  <c r="L204" i="9"/>
  <c r="K31" i="3"/>
  <c r="O256" i="9"/>
  <c r="I114" i="9"/>
  <c r="O69" i="9"/>
  <c r="E198" i="9"/>
  <c r="L37" i="9"/>
  <c r="K219" i="9"/>
  <c r="E164" i="9"/>
  <c r="O242" i="9"/>
  <c r="C63" i="9"/>
  <c r="L98" i="9"/>
  <c r="F237" i="9"/>
  <c r="G49" i="3"/>
  <c r="H158" i="9"/>
  <c r="L112" i="9"/>
  <c r="H80" i="9"/>
  <c r="O142" i="9"/>
  <c r="H82" i="9"/>
  <c r="N150" i="9"/>
  <c r="O261" i="9"/>
  <c r="F181" i="9"/>
  <c r="N200" i="9"/>
  <c r="F254" i="9"/>
  <c r="C259" i="9"/>
  <c r="N166" i="9"/>
  <c r="O264" i="9"/>
  <c r="F187" i="9"/>
  <c r="O187" i="9"/>
  <c r="I225" i="9"/>
  <c r="L201" i="9"/>
  <c r="O279" i="9"/>
  <c r="K20" i="3"/>
  <c r="E63" i="9"/>
  <c r="E88" i="9"/>
  <c r="E86" i="9"/>
  <c r="K177" i="9"/>
  <c r="C114" i="9"/>
  <c r="C237" i="9"/>
  <c r="G46" i="3"/>
  <c r="F267" i="9"/>
  <c r="C187" i="9"/>
  <c r="L146" i="9"/>
  <c r="H272" i="9"/>
  <c r="H271" i="9"/>
  <c r="G31" i="3"/>
  <c r="O65" i="9"/>
  <c r="I124" i="9"/>
  <c r="N109" i="9"/>
  <c r="E26" i="9"/>
  <c r="H250" i="9"/>
  <c r="H78" i="9"/>
  <c r="L162" i="9"/>
  <c r="N255" i="9"/>
  <c r="H164" i="9"/>
  <c r="O137" i="9"/>
  <c r="H141" i="9"/>
  <c r="H165" i="9"/>
  <c r="K263" i="9"/>
  <c r="F43" i="9"/>
  <c r="N125" i="9"/>
  <c r="O81" i="9"/>
  <c r="O184" i="9"/>
  <c r="K234" i="9"/>
  <c r="E77" i="9"/>
  <c r="O63" i="9"/>
  <c r="E142" i="9"/>
  <c r="L141" i="9"/>
  <c r="H148" i="9"/>
  <c r="L175" i="9"/>
  <c r="O217" i="9"/>
  <c r="K162" i="9"/>
  <c r="H166" i="9"/>
  <c r="H273" i="9"/>
  <c r="C120" i="9"/>
  <c r="I241" i="9"/>
  <c r="L226" i="9"/>
  <c r="C225" i="9"/>
  <c r="K37" i="9"/>
  <c r="C157" i="9"/>
  <c r="I251" i="9"/>
  <c r="L164" i="9"/>
  <c r="I230" i="9"/>
  <c r="O158" i="9"/>
  <c r="L280" i="9"/>
  <c r="G57" i="3"/>
  <c r="O115" i="9"/>
  <c r="E109" i="9"/>
  <c r="O219" i="9"/>
  <c r="O255" i="9"/>
  <c r="I70" i="9"/>
  <c r="F220" i="9"/>
  <c r="C189" i="9"/>
  <c r="I184" i="9"/>
  <c r="L176" i="9"/>
  <c r="L51" i="9"/>
  <c r="O159" i="9"/>
  <c r="H185" i="9"/>
  <c r="L52" i="9"/>
  <c r="K188" i="9"/>
  <c r="K229" i="9"/>
  <c r="N80" i="9"/>
  <c r="F146" i="9"/>
  <c r="L30" i="9"/>
  <c r="L200" i="9"/>
  <c r="O98" i="9"/>
  <c r="K103" i="9"/>
  <c r="O27" i="9"/>
  <c r="H76" i="9"/>
  <c r="O237" i="9"/>
  <c r="F226" i="9"/>
  <c r="I215" i="9"/>
  <c r="H274" i="9"/>
  <c r="L34" i="9"/>
  <c r="L28" i="9"/>
  <c r="N24" i="9"/>
  <c r="C74" i="9"/>
  <c r="L240" i="9"/>
  <c r="C37" i="9"/>
  <c r="C33" i="9"/>
  <c r="H256" i="9"/>
  <c r="O61" i="3"/>
  <c r="L256" i="9"/>
  <c r="L80" i="9"/>
  <c r="I25" i="9"/>
  <c r="O105" i="9"/>
  <c r="C146" i="9"/>
  <c r="O50" i="9"/>
  <c r="L186" i="9"/>
  <c r="C270" i="9"/>
  <c r="K19" i="3"/>
  <c r="F113" i="9"/>
  <c r="O44" i="9"/>
  <c r="K123" i="9"/>
  <c r="F256" i="9"/>
  <c r="I153" i="9"/>
  <c r="G33" i="3"/>
  <c r="C86" i="9"/>
  <c r="N122" i="9"/>
  <c r="I192" i="9"/>
  <c r="H224" i="9"/>
  <c r="K261" i="9"/>
  <c r="E252" i="9"/>
  <c r="F218" i="9"/>
  <c r="L122" i="9"/>
  <c r="F150" i="9"/>
  <c r="O70" i="9"/>
  <c r="H150" i="9"/>
  <c r="C47" i="9"/>
  <c r="F47" i="9"/>
  <c r="C192" i="9"/>
  <c r="C142" i="9"/>
  <c r="F85" i="9"/>
  <c r="O30" i="9"/>
  <c r="L264" i="9"/>
  <c r="F177" i="9"/>
  <c r="O190" i="9"/>
  <c r="N111" i="9"/>
  <c r="L279" i="9"/>
  <c r="O266" i="9"/>
  <c r="O120" i="9"/>
  <c r="N181" i="9"/>
  <c r="O126" i="9"/>
  <c r="N157" i="9"/>
  <c r="F178" i="9"/>
  <c r="H143" i="9"/>
  <c r="O62" i="9"/>
  <c r="H231" i="9"/>
  <c r="N39" i="9"/>
  <c r="F114" i="9"/>
  <c r="K194" i="9"/>
  <c r="L74" i="9"/>
  <c r="E200" i="9"/>
  <c r="C138" i="9"/>
  <c r="L217" i="9"/>
  <c r="F31" i="9"/>
  <c r="K29" i="9"/>
  <c r="K72" i="3"/>
  <c r="E146" i="9"/>
  <c r="C230" i="9"/>
  <c r="N40" i="9"/>
  <c r="N145" i="9"/>
  <c r="O32" i="3"/>
  <c r="F119" i="9"/>
  <c r="L263" i="9"/>
  <c r="K11" i="3"/>
  <c r="K255" i="9"/>
  <c r="H84" i="9"/>
  <c r="I74" i="9"/>
  <c r="O225" i="9"/>
  <c r="L121" i="9"/>
  <c r="L185" i="9"/>
  <c r="C154" i="9"/>
  <c r="I51" i="9"/>
  <c r="L69" i="9"/>
  <c r="K32" i="3"/>
  <c r="L177" i="9"/>
  <c r="N77" i="9"/>
  <c r="L38" i="9"/>
  <c r="C224" i="9"/>
  <c r="K186" i="9"/>
  <c r="N162" i="9"/>
  <c r="H174" i="9"/>
  <c r="C76" i="9"/>
  <c r="H27" i="9"/>
  <c r="F81" i="9"/>
  <c r="F142" i="9"/>
  <c r="F154" i="9"/>
  <c r="L138" i="9"/>
  <c r="H118" i="9"/>
  <c r="F158" i="9"/>
  <c r="G56" i="3"/>
  <c r="L124" i="9"/>
  <c r="L188" i="9"/>
  <c r="O113" i="9"/>
  <c r="F183" i="9"/>
  <c r="O139" i="9"/>
  <c r="L113" i="9"/>
  <c r="C217" i="9"/>
  <c r="I36" i="9"/>
  <c r="C30" i="9"/>
  <c r="L150" i="9"/>
  <c r="N223" i="9"/>
  <c r="L273" i="9"/>
  <c r="F60" i="9"/>
  <c r="N263" i="9"/>
  <c r="I191" i="9"/>
  <c r="H239" i="9"/>
  <c r="O201" i="9"/>
  <c r="C67" i="9"/>
  <c r="L158" i="9"/>
  <c r="C269" i="9"/>
  <c r="K25" i="9"/>
  <c r="H270" i="9"/>
  <c r="I85" i="9"/>
  <c r="E219" i="9"/>
  <c r="N194" i="9"/>
  <c r="O183" i="9"/>
  <c r="E60" i="9"/>
  <c r="I105" i="9"/>
  <c r="N70" i="9"/>
  <c r="E242" i="9"/>
  <c r="O235" i="9"/>
  <c r="L157" i="9"/>
  <c r="F221" i="9"/>
  <c r="N242" i="9"/>
  <c r="L259" i="9"/>
  <c r="K236" i="9"/>
  <c r="N163" i="9"/>
  <c r="F266" i="9"/>
  <c r="H199" i="9"/>
  <c r="I73" i="9"/>
  <c r="L24" i="9"/>
  <c r="I37" i="9"/>
  <c r="I148" i="9"/>
  <c r="O101" i="9"/>
  <c r="L194" i="9"/>
  <c r="N269" i="9"/>
  <c r="I121" i="9"/>
  <c r="N127" i="9"/>
  <c r="N272" i="9"/>
  <c r="I203" i="9"/>
  <c r="K203" i="9"/>
  <c r="H175" i="9"/>
  <c r="C83" i="9"/>
  <c r="L218" i="9"/>
  <c r="H41" i="9"/>
  <c r="F50" i="9"/>
  <c r="F46" i="9"/>
  <c r="K24" i="9"/>
  <c r="K158" i="9"/>
  <c r="K252" i="9"/>
  <c r="K190" i="9"/>
  <c r="N251" i="9"/>
  <c r="C51" i="9"/>
  <c r="F213" i="9"/>
  <c r="C40" i="9"/>
  <c r="E48" i="9"/>
  <c r="I38" i="9"/>
  <c r="O174" i="9"/>
  <c r="I223" i="9"/>
  <c r="I180" i="9"/>
  <c r="I252" i="9"/>
  <c r="C236" i="9"/>
  <c r="H201" i="9"/>
  <c r="H176" i="9"/>
  <c r="N32" i="9"/>
  <c r="K274" i="9"/>
  <c r="O198" i="9"/>
  <c r="K141" i="9"/>
  <c r="I50" i="9"/>
  <c r="E41" i="9"/>
  <c r="K198" i="9"/>
  <c r="L149" i="9"/>
  <c r="F233" i="9"/>
  <c r="E23" i="9"/>
  <c r="K196" i="9"/>
  <c r="F63" i="9"/>
  <c r="L160" i="9"/>
  <c r="H183" i="9"/>
  <c r="O64" i="9"/>
  <c r="K77" i="9"/>
  <c r="L214" i="9"/>
  <c r="E84" i="9"/>
  <c r="L107" i="9"/>
  <c r="H160" i="9"/>
  <c r="C24" i="9"/>
  <c r="L50" i="9"/>
  <c r="N37" i="9"/>
  <c r="F269" i="9"/>
  <c r="K13" i="5"/>
  <c r="I267" i="9"/>
  <c r="N98" i="9"/>
  <c r="F258" i="9"/>
  <c r="G40" i="3"/>
  <c r="K104" i="9"/>
  <c r="H51" i="9"/>
  <c r="E81" i="9"/>
  <c r="H147" i="9"/>
  <c r="H22" i="9"/>
  <c r="I75" i="9"/>
  <c r="N264" i="9"/>
  <c r="K124" i="9"/>
  <c r="N228" i="9"/>
  <c r="O278" i="9"/>
  <c r="I109" i="9"/>
  <c r="O164" i="9"/>
  <c r="H227" i="9"/>
  <c r="K33" i="3"/>
  <c r="H276" i="9"/>
  <c r="F66" i="9"/>
  <c r="F197" i="9"/>
  <c r="K254" i="9"/>
  <c r="E40" i="9"/>
  <c r="K49" i="3"/>
  <c r="O38" i="9"/>
  <c r="O58" i="3"/>
  <c r="F185" i="9"/>
  <c r="H198" i="9"/>
  <c r="E22" i="9"/>
  <c r="H140" i="9"/>
  <c r="F79" i="9"/>
  <c r="F236" i="9"/>
  <c r="O76" i="9"/>
  <c r="O87" i="9"/>
  <c r="L140" i="9"/>
  <c r="N108" i="9"/>
  <c r="F127" i="9"/>
  <c r="H215" i="9"/>
  <c r="F259" i="9"/>
  <c r="C148" i="9"/>
  <c r="L108" i="9"/>
  <c r="K43" i="9"/>
  <c r="O84" i="9"/>
  <c r="E250" i="9"/>
  <c r="N262" i="9"/>
  <c r="F190" i="9"/>
  <c r="F176" i="9"/>
  <c r="O155" i="9"/>
  <c r="N36" i="9"/>
  <c r="F138" i="9"/>
  <c r="F189" i="9"/>
  <c r="K15" i="3"/>
  <c r="N60" i="9"/>
  <c r="K22" i="5"/>
  <c r="O23" i="9"/>
  <c r="N216" i="9"/>
  <c r="O267" i="9"/>
  <c r="C143" i="9"/>
  <c r="E61" i="9"/>
  <c r="I266" i="9"/>
  <c r="H240" i="9"/>
  <c r="K276" i="9"/>
  <c r="L36" i="9"/>
  <c r="N185" i="9"/>
  <c r="C88" i="9"/>
  <c r="H42" i="9"/>
  <c r="E100" i="9"/>
  <c r="F122" i="9"/>
  <c r="N48" i="9"/>
  <c r="H49" i="9"/>
  <c r="O72" i="9"/>
  <c r="K6" i="5"/>
  <c r="K233" i="9"/>
  <c r="E151" i="9"/>
  <c r="E121" i="9"/>
  <c r="E152" i="9"/>
  <c r="E51" i="9"/>
  <c r="L216" i="9"/>
  <c r="L271" i="9"/>
  <c r="F136" i="9"/>
  <c r="C31" i="9"/>
  <c r="K58" i="3"/>
  <c r="E158" i="9"/>
  <c r="C108" i="9"/>
  <c r="F115" i="9"/>
  <c r="C203" i="9"/>
  <c r="E79" i="9"/>
  <c r="L191" i="9"/>
  <c r="H127" i="9"/>
  <c r="C272" i="9"/>
  <c r="L63" i="9"/>
  <c r="C128" i="9"/>
  <c r="O154" i="9"/>
  <c r="C227" i="9"/>
  <c r="H269" i="9"/>
  <c r="O73" i="3"/>
  <c r="I150" i="9"/>
  <c r="I78" i="9"/>
  <c r="E175" i="9"/>
  <c r="E128" i="9"/>
  <c r="G70" i="3"/>
  <c r="F24" i="9"/>
  <c r="E110" i="9"/>
  <c r="K271" i="9"/>
  <c r="E136" i="9"/>
  <c r="I240" i="9"/>
  <c r="H114" i="9"/>
  <c r="E267" i="9"/>
  <c r="K25" i="3"/>
  <c r="N104" i="9"/>
  <c r="I65" i="9"/>
  <c r="L110" i="9"/>
  <c r="K30" i="9"/>
  <c r="I159" i="9"/>
  <c r="K8" i="3"/>
  <c r="C72" i="9"/>
  <c r="L77" i="9"/>
  <c r="C147" i="9"/>
  <c r="K22" i="3"/>
  <c r="L180" i="9"/>
  <c r="N142" i="9"/>
  <c r="C181" i="9"/>
  <c r="C276" i="9"/>
  <c r="E153" i="9"/>
  <c r="L215" i="9"/>
  <c r="O166" i="9"/>
  <c r="O163" i="9"/>
  <c r="F23" i="9"/>
  <c r="N201" i="9"/>
  <c r="K227" i="9"/>
  <c r="N186" i="9"/>
  <c r="K100" i="9"/>
  <c r="I186" i="9"/>
  <c r="C150" i="9"/>
  <c r="L252" i="9"/>
  <c r="N137" i="9"/>
  <c r="I99" i="9"/>
  <c r="F277" i="9"/>
  <c r="L128" i="9"/>
  <c r="I220" i="9"/>
  <c r="K45" i="9"/>
  <c r="I218" i="9"/>
  <c r="H178" i="9"/>
  <c r="O260" i="9"/>
  <c r="H32" i="9"/>
  <c r="G36" i="3"/>
  <c r="F188" i="9"/>
  <c r="I193" i="9"/>
  <c r="C46" i="9"/>
  <c r="O273" i="9"/>
  <c r="C250" i="9"/>
  <c r="F34" i="9"/>
  <c r="C260" i="9"/>
  <c r="F230" i="9"/>
  <c r="G45" i="3"/>
  <c r="I182" i="9"/>
  <c r="H228" i="9"/>
  <c r="I98" i="9"/>
  <c r="N258" i="9"/>
  <c r="K47" i="3"/>
  <c r="I146" i="9"/>
  <c r="L225" i="9"/>
  <c r="K88" i="9"/>
  <c r="E213" i="9"/>
  <c r="L270" i="9"/>
  <c r="E269" i="9"/>
  <c r="O63" i="3"/>
  <c r="O107" i="9"/>
  <c r="G71" i="3"/>
  <c r="F153" i="9"/>
  <c r="O29" i="9"/>
  <c r="O78" i="9"/>
  <c r="E67" i="9"/>
  <c r="E85" i="9"/>
  <c r="O222" i="9"/>
  <c r="F229" i="9"/>
  <c r="F77" i="9"/>
  <c r="E178" i="9"/>
  <c r="N42" i="9"/>
  <c r="E46" i="9"/>
  <c r="N124" i="9"/>
  <c r="O46" i="3"/>
  <c r="F156" i="9"/>
  <c r="H252" i="9"/>
  <c r="C87" i="9"/>
  <c r="O180" i="9"/>
  <c r="G67" i="3"/>
  <c r="L118" i="9"/>
  <c r="C156" i="9"/>
  <c r="L25" i="9"/>
  <c r="L223" i="9"/>
  <c r="H113" i="9"/>
  <c r="K20" i="5"/>
  <c r="I118" i="9"/>
  <c r="K224" i="9"/>
  <c r="K35" i="3"/>
  <c r="E224" i="9"/>
  <c r="C80" i="9"/>
  <c r="H190" i="9"/>
  <c r="E37" i="9"/>
  <c r="F69" i="9"/>
  <c r="L261" i="9"/>
  <c r="F184" i="9"/>
  <c r="C277" i="9"/>
  <c r="N99" i="9"/>
  <c r="C199" i="9"/>
  <c r="F22" i="9"/>
  <c r="K73" i="9"/>
  <c r="C240" i="9"/>
  <c r="K110" i="9"/>
  <c r="K61" i="9"/>
  <c r="G240" i="9" l="1"/>
  <c r="J240" i="9"/>
  <c r="M240" i="9"/>
  <c r="D240" i="9"/>
  <c r="F54" i="9"/>
  <c r="J199" i="9"/>
  <c r="M199" i="9"/>
  <c r="G199" i="9"/>
  <c r="D199" i="9"/>
  <c r="M277" i="9"/>
  <c r="G277" i="9"/>
  <c r="J277" i="9"/>
  <c r="D277" i="9"/>
  <c r="G80" i="9"/>
  <c r="J80" i="9"/>
  <c r="M80" i="9"/>
  <c r="D80" i="9"/>
  <c r="L35" i="3"/>
  <c r="N35" i="3"/>
  <c r="M35" i="3"/>
  <c r="N20" i="5"/>
  <c r="M20" i="5"/>
  <c r="L20" i="5"/>
  <c r="M156" i="9"/>
  <c r="D156" i="9"/>
  <c r="J156" i="9"/>
  <c r="G156" i="9"/>
  <c r="H67" i="3"/>
  <c r="J67" i="3"/>
  <c r="I67" i="3"/>
  <c r="D87" i="9"/>
  <c r="J87" i="9"/>
  <c r="G87" i="9"/>
  <c r="M87" i="9"/>
  <c r="P46" i="3"/>
  <c r="R46" i="3"/>
  <c r="Q46" i="3"/>
  <c r="H71" i="3"/>
  <c r="J71" i="3"/>
  <c r="I71" i="3"/>
  <c r="R63" i="3"/>
  <c r="P63" i="3"/>
  <c r="Q63" i="3"/>
  <c r="N47" i="3"/>
  <c r="M47" i="3"/>
  <c r="L47" i="3"/>
  <c r="I130" i="9"/>
  <c r="H130" i="9" s="1"/>
  <c r="G6" i="9" s="1"/>
  <c r="H45" i="3"/>
  <c r="I45" i="3"/>
  <c r="J45" i="3"/>
  <c r="D260" i="9"/>
  <c r="G260" i="9"/>
  <c r="J260" i="9"/>
  <c r="M260" i="9"/>
  <c r="M250" i="9"/>
  <c r="D250" i="9"/>
  <c r="J250" i="9"/>
  <c r="G250" i="9"/>
  <c r="C282" i="9"/>
  <c r="D46" i="9"/>
  <c r="M46" i="9"/>
  <c r="G46" i="9"/>
  <c r="J46" i="9"/>
  <c r="J36" i="3"/>
  <c r="I36" i="3"/>
  <c r="H36" i="3"/>
  <c r="M150" i="9"/>
  <c r="J150" i="9"/>
  <c r="D150" i="9"/>
  <c r="G150" i="9"/>
  <c r="G276" i="9"/>
  <c r="M276" i="9"/>
  <c r="J276" i="9"/>
  <c r="D276" i="9"/>
  <c r="D181" i="9"/>
  <c r="J181" i="9"/>
  <c r="G181" i="9"/>
  <c r="M181" i="9"/>
  <c r="L22" i="3"/>
  <c r="N22" i="3"/>
  <c r="M22" i="3"/>
  <c r="G147" i="9"/>
  <c r="J147" i="9"/>
  <c r="M147" i="9"/>
  <c r="D147" i="9"/>
  <c r="M72" i="9"/>
  <c r="G72" i="9"/>
  <c r="D72" i="9"/>
  <c r="J72" i="9"/>
  <c r="M8" i="3"/>
  <c r="L8" i="3"/>
  <c r="N8" i="3"/>
  <c r="M25" i="3"/>
  <c r="L25" i="3"/>
  <c r="N25" i="3"/>
  <c r="J70" i="3"/>
  <c r="H70" i="3"/>
  <c r="I70" i="3"/>
  <c r="R73" i="3"/>
  <c r="P73" i="3"/>
  <c r="Q73" i="3"/>
  <c r="D227" i="9"/>
  <c r="M227" i="9"/>
  <c r="J227" i="9"/>
  <c r="G227" i="9"/>
  <c r="D128" i="9"/>
  <c r="G128" i="9"/>
  <c r="J128" i="9"/>
  <c r="M128" i="9"/>
  <c r="D272" i="9"/>
  <c r="J272" i="9"/>
  <c r="G272" i="9"/>
  <c r="M272" i="9"/>
  <c r="G203" i="9"/>
  <c r="M203" i="9"/>
  <c r="D203" i="9"/>
  <c r="J203" i="9"/>
  <c r="G108" i="9"/>
  <c r="M108" i="9"/>
  <c r="J108" i="9"/>
  <c r="D108" i="9"/>
  <c r="M58" i="3"/>
  <c r="L58" i="3"/>
  <c r="N58" i="3"/>
  <c r="J31" i="9"/>
  <c r="M31" i="9"/>
  <c r="G31" i="9"/>
  <c r="D31" i="9"/>
  <c r="F168" i="9"/>
  <c r="E168" i="9" s="1"/>
  <c r="D12" i="9" s="1"/>
  <c r="N6" i="5"/>
  <c r="L6" i="5"/>
  <c r="M6" i="5"/>
  <c r="M88" i="9"/>
  <c r="G88" i="9"/>
  <c r="D88" i="9"/>
  <c r="J88" i="9"/>
  <c r="G143" i="9"/>
  <c r="J143" i="9"/>
  <c r="D143" i="9"/>
  <c r="M143" i="9"/>
  <c r="M22" i="5"/>
  <c r="L22" i="5"/>
  <c r="N22" i="5"/>
  <c r="M15" i="3"/>
  <c r="N15" i="3"/>
  <c r="L15" i="3"/>
  <c r="J148" i="9"/>
  <c r="D148" i="9"/>
  <c r="G148" i="9"/>
  <c r="M148" i="9"/>
  <c r="Q58" i="3"/>
  <c r="P58" i="3"/>
  <c r="R58" i="3"/>
  <c r="M49" i="3"/>
  <c r="N49" i="3"/>
  <c r="L49" i="3"/>
  <c r="M33" i="3"/>
  <c r="L33" i="3"/>
  <c r="N33" i="3"/>
  <c r="J40" i="3"/>
  <c r="H40" i="3"/>
  <c r="I40" i="3"/>
  <c r="M13" i="5"/>
  <c r="L13" i="5"/>
  <c r="N13" i="5"/>
  <c r="J24" i="9"/>
  <c r="G24" i="9"/>
  <c r="D24" i="9"/>
  <c r="M24" i="9"/>
  <c r="G236" i="9"/>
  <c r="D236" i="9"/>
  <c r="J236" i="9"/>
  <c r="M236" i="9"/>
  <c r="O206" i="9"/>
  <c r="N206" i="9" s="1"/>
  <c r="M8" i="9" s="1"/>
  <c r="J40" i="9"/>
  <c r="D40" i="9"/>
  <c r="G40" i="9"/>
  <c r="M40" i="9"/>
  <c r="J51" i="9"/>
  <c r="G51" i="9"/>
  <c r="M51" i="9"/>
  <c r="D51" i="9"/>
  <c r="M83" i="9"/>
  <c r="J83" i="9"/>
  <c r="D83" i="9"/>
  <c r="G83" i="9"/>
  <c r="J269" i="9"/>
  <c r="G269" i="9"/>
  <c r="D269" i="9"/>
  <c r="M269" i="9"/>
  <c r="M67" i="9"/>
  <c r="J67" i="9"/>
  <c r="G67" i="9"/>
  <c r="D67" i="9"/>
  <c r="F92" i="9"/>
  <c r="E92" i="9" s="1"/>
  <c r="D4" i="9" s="1"/>
  <c r="J30" i="9"/>
  <c r="D30" i="9"/>
  <c r="M30" i="9"/>
  <c r="G30" i="9"/>
  <c r="G217" i="9"/>
  <c r="M217" i="9"/>
  <c r="J217" i="9"/>
  <c r="D217" i="9"/>
  <c r="H56" i="3"/>
  <c r="J56" i="3"/>
  <c r="I56" i="3"/>
  <c r="M76" i="9"/>
  <c r="J76" i="9"/>
  <c r="D76" i="9"/>
  <c r="G76" i="9"/>
  <c r="J224" i="9"/>
  <c r="M224" i="9"/>
  <c r="D224" i="9"/>
  <c r="G224" i="9"/>
  <c r="L32" i="3"/>
  <c r="N32" i="3"/>
  <c r="M32" i="3"/>
  <c r="J154" i="9"/>
  <c r="M154" i="9"/>
  <c r="G154" i="9"/>
  <c r="D154" i="9"/>
  <c r="N11" i="3"/>
  <c r="L11" i="3"/>
  <c r="M11" i="3"/>
  <c r="Q32" i="3"/>
  <c r="P32" i="3"/>
  <c r="R32" i="3"/>
  <c r="D230" i="9"/>
  <c r="J230" i="9"/>
  <c r="M230" i="9"/>
  <c r="G230" i="9"/>
  <c r="M72" i="3"/>
  <c r="L72" i="3"/>
  <c r="N72" i="3"/>
  <c r="D138" i="9"/>
  <c r="M138" i="9"/>
  <c r="G138" i="9"/>
  <c r="J138" i="9"/>
  <c r="G142" i="9"/>
  <c r="D142" i="9"/>
  <c r="M142" i="9"/>
  <c r="J142" i="9"/>
  <c r="D192" i="9"/>
  <c r="J192" i="9"/>
  <c r="M192" i="9"/>
  <c r="G192" i="9"/>
  <c r="G47" i="9"/>
  <c r="M47" i="9"/>
  <c r="J47" i="9"/>
  <c r="D47" i="9"/>
  <c r="G86" i="9"/>
  <c r="J86" i="9"/>
  <c r="M86" i="9"/>
  <c r="D86" i="9"/>
  <c r="H33" i="3"/>
  <c r="J33" i="3"/>
  <c r="I33" i="3"/>
  <c r="L19" i="3"/>
  <c r="M19" i="3"/>
  <c r="N19" i="3"/>
  <c r="D270" i="9"/>
  <c r="G270" i="9"/>
  <c r="J270" i="9"/>
  <c r="M270" i="9"/>
  <c r="D146" i="9"/>
  <c r="M146" i="9"/>
  <c r="G146" i="9"/>
  <c r="J146" i="9"/>
  <c r="R61" i="3"/>
  <c r="P61" i="3"/>
  <c r="Q61" i="3"/>
  <c r="G33" i="9"/>
  <c r="D33" i="9"/>
  <c r="J33" i="9"/>
  <c r="M33" i="9"/>
  <c r="D37" i="9"/>
  <c r="G37" i="9"/>
  <c r="J37" i="9"/>
  <c r="M37" i="9"/>
  <c r="J74" i="9"/>
  <c r="G74" i="9"/>
  <c r="M74" i="9"/>
  <c r="D74" i="9"/>
  <c r="O130" i="9"/>
  <c r="N130" i="9" s="1"/>
  <c r="M6" i="9" s="1"/>
  <c r="G189" i="9"/>
  <c r="D189" i="9"/>
  <c r="J189" i="9"/>
  <c r="M189" i="9"/>
  <c r="I57" i="3"/>
  <c r="J57" i="3"/>
  <c r="H57" i="3"/>
  <c r="G157" i="9"/>
  <c r="M157" i="9"/>
  <c r="D157" i="9"/>
  <c r="J157" i="9"/>
  <c r="J225" i="9"/>
  <c r="G225" i="9"/>
  <c r="M225" i="9"/>
  <c r="D225" i="9"/>
  <c r="M120" i="9"/>
  <c r="G120" i="9"/>
  <c r="D120" i="9"/>
  <c r="J120" i="9"/>
  <c r="J31" i="3"/>
  <c r="H31" i="3"/>
  <c r="I31" i="3"/>
  <c r="G187" i="9"/>
  <c r="M187" i="9"/>
  <c r="D187" i="9"/>
  <c r="J187" i="9"/>
  <c r="H46" i="3"/>
  <c r="I46" i="3"/>
  <c r="J46" i="3"/>
  <c r="D237" i="9"/>
  <c r="J237" i="9"/>
  <c r="G237" i="9"/>
  <c r="M237" i="9"/>
  <c r="G114" i="9"/>
  <c r="M114" i="9"/>
  <c r="J114" i="9"/>
  <c r="D114" i="9"/>
  <c r="N20" i="3"/>
  <c r="M20" i="3"/>
  <c r="L20" i="3"/>
  <c r="M259" i="9"/>
  <c r="G259" i="9"/>
  <c r="J259" i="9"/>
  <c r="D259" i="9"/>
  <c r="I49" i="3"/>
  <c r="H49" i="3"/>
  <c r="J49" i="3"/>
  <c r="L130" i="9"/>
  <c r="K130" i="9" s="1"/>
  <c r="J6" i="9" s="1"/>
  <c r="G63" i="9"/>
  <c r="J63" i="9"/>
  <c r="D63" i="9"/>
  <c r="M63" i="9"/>
  <c r="N31" i="3"/>
  <c r="M31" i="3"/>
  <c r="L31" i="3"/>
  <c r="G75" i="9"/>
  <c r="M75" i="9"/>
  <c r="J75" i="9"/>
  <c r="D75" i="9"/>
  <c r="J66" i="3"/>
  <c r="I66" i="3"/>
  <c r="H66" i="3"/>
  <c r="G221" i="9"/>
  <c r="J221" i="9"/>
  <c r="D221" i="9"/>
  <c r="M221" i="9"/>
  <c r="P31" i="3"/>
  <c r="R31" i="3"/>
  <c r="Q31" i="3"/>
  <c r="M37" i="3"/>
  <c r="L37" i="3"/>
  <c r="N37" i="3"/>
  <c r="D82" i="9"/>
  <c r="M82" i="9"/>
  <c r="J82" i="9"/>
  <c r="G82" i="9"/>
  <c r="J197" i="9"/>
  <c r="D197" i="9"/>
  <c r="G197" i="9"/>
  <c r="M197" i="9"/>
  <c r="D36" i="9"/>
  <c r="G36" i="9"/>
  <c r="J36" i="9"/>
  <c r="M36" i="9"/>
  <c r="M43" i="3"/>
  <c r="N43" i="3"/>
  <c r="L43" i="3"/>
  <c r="J241" i="9"/>
  <c r="M241" i="9"/>
  <c r="D241" i="9"/>
  <c r="G241" i="9"/>
  <c r="M222" i="9"/>
  <c r="G222" i="9"/>
  <c r="D222" i="9"/>
  <c r="J222" i="9"/>
  <c r="L18" i="3"/>
  <c r="N18" i="3"/>
  <c r="M18" i="3"/>
  <c r="G257" i="9"/>
  <c r="D257" i="9"/>
  <c r="J257" i="9"/>
  <c r="M257" i="9"/>
  <c r="I61" i="3"/>
  <c r="J61" i="3"/>
  <c r="H61" i="3"/>
  <c r="Q64" i="3"/>
  <c r="R64" i="3"/>
  <c r="P64" i="3"/>
  <c r="O244" i="9"/>
  <c r="N244" i="9" s="1"/>
  <c r="M10" i="9" s="1"/>
  <c r="M254" i="9"/>
  <c r="G254" i="9"/>
  <c r="D254" i="9"/>
  <c r="J254" i="9"/>
  <c r="G201" i="9"/>
  <c r="D201" i="9"/>
  <c r="J201" i="9"/>
  <c r="M201" i="9"/>
  <c r="N9" i="5"/>
  <c r="L9" i="5"/>
  <c r="M9" i="5"/>
  <c r="D23" i="9"/>
  <c r="G23" i="9"/>
  <c r="J23" i="9"/>
  <c r="M23" i="9"/>
  <c r="D117" i="9"/>
  <c r="G117" i="9"/>
  <c r="M117" i="9"/>
  <c r="J117" i="9"/>
  <c r="L6" i="3"/>
  <c r="M6" i="3"/>
  <c r="N6" i="3"/>
  <c r="J61" i="9"/>
  <c r="G61" i="9"/>
  <c r="M61" i="9"/>
  <c r="D61" i="9"/>
  <c r="M48" i="3"/>
  <c r="L48" i="3"/>
  <c r="N48" i="3"/>
  <c r="G155" i="9"/>
  <c r="J155" i="9"/>
  <c r="M155" i="9"/>
  <c r="D155" i="9"/>
  <c r="G191" i="9"/>
  <c r="M191" i="9"/>
  <c r="D191" i="9"/>
  <c r="J191" i="9"/>
  <c r="D49" i="9"/>
  <c r="G49" i="9"/>
  <c r="M49" i="9"/>
  <c r="J49" i="9"/>
  <c r="D214" i="9"/>
  <c r="G214" i="9"/>
  <c r="J214" i="9"/>
  <c r="M214" i="9"/>
  <c r="D239" i="9"/>
  <c r="G239" i="9"/>
  <c r="M239" i="9"/>
  <c r="J239" i="9"/>
  <c r="P36" i="3"/>
  <c r="Q36" i="3"/>
  <c r="R36" i="3"/>
  <c r="Q50" i="3"/>
  <c r="R50" i="3"/>
  <c r="P50" i="3"/>
  <c r="J37" i="3"/>
  <c r="H37" i="3"/>
  <c r="I37" i="3"/>
  <c r="N25" i="5"/>
  <c r="M25" i="5"/>
  <c r="L25" i="5"/>
  <c r="D111" i="9"/>
  <c r="J111" i="9"/>
  <c r="G111" i="9"/>
  <c r="M111" i="9"/>
  <c r="D223" i="9"/>
  <c r="G223" i="9"/>
  <c r="M223" i="9"/>
  <c r="J223" i="9"/>
  <c r="G226" i="9"/>
  <c r="J226" i="9"/>
  <c r="M226" i="9"/>
  <c r="D226" i="9"/>
  <c r="G253" i="9"/>
  <c r="J253" i="9"/>
  <c r="M253" i="9"/>
  <c r="D253" i="9"/>
  <c r="M119" i="9"/>
  <c r="J119" i="9"/>
  <c r="D119" i="9"/>
  <c r="G119" i="9"/>
  <c r="D193" i="9"/>
  <c r="M193" i="9"/>
  <c r="G193" i="9"/>
  <c r="J193" i="9"/>
  <c r="R41" i="3"/>
  <c r="Q41" i="3"/>
  <c r="P41" i="3"/>
  <c r="D50" i="9"/>
  <c r="G50" i="9"/>
  <c r="M50" i="9"/>
  <c r="J50" i="9"/>
  <c r="M102" i="9"/>
  <c r="J102" i="9"/>
  <c r="G102" i="9"/>
  <c r="D102" i="9"/>
  <c r="M23" i="5"/>
  <c r="L23" i="5"/>
  <c r="N23" i="5"/>
  <c r="L21" i="3"/>
  <c r="N21" i="3"/>
  <c r="M21" i="3"/>
  <c r="M24" i="3"/>
  <c r="L24" i="3"/>
  <c r="N24" i="3"/>
  <c r="Q49" i="3"/>
  <c r="P49" i="3"/>
  <c r="R49" i="3"/>
  <c r="M57" i="3"/>
  <c r="L57" i="3"/>
  <c r="N57" i="3"/>
  <c r="G212" i="9"/>
  <c r="C244" i="9"/>
  <c r="M212" i="9"/>
  <c r="J212" i="9"/>
  <c r="D212" i="9"/>
  <c r="J174" i="9"/>
  <c r="D174" i="9"/>
  <c r="G174" i="9"/>
  <c r="C206" i="9"/>
  <c r="M174" i="9"/>
  <c r="F282" i="9"/>
  <c r="E282" i="9" s="1"/>
  <c r="D14" i="9" s="1"/>
  <c r="J153" i="9"/>
  <c r="D153" i="9"/>
  <c r="M153" i="9"/>
  <c r="G153" i="9"/>
  <c r="D188" i="9"/>
  <c r="J188" i="9"/>
  <c r="M188" i="9"/>
  <c r="G188" i="9"/>
  <c r="P37" i="3"/>
  <c r="R37" i="3"/>
  <c r="Q37" i="3"/>
  <c r="G41" i="9"/>
  <c r="D41" i="9"/>
  <c r="J41" i="9"/>
  <c r="M41" i="9"/>
  <c r="M125" i="9"/>
  <c r="D125" i="9"/>
  <c r="G125" i="9"/>
  <c r="J125" i="9"/>
  <c r="J38" i="9"/>
  <c r="M38" i="9"/>
  <c r="D38" i="9"/>
  <c r="G38" i="9"/>
  <c r="N61" i="3"/>
  <c r="L61" i="3"/>
  <c r="M61" i="3"/>
  <c r="N74" i="3"/>
  <c r="L74" i="3"/>
  <c r="M74" i="3"/>
  <c r="H42" i="3"/>
  <c r="I42" i="3"/>
  <c r="J42" i="3"/>
  <c r="J65" i="3"/>
  <c r="I65" i="3"/>
  <c r="H65" i="3"/>
  <c r="J190" i="9"/>
  <c r="G190" i="9"/>
  <c r="M190" i="9"/>
  <c r="D190" i="9"/>
  <c r="J218" i="9"/>
  <c r="D218" i="9"/>
  <c r="G218" i="9"/>
  <c r="M218" i="9"/>
  <c r="J64" i="9"/>
  <c r="G64" i="9"/>
  <c r="M64" i="9"/>
  <c r="D64" i="9"/>
  <c r="D68" i="9"/>
  <c r="M68" i="9"/>
  <c r="J68" i="9"/>
  <c r="G68" i="9"/>
  <c r="G164" i="9"/>
  <c r="M164" i="9"/>
  <c r="D164" i="9"/>
  <c r="J164" i="9"/>
  <c r="N12" i="5"/>
  <c r="L12" i="5"/>
  <c r="M12" i="5"/>
  <c r="O282" i="9"/>
  <c r="N282" i="9" s="1"/>
  <c r="M14" i="9" s="1"/>
  <c r="J233" i="9"/>
  <c r="D233" i="9"/>
  <c r="M233" i="9"/>
  <c r="G233" i="9"/>
  <c r="N36" i="3"/>
  <c r="M36" i="3"/>
  <c r="L36" i="3"/>
  <c r="D45" i="9"/>
  <c r="J45" i="9"/>
  <c r="M45" i="9"/>
  <c r="G45" i="9"/>
  <c r="L14" i="3"/>
  <c r="M14" i="3"/>
  <c r="N14" i="3"/>
  <c r="G280" i="9"/>
  <c r="J280" i="9"/>
  <c r="D280" i="9"/>
  <c r="M280" i="9"/>
  <c r="J72" i="3"/>
  <c r="I72" i="3"/>
  <c r="H72" i="3"/>
  <c r="D185" i="9"/>
  <c r="G185" i="9"/>
  <c r="M185" i="9"/>
  <c r="J185" i="9"/>
  <c r="N13" i="3"/>
  <c r="M13" i="3"/>
  <c r="L13" i="3"/>
  <c r="R65" i="3"/>
  <c r="Q65" i="3"/>
  <c r="P65" i="3"/>
  <c r="D66" i="9"/>
  <c r="J66" i="9"/>
  <c r="G66" i="9"/>
  <c r="M66" i="9"/>
  <c r="L71" i="3"/>
  <c r="M71" i="3"/>
  <c r="N71" i="3"/>
  <c r="D28" i="9"/>
  <c r="M28" i="9"/>
  <c r="J28" i="9"/>
  <c r="G28" i="9"/>
  <c r="J266" i="9"/>
  <c r="D266" i="9"/>
  <c r="M266" i="9"/>
  <c r="G266" i="9"/>
  <c r="M9" i="3"/>
  <c r="N9" i="3"/>
  <c r="L9" i="3"/>
  <c r="L59" i="3"/>
  <c r="N59" i="3"/>
  <c r="M59" i="3"/>
  <c r="N39" i="3"/>
  <c r="L39" i="3"/>
  <c r="M39" i="3"/>
  <c r="H68" i="3"/>
  <c r="I68" i="3"/>
  <c r="J68" i="3"/>
  <c r="L10" i="5"/>
  <c r="N10" i="5"/>
  <c r="M10" i="5"/>
  <c r="I34" i="3"/>
  <c r="J34" i="3"/>
  <c r="H34" i="3"/>
  <c r="J47" i="3"/>
  <c r="I47" i="3"/>
  <c r="H47" i="3"/>
  <c r="H60" i="3"/>
  <c r="J60" i="3"/>
  <c r="I60" i="3"/>
  <c r="G279" i="9"/>
  <c r="M279" i="9"/>
  <c r="D279" i="9"/>
  <c r="J279" i="9"/>
  <c r="J202" i="9"/>
  <c r="D202" i="9"/>
  <c r="G202" i="9"/>
  <c r="M202" i="9"/>
  <c r="M67" i="3"/>
  <c r="L67" i="3"/>
  <c r="N67" i="3"/>
  <c r="P74" i="3"/>
  <c r="Q74" i="3"/>
  <c r="R74" i="3"/>
  <c r="J104" i="9"/>
  <c r="D104" i="9"/>
  <c r="M104" i="9"/>
  <c r="G104" i="9"/>
  <c r="Q71" i="3"/>
  <c r="R71" i="3"/>
  <c r="P71" i="3"/>
  <c r="L282" i="9"/>
  <c r="K282" i="9" s="1"/>
  <c r="J14" i="9" s="1"/>
  <c r="L17" i="5"/>
  <c r="M17" i="5"/>
  <c r="N17" i="5"/>
  <c r="P60" i="3"/>
  <c r="Q60" i="3"/>
  <c r="R60" i="3"/>
  <c r="D112" i="9"/>
  <c r="G112" i="9"/>
  <c r="M112" i="9"/>
  <c r="J112" i="9"/>
  <c r="M75" i="3"/>
  <c r="N75" i="3"/>
  <c r="L75" i="3"/>
  <c r="G65" i="9"/>
  <c r="J65" i="9"/>
  <c r="D65" i="9"/>
  <c r="M65" i="9"/>
  <c r="M17" i="3"/>
  <c r="N17" i="3"/>
  <c r="L17" i="3"/>
  <c r="J42" i="9"/>
  <c r="D42" i="9"/>
  <c r="M42" i="9"/>
  <c r="G42" i="9"/>
  <c r="O168" i="9"/>
  <c r="N168" i="9" s="1"/>
  <c r="M12" i="9" s="1"/>
  <c r="J50" i="3"/>
  <c r="H50" i="3"/>
  <c r="I50" i="3"/>
  <c r="R62" i="3"/>
  <c r="Q62" i="3"/>
  <c r="P62" i="3"/>
  <c r="G255" i="9"/>
  <c r="D255" i="9"/>
  <c r="M255" i="9"/>
  <c r="J255" i="9"/>
  <c r="D265" i="9"/>
  <c r="M265" i="9"/>
  <c r="G265" i="9"/>
  <c r="J265" i="9"/>
  <c r="N64" i="3"/>
  <c r="L64" i="3"/>
  <c r="M64" i="3"/>
  <c r="G235" i="9"/>
  <c r="D235" i="9"/>
  <c r="J235" i="9"/>
  <c r="M235" i="9"/>
  <c r="L38" i="3"/>
  <c r="M38" i="3"/>
  <c r="N38" i="3"/>
  <c r="M234" i="9"/>
  <c r="D234" i="9"/>
  <c r="G234" i="9"/>
  <c r="J234" i="9"/>
  <c r="O92" i="9"/>
  <c r="N92" i="9" s="1"/>
  <c r="M4" i="9" s="1"/>
  <c r="G145" i="9"/>
  <c r="D145" i="9"/>
  <c r="J145" i="9"/>
  <c r="M145" i="9"/>
  <c r="L73" i="3"/>
  <c r="N73" i="3"/>
  <c r="M73" i="3"/>
  <c r="M116" i="9"/>
  <c r="G116" i="9"/>
  <c r="J116" i="9"/>
  <c r="D116" i="9"/>
  <c r="N19" i="5"/>
  <c r="M19" i="5"/>
  <c r="L19" i="5"/>
  <c r="M231" i="9"/>
  <c r="G231" i="9"/>
  <c r="D231" i="9"/>
  <c r="J231" i="9"/>
  <c r="L60" i="3"/>
  <c r="N60" i="3"/>
  <c r="M60" i="3"/>
  <c r="G29" i="9"/>
  <c r="M29" i="9"/>
  <c r="J29" i="9"/>
  <c r="D29" i="9"/>
  <c r="J252" i="9"/>
  <c r="G252" i="9"/>
  <c r="M252" i="9"/>
  <c r="D252" i="9"/>
  <c r="J160" i="9"/>
  <c r="G160" i="9"/>
  <c r="D160" i="9"/>
  <c r="M160" i="9"/>
  <c r="Q68" i="3"/>
  <c r="R68" i="3"/>
  <c r="P68" i="3"/>
  <c r="M63" i="3"/>
  <c r="N63" i="3"/>
  <c r="L63" i="3"/>
  <c r="J35" i="9"/>
  <c r="G35" i="9"/>
  <c r="M35" i="9"/>
  <c r="D35" i="9"/>
  <c r="D273" i="9"/>
  <c r="G273" i="9"/>
  <c r="M273" i="9"/>
  <c r="J273" i="9"/>
  <c r="O54" i="9"/>
  <c r="N54" i="9" s="1"/>
  <c r="M16" i="9" s="1"/>
  <c r="P56" i="3"/>
  <c r="R56" i="3"/>
  <c r="Q56" i="3"/>
  <c r="D278" i="9"/>
  <c r="J278" i="9"/>
  <c r="G278" i="9"/>
  <c r="M278" i="9"/>
  <c r="P59" i="3"/>
  <c r="R59" i="3"/>
  <c r="Q59" i="3"/>
  <c r="R45" i="3"/>
  <c r="Q45" i="3"/>
  <c r="P45" i="3"/>
  <c r="D113" i="9"/>
  <c r="G113" i="9"/>
  <c r="M113" i="9"/>
  <c r="J113" i="9"/>
  <c r="M45" i="3"/>
  <c r="L45" i="3"/>
  <c r="N45" i="3"/>
  <c r="J220" i="9"/>
  <c r="G220" i="9"/>
  <c r="D220" i="9"/>
  <c r="M220" i="9"/>
  <c r="M262" i="9"/>
  <c r="G262" i="9"/>
  <c r="D262" i="9"/>
  <c r="J262" i="9"/>
  <c r="D166" i="9"/>
  <c r="M166" i="9"/>
  <c r="J166" i="9"/>
  <c r="G166" i="9"/>
  <c r="I282" i="9"/>
  <c r="H282" i="9" s="1"/>
  <c r="G14" i="9" s="1"/>
  <c r="J43" i="3"/>
  <c r="I43" i="3"/>
  <c r="H43" i="3"/>
  <c r="D228" i="9"/>
  <c r="J228" i="9"/>
  <c r="G228" i="9"/>
  <c r="M228" i="9"/>
  <c r="R47" i="3"/>
  <c r="Q47" i="3"/>
  <c r="P47" i="3"/>
  <c r="I32" i="3"/>
  <c r="H32" i="3"/>
  <c r="J32" i="3"/>
  <c r="N34" i="3"/>
  <c r="L34" i="3"/>
  <c r="M34" i="3"/>
  <c r="G52" i="9"/>
  <c r="M52" i="9"/>
  <c r="J52" i="9"/>
  <c r="D52" i="9"/>
  <c r="D139" i="9"/>
  <c r="M139" i="9"/>
  <c r="J139" i="9"/>
  <c r="G139" i="9"/>
  <c r="J109" i="9"/>
  <c r="G109" i="9"/>
  <c r="D109" i="9"/>
  <c r="M109" i="9"/>
  <c r="M15" i="5"/>
  <c r="N15" i="5"/>
  <c r="L15" i="5"/>
  <c r="M215" i="9"/>
  <c r="J215" i="9"/>
  <c r="D215" i="9"/>
  <c r="G215" i="9"/>
  <c r="I75" i="3"/>
  <c r="H75" i="3"/>
  <c r="J75" i="3"/>
  <c r="M176" i="9"/>
  <c r="J176" i="9"/>
  <c r="D176" i="9"/>
  <c r="G176" i="9"/>
  <c r="M7" i="3"/>
  <c r="L7" i="3"/>
  <c r="N7" i="3"/>
  <c r="L168" i="9"/>
  <c r="K168" i="9" s="1"/>
  <c r="J12" i="9" s="1"/>
  <c r="M22" i="9"/>
  <c r="C54" i="9"/>
  <c r="G22" i="9"/>
  <c r="D22" i="9"/>
  <c r="J22" i="9"/>
  <c r="D238" i="9"/>
  <c r="G238" i="9"/>
  <c r="J238" i="9"/>
  <c r="M238" i="9"/>
  <c r="J110" i="9"/>
  <c r="G110" i="9"/>
  <c r="D110" i="9"/>
  <c r="M110" i="9"/>
  <c r="R57" i="3"/>
  <c r="P57" i="3"/>
  <c r="Q57" i="3"/>
  <c r="J144" i="9"/>
  <c r="M144" i="9"/>
  <c r="D144" i="9"/>
  <c r="G144" i="9"/>
  <c r="G258" i="9"/>
  <c r="M258" i="9"/>
  <c r="D258" i="9"/>
  <c r="J258" i="9"/>
  <c r="P70" i="3"/>
  <c r="R70" i="3"/>
  <c r="Q70" i="3"/>
  <c r="J73" i="3"/>
  <c r="I73" i="3"/>
  <c r="H73" i="3"/>
  <c r="L206" i="9"/>
  <c r="K206" i="9" s="1"/>
  <c r="J8" i="9" s="1"/>
  <c r="N56" i="3"/>
  <c r="M56" i="3"/>
  <c r="L56" i="3"/>
  <c r="J60" i="9"/>
  <c r="C92" i="9"/>
  <c r="G60" i="9"/>
  <c r="D60" i="9"/>
  <c r="M60" i="9"/>
  <c r="P33" i="3"/>
  <c r="R33" i="3"/>
  <c r="Q33" i="3"/>
  <c r="L21" i="5"/>
  <c r="N21" i="5"/>
  <c r="M21" i="5"/>
  <c r="G48" i="9"/>
  <c r="M48" i="9"/>
  <c r="D48" i="9"/>
  <c r="J48" i="9"/>
  <c r="I58" i="3"/>
  <c r="J58" i="3"/>
  <c r="H58" i="3"/>
  <c r="D62" i="9"/>
  <c r="G62" i="9"/>
  <c r="M62" i="9"/>
  <c r="J62" i="9"/>
  <c r="J126" i="9"/>
  <c r="G126" i="9"/>
  <c r="D126" i="9"/>
  <c r="M126" i="9"/>
  <c r="R35" i="3"/>
  <c r="Q35" i="3"/>
  <c r="P35" i="3"/>
  <c r="I244" i="9"/>
  <c r="H244" i="9" s="1"/>
  <c r="G10" i="9" s="1"/>
  <c r="H59" i="3"/>
  <c r="I59" i="3"/>
  <c r="J59" i="3"/>
  <c r="M163" i="9"/>
  <c r="J163" i="9"/>
  <c r="D163" i="9"/>
  <c r="G163" i="9"/>
  <c r="I62" i="3"/>
  <c r="J62" i="3"/>
  <c r="H62" i="3"/>
  <c r="M107" i="9"/>
  <c r="D107" i="9"/>
  <c r="J107" i="9"/>
  <c r="G107" i="9"/>
  <c r="J43" i="9"/>
  <c r="D43" i="9"/>
  <c r="G43" i="9"/>
  <c r="M43" i="9"/>
  <c r="D275" i="9"/>
  <c r="M275" i="9"/>
  <c r="G275" i="9"/>
  <c r="J275" i="9"/>
  <c r="M161" i="9"/>
  <c r="J161" i="9"/>
  <c r="D161" i="9"/>
  <c r="G161" i="9"/>
  <c r="M175" i="9"/>
  <c r="J175" i="9"/>
  <c r="D175" i="9"/>
  <c r="G175" i="9"/>
  <c r="L65" i="3"/>
  <c r="N65" i="3"/>
  <c r="M65" i="3"/>
  <c r="N46" i="3"/>
  <c r="M46" i="3"/>
  <c r="L46" i="3"/>
  <c r="R40" i="3"/>
  <c r="P40" i="3"/>
  <c r="Q40" i="3"/>
  <c r="N50" i="3"/>
  <c r="M50" i="3"/>
  <c r="L50" i="3"/>
  <c r="D183" i="9"/>
  <c r="J183" i="9"/>
  <c r="M183" i="9"/>
  <c r="G183" i="9"/>
  <c r="N68" i="3"/>
  <c r="M68" i="3"/>
  <c r="L68" i="3"/>
  <c r="M98" i="9"/>
  <c r="C130" i="9"/>
  <c r="G98" i="9"/>
  <c r="J98" i="9"/>
  <c r="D98" i="9"/>
  <c r="L14" i="5"/>
  <c r="M14" i="5"/>
  <c r="N14" i="5"/>
  <c r="G264" i="9"/>
  <c r="J264" i="9"/>
  <c r="D264" i="9"/>
  <c r="M264" i="9"/>
  <c r="Q75" i="3"/>
  <c r="R75" i="3"/>
  <c r="P75" i="3"/>
  <c r="D162" i="9"/>
  <c r="G162" i="9"/>
  <c r="M162" i="9"/>
  <c r="J162" i="9"/>
  <c r="G216" i="9"/>
  <c r="D216" i="9"/>
  <c r="J216" i="9"/>
  <c r="M216" i="9"/>
  <c r="D268" i="9"/>
  <c r="J268" i="9"/>
  <c r="M268" i="9"/>
  <c r="G268" i="9"/>
  <c r="J177" i="9"/>
  <c r="D177" i="9"/>
  <c r="G177" i="9"/>
  <c r="M177" i="9"/>
  <c r="R34" i="3"/>
  <c r="P34" i="3"/>
  <c r="Q34" i="3"/>
  <c r="J25" i="9"/>
  <c r="G25" i="9"/>
  <c r="M25" i="9"/>
  <c r="D25" i="9"/>
  <c r="N40" i="3"/>
  <c r="M40" i="3"/>
  <c r="L40" i="3"/>
  <c r="G136" i="9"/>
  <c r="J136" i="9"/>
  <c r="D136" i="9"/>
  <c r="M136" i="9"/>
  <c r="C168" i="9"/>
  <c r="J71" i="9"/>
  <c r="D71" i="9"/>
  <c r="G71" i="9"/>
  <c r="M71" i="9"/>
  <c r="G137" i="9"/>
  <c r="J137" i="9"/>
  <c r="M137" i="9"/>
  <c r="D137" i="9"/>
  <c r="G122" i="9"/>
  <c r="J122" i="9"/>
  <c r="D122" i="9"/>
  <c r="M122" i="9"/>
  <c r="M10" i="3"/>
  <c r="L10" i="3"/>
  <c r="N10" i="3"/>
  <c r="H69" i="3"/>
  <c r="I69" i="3"/>
  <c r="J69" i="3"/>
  <c r="G79" i="9"/>
  <c r="J79" i="9"/>
  <c r="M79" i="9"/>
  <c r="D79" i="9"/>
  <c r="G70" i="9"/>
  <c r="D70" i="9"/>
  <c r="J70" i="9"/>
  <c r="M70" i="9"/>
  <c r="M118" i="9"/>
  <c r="J118" i="9"/>
  <c r="G118" i="9"/>
  <c r="D118" i="9"/>
  <c r="M24" i="5"/>
  <c r="L24" i="5"/>
  <c r="N24" i="5"/>
  <c r="M23" i="3"/>
  <c r="N23" i="3"/>
  <c r="L23" i="3"/>
  <c r="G39" i="9"/>
  <c r="M39" i="9"/>
  <c r="D39" i="9"/>
  <c r="J39" i="9"/>
  <c r="M213" i="9"/>
  <c r="D213" i="9"/>
  <c r="G213" i="9"/>
  <c r="J213" i="9"/>
  <c r="J151" i="9"/>
  <c r="D151" i="9"/>
  <c r="G151" i="9"/>
  <c r="M151" i="9"/>
  <c r="J27" i="9"/>
  <c r="D27" i="9"/>
  <c r="G27" i="9"/>
  <c r="M27" i="9"/>
  <c r="G26" i="9"/>
  <c r="M26" i="9"/>
  <c r="D26" i="9"/>
  <c r="J26" i="9"/>
  <c r="M81" i="9"/>
  <c r="G81" i="9"/>
  <c r="D81" i="9"/>
  <c r="J81" i="9"/>
  <c r="J63" i="3"/>
  <c r="H63" i="3"/>
  <c r="I63" i="3"/>
  <c r="N69" i="3"/>
  <c r="L69" i="3"/>
  <c r="M69" i="3"/>
  <c r="I92" i="9"/>
  <c r="H92" i="9" s="1"/>
  <c r="G4" i="9" s="1"/>
  <c r="J242" i="9"/>
  <c r="D242" i="9"/>
  <c r="G242" i="9"/>
  <c r="M242" i="9"/>
  <c r="G184" i="9"/>
  <c r="D184" i="9"/>
  <c r="M184" i="9"/>
  <c r="J184" i="9"/>
  <c r="J232" i="9"/>
  <c r="D232" i="9"/>
  <c r="G232" i="9"/>
  <c r="M232" i="9"/>
  <c r="M186" i="9"/>
  <c r="D186" i="9"/>
  <c r="J186" i="9"/>
  <c r="G186" i="9"/>
  <c r="D158" i="9"/>
  <c r="M158" i="9"/>
  <c r="G158" i="9"/>
  <c r="J158" i="9"/>
  <c r="N16" i="5"/>
  <c r="L16" i="5"/>
  <c r="M16" i="5"/>
  <c r="L44" i="3"/>
  <c r="N44" i="3"/>
  <c r="M44" i="3"/>
  <c r="M77" i="9"/>
  <c r="J77" i="9"/>
  <c r="G77" i="9"/>
  <c r="D77" i="9"/>
  <c r="F130" i="9"/>
  <c r="E130" i="9" s="1"/>
  <c r="D6" i="9" s="1"/>
  <c r="M267" i="9"/>
  <c r="D267" i="9"/>
  <c r="G267" i="9"/>
  <c r="J267" i="9"/>
  <c r="M274" i="9"/>
  <c r="D274" i="9"/>
  <c r="J274" i="9"/>
  <c r="G274" i="9"/>
  <c r="J64" i="3"/>
  <c r="H64" i="3"/>
  <c r="I64" i="3"/>
  <c r="J90" i="9"/>
  <c r="G90" i="9"/>
  <c r="D90" i="9"/>
  <c r="M90" i="9"/>
  <c r="Q42" i="3"/>
  <c r="P42" i="3"/>
  <c r="R42" i="3"/>
  <c r="D89" i="9"/>
  <c r="M89" i="9"/>
  <c r="G89" i="9"/>
  <c r="J89" i="9"/>
  <c r="J38" i="3"/>
  <c r="H38" i="3"/>
  <c r="I38" i="3"/>
  <c r="P69" i="3"/>
  <c r="Q69" i="3"/>
  <c r="R69" i="3"/>
  <c r="G180" i="9"/>
  <c r="M180" i="9"/>
  <c r="D180" i="9"/>
  <c r="J180" i="9"/>
  <c r="M141" i="9"/>
  <c r="D141" i="9"/>
  <c r="G141" i="9"/>
  <c r="J141" i="9"/>
  <c r="M198" i="9"/>
  <c r="J198" i="9"/>
  <c r="G198" i="9"/>
  <c r="D198" i="9"/>
  <c r="R67" i="3"/>
  <c r="Q67" i="3"/>
  <c r="P67" i="3"/>
  <c r="D124" i="9"/>
  <c r="M124" i="9"/>
  <c r="J124" i="9"/>
  <c r="G124" i="9"/>
  <c r="J263" i="9"/>
  <c r="D263" i="9"/>
  <c r="G263" i="9"/>
  <c r="M263" i="9"/>
  <c r="M34" i="9"/>
  <c r="J34" i="9"/>
  <c r="G34" i="9"/>
  <c r="D34" i="9"/>
  <c r="L244" i="9"/>
  <c r="K244" i="9" s="1"/>
  <c r="J10" i="9" s="1"/>
  <c r="D85" i="9"/>
  <c r="J85" i="9"/>
  <c r="M85" i="9"/>
  <c r="G85" i="9"/>
  <c r="D78" i="9"/>
  <c r="M78" i="9"/>
  <c r="G78" i="9"/>
  <c r="J78" i="9"/>
  <c r="G256" i="9"/>
  <c r="J256" i="9"/>
  <c r="D256" i="9"/>
  <c r="M256" i="9"/>
  <c r="M66" i="3"/>
  <c r="N66" i="3"/>
  <c r="L66" i="3"/>
  <c r="D105" i="9"/>
  <c r="G105" i="9"/>
  <c r="J105" i="9"/>
  <c r="M105" i="9"/>
  <c r="M195" i="9"/>
  <c r="J195" i="9"/>
  <c r="D195" i="9"/>
  <c r="G195" i="9"/>
  <c r="M103" i="9"/>
  <c r="D103" i="9"/>
  <c r="G103" i="9"/>
  <c r="J103" i="9"/>
  <c r="L18" i="5"/>
  <c r="N18" i="5"/>
  <c r="M18" i="5"/>
  <c r="M12" i="3"/>
  <c r="N12" i="3"/>
  <c r="L12" i="3"/>
  <c r="M200" i="9"/>
  <c r="D200" i="9"/>
  <c r="J200" i="9"/>
  <c r="G200" i="9"/>
  <c r="D179" i="9"/>
  <c r="M179" i="9"/>
  <c r="G179" i="9"/>
  <c r="J179" i="9"/>
  <c r="J35" i="3"/>
  <c r="H35" i="3"/>
  <c r="I35" i="3"/>
  <c r="D261" i="9"/>
  <c r="M261" i="9"/>
  <c r="G261" i="9"/>
  <c r="J261" i="9"/>
  <c r="M194" i="9"/>
  <c r="G194" i="9"/>
  <c r="J194" i="9"/>
  <c r="D194" i="9"/>
  <c r="M70" i="3"/>
  <c r="L70" i="3"/>
  <c r="N70" i="3"/>
  <c r="J182" i="9"/>
  <c r="D182" i="9"/>
  <c r="G182" i="9"/>
  <c r="M182" i="9"/>
  <c r="M121" i="9"/>
  <c r="D121" i="9"/>
  <c r="G121" i="9"/>
  <c r="J121" i="9"/>
  <c r="L8" i="5"/>
  <c r="N8" i="5"/>
  <c r="M8" i="5"/>
  <c r="J101" i="9"/>
  <c r="M101" i="9"/>
  <c r="G101" i="9"/>
  <c r="D101" i="9"/>
  <c r="I41" i="3"/>
  <c r="J41" i="3"/>
  <c r="H41" i="3"/>
  <c r="D165" i="9"/>
  <c r="M165" i="9"/>
  <c r="G165" i="9"/>
  <c r="J165" i="9"/>
  <c r="F206" i="9"/>
  <c r="E206" i="9" s="1"/>
  <c r="D8" i="9" s="1"/>
  <c r="D149" i="9"/>
  <c r="G149" i="9"/>
  <c r="J149" i="9"/>
  <c r="M149" i="9"/>
  <c r="J100" i="9"/>
  <c r="G100" i="9"/>
  <c r="M100" i="9"/>
  <c r="D100" i="9"/>
  <c r="J178" i="9"/>
  <c r="M178" i="9"/>
  <c r="D178" i="9"/>
  <c r="G178" i="9"/>
  <c r="M62" i="3"/>
  <c r="N62" i="3"/>
  <c r="L62" i="3"/>
  <c r="M229" i="9"/>
  <c r="J229" i="9"/>
  <c r="D229" i="9"/>
  <c r="G229" i="9"/>
  <c r="I54" i="9"/>
  <c r="H54" i="9" s="1"/>
  <c r="G16" i="9" s="1"/>
  <c r="L7" i="5"/>
  <c r="N7" i="5"/>
  <c r="M7" i="5"/>
  <c r="G271" i="9"/>
  <c r="D271" i="9"/>
  <c r="J271" i="9"/>
  <c r="M271" i="9"/>
  <c r="L16" i="3"/>
  <c r="M16" i="3"/>
  <c r="N16" i="3"/>
  <c r="F244" i="9"/>
  <c r="E244" i="9" s="1"/>
  <c r="D10" i="9" s="1"/>
  <c r="L54" i="9"/>
  <c r="K54" i="9" s="1"/>
  <c r="J16" i="9" s="1"/>
  <c r="M196" i="9"/>
  <c r="J196" i="9"/>
  <c r="G196" i="9"/>
  <c r="D196" i="9"/>
  <c r="G140" i="9"/>
  <c r="M140" i="9"/>
  <c r="J140" i="9"/>
  <c r="D140" i="9"/>
  <c r="Q43" i="3"/>
  <c r="R43" i="3"/>
  <c r="P43" i="3"/>
  <c r="G123" i="9"/>
  <c r="M123" i="9"/>
  <c r="J123" i="9"/>
  <c r="D123" i="9"/>
  <c r="D44" i="9"/>
  <c r="G44" i="9"/>
  <c r="M44" i="9"/>
  <c r="J44" i="9"/>
  <c r="J48" i="3"/>
  <c r="H48" i="3"/>
  <c r="I48" i="3"/>
  <c r="J73" i="9"/>
  <c r="M73" i="9"/>
  <c r="D73" i="9"/>
  <c r="G73" i="9"/>
  <c r="I206" i="9"/>
  <c r="H206" i="9" s="1"/>
  <c r="G8" i="9" s="1"/>
  <c r="N11" i="5"/>
  <c r="L11" i="5"/>
  <c r="M11" i="5"/>
  <c r="G127" i="9"/>
  <c r="M127" i="9"/>
  <c r="D127" i="9"/>
  <c r="J127" i="9"/>
  <c r="I168" i="9"/>
  <c r="H168" i="9" s="1"/>
  <c r="G12" i="9" s="1"/>
  <c r="R39" i="3"/>
  <c r="Q39" i="3"/>
  <c r="P39" i="3"/>
  <c r="M41" i="3"/>
  <c r="N41" i="3"/>
  <c r="L41" i="3"/>
  <c r="J251" i="9"/>
  <c r="D251" i="9"/>
  <c r="M251" i="9"/>
  <c r="G251" i="9"/>
  <c r="J69" i="9"/>
  <c r="M69" i="9"/>
  <c r="G69" i="9"/>
  <c r="D69" i="9"/>
  <c r="D204" i="9"/>
  <c r="J204" i="9"/>
  <c r="G204" i="9"/>
  <c r="M204" i="9"/>
  <c r="G84" i="9"/>
  <c r="J84" i="9"/>
  <c r="D84" i="9"/>
  <c r="M84" i="9"/>
  <c r="J159" i="9"/>
  <c r="D159" i="9"/>
  <c r="M159" i="9"/>
  <c r="G159" i="9"/>
  <c r="Q72" i="3"/>
  <c r="R72" i="3"/>
  <c r="P72" i="3"/>
  <c r="P38" i="3"/>
  <c r="R38" i="3"/>
  <c r="Q38" i="3"/>
  <c r="P66" i="3"/>
  <c r="Q66" i="3"/>
  <c r="R66" i="3"/>
  <c r="G152" i="9"/>
  <c r="J152" i="9"/>
  <c r="D152" i="9"/>
  <c r="M152" i="9"/>
  <c r="J99" i="9"/>
  <c r="G99" i="9"/>
  <c r="M99" i="9"/>
  <c r="D99" i="9"/>
  <c r="Q48" i="3"/>
  <c r="P48" i="3"/>
  <c r="R48" i="3"/>
  <c r="N42" i="3"/>
  <c r="L42" i="3"/>
  <c r="M42" i="3"/>
  <c r="D115" i="9"/>
  <c r="J115" i="9"/>
  <c r="M115" i="9"/>
  <c r="G115" i="9"/>
  <c r="J32" i="9"/>
  <c r="M32" i="9"/>
  <c r="D32" i="9"/>
  <c r="G32" i="9"/>
  <c r="H44" i="3"/>
  <c r="I44" i="3"/>
  <c r="J44" i="3"/>
  <c r="L92" i="9"/>
  <c r="K92" i="9" s="1"/>
  <c r="J4" i="9" s="1"/>
  <c r="J106" i="9"/>
  <c r="M106" i="9"/>
  <c r="G106" i="9"/>
  <c r="D106" i="9"/>
  <c r="H74" i="3"/>
  <c r="I74" i="3"/>
  <c r="J74" i="3"/>
  <c r="R44" i="3"/>
  <c r="P44" i="3"/>
  <c r="Q44" i="3"/>
  <c r="I39" i="3"/>
  <c r="H39" i="3"/>
  <c r="J39" i="3"/>
  <c r="M219" i="9"/>
  <c r="J219" i="9"/>
  <c r="G219" i="9"/>
  <c r="D219" i="9"/>
  <c r="D168" i="9" l="1"/>
  <c r="J130" i="9"/>
  <c r="G92" i="9"/>
  <c r="J54" i="9"/>
  <c r="M54" i="9"/>
  <c r="G206" i="9"/>
  <c r="J244" i="9"/>
  <c r="D282" i="9"/>
  <c r="J168" i="9"/>
  <c r="G130" i="9"/>
  <c r="D54" i="9"/>
  <c r="D206" i="9"/>
  <c r="M244" i="9"/>
  <c r="M282" i="9"/>
  <c r="G168" i="9"/>
  <c r="M92" i="9"/>
  <c r="J92" i="9"/>
  <c r="G54" i="9"/>
  <c r="M206" i="9"/>
  <c r="J206" i="9"/>
  <c r="G282" i="9"/>
  <c r="M168" i="9"/>
  <c r="D130" i="9"/>
  <c r="M130" i="9"/>
  <c r="D92" i="9"/>
  <c r="D244" i="9"/>
  <c r="G244" i="9"/>
  <c r="J282" i="9"/>
  <c r="E54" i="9"/>
  <c r="D16" i="9" s="1"/>
  <c r="B12" i="9" s="1"/>
  <c r="B5" i="9"/>
  <c r="B11" i="9" l="1"/>
  <c r="B6" i="9"/>
  <c r="B15" i="9"/>
  <c r="B3" i="9"/>
  <c r="B10" i="9"/>
  <c r="B13" i="9"/>
  <c r="B4" i="9"/>
  <c r="B8" i="9"/>
  <c r="B14" i="9"/>
  <c r="B9" i="9"/>
  <c r="B16" i="9"/>
  <c r="B7" i="9"/>
</calcChain>
</file>

<file path=xl/sharedStrings.xml><?xml version="1.0" encoding="utf-8"?>
<sst xmlns="http://schemas.openxmlformats.org/spreadsheetml/2006/main" count="4252" uniqueCount="366">
  <si>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</si>
  <si>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</si>
  <si>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</si>
  <si>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</si>
  <si>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</si>
  <si>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</si>
  <si>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</si>
  <si>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</si>
  <si>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</si>
  <si>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</si>
  <si>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</si>
  <si>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</si>
  <si>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</si>
  <si>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</si>
  <si>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</si>
  <si>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</si>
  <si>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</si>
  <si>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</si>
  <si>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</si>
  <si>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</si>
  <si>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</si>
  <si>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</si>
  <si>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</si>
  <si>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</si>
  <si>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</si>
  <si>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</si>
  <si>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</si>
  <si>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</si>
  <si>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</si>
  <si>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</si>
  <si>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</si>
  <si>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</si>
  <si>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</si>
  <si>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</si>
  <si>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</si>
  <si>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</si>
  <si>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</si>
  <si>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</si>
  <si>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</si>
  <si>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</si>
  <si>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</si>
  <si>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</si>
  <si>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</si>
  <si>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</si>
  <si>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</si>
  <si>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</si>
  <si>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</si>
  <si>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</si>
  <si>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</si>
  <si>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</si>
  <si>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</si>
  <si>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</si>
  <si>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</si>
  <si>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</si>
  <si>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</si>
  <si>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</si>
  <si>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</si>
  <si>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</si>
  <si>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</si>
  <si>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</si>
  <si>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</si>
  <si>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</si>
  <si>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</si>
  <si>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</si>
  <si>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</si>
  <si>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</si>
  <si>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</si>
  <si>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</si>
  <si>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</si>
  <si>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</si>
  <si>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</si>
  <si>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</si>
  <si>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</si>
  <si>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</si>
  <si>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</si>
  <si>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</si>
  <si>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</si>
  <si>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</si>
  <si>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</si>
  <si>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</si>
  <si>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</si>
  <si>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</si>
  <si>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</si>
  <si>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</si>
  <si>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</si>
  <si>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</si>
  <si>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</si>
  <si>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</si>
  <si>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</si>
  <si>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</si>
  <si>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</si>
  <si>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</si>
  <si>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</si>
  <si>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</si>
  <si>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</si>
  <si>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</si>
  <si>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</si>
  <si>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</si>
  <si>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</si>
  <si>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</si>
  <si>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</si>
  <si>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</si>
  <si>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</si>
  <si>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</si>
  <si>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</si>
  <si>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</si>
  <si>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</si>
  <si>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</si>
  <si>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</si>
  <si>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</si>
  <si>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</si>
  <si>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</si>
  <si>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</si>
  <si>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</si>
  <si>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</si>
  <si>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</si>
  <si>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</si>
  <si>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</si>
  <si>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</si>
  <si>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</si>
  <si>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</si>
  <si>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</si>
  <si>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</si>
  <si>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</si>
  <si>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</si>
  <si>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</si>
  <si>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</si>
  <si>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</si>
  <si>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</si>
  <si>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</si>
  <si>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</si>
  <si>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</si>
  <si>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</si>
  <si>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</si>
  <si>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</si>
  <si>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</si>
  <si>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</si>
  <si>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</si>
  <si>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</si>
  <si>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</si>
  <si>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</si>
  <si>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</si>
  <si>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</si>
  <si>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</si>
  <si>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</si>
  <si>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</si>
  <si>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</si>
  <si>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</si>
  <si>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</si>
  <si>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</si>
  <si>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</si>
  <si>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</si>
  <si>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</si>
  <si>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</si>
  <si>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</si>
  <si>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</si>
  <si>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</si>
  <si>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</si>
  <si>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</si>
  <si>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</si>
  <si>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</si>
  <si>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</si>
  <si>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</si>
  <si>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</si>
  <si>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</si>
  <si>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</si>
  <si>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</si>
  <si>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</si>
  <si>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</si>
  <si>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</si>
  <si>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</si>
  <si>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</si>
  <si>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</si>
  <si>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</si>
  <si>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</si>
  <si>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</si>
  <si>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</si>
  <si>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</si>
  <si>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</si>
  <si>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</si>
  <si>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</si>
  <si>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</si>
  <si>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</si>
  <si>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</si>
  <si>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</si>
  <si>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</si>
  <si>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</si>
  <si>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</si>
  <si>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</si>
  <si>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</si>
  <si>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</si>
  <si>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</si>
  <si>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</si>
  <si>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</si>
  <si>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</si>
  <si>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</si>
  <si>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</si>
  <si>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</si>
  <si>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</si>
  <si>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</si>
  <si>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</si>
  <si>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</si>
  <si>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</si>
  <si>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</si>
  <si>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</si>
  <si>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</si>
  <si>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</si>
  <si>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</si>
  <si>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</si>
  <si>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</si>
  <si>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</si>
  <si>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</si>
  <si>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</si>
  <si>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</si>
  <si>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</si>
  <si>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</si>
  <si>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</si>
  <si>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</si>
  <si>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</si>
  <si>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</si>
  <si>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</si>
  <si>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</si>
  <si>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</si>
  <si>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</si>
  <si>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</si>
  <si>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</si>
  <si>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</si>
  <si>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</si>
  <si>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</si>
  <si>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</si>
  <si>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</si>
  <si>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</si>
  <si>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</si>
  <si>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</si>
  <si>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</si>
  <si>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</si>
  <si>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</si>
  <si>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</si>
  <si>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</si>
  <si>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</si>
  <si>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</si>
  <si>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</si>
  <si>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</si>
  <si>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</si>
  <si>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</si>
  <si>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</si>
  <si>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</si>
  <si>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</si>
  <si>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</si>
  <si>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</si>
  <si>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</si>
  <si>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</si>
  <si>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</si>
  <si>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</si>
  <si>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</si>
  <si>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</si>
  <si>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</si>
  <si>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</si>
  <si>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</si>
  <si>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</si>
  <si>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</si>
  <si>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</si>
  <si>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</si>
  <si>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</si>
  <si>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</si>
  <si>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</si>
  <si>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</si>
  <si>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</si>
  <si>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</si>
  <si>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</si>
  <si>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</si>
  <si>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</si>
  <si>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</si>
  <si>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</si>
  <si>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</si>
  <si>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</si>
  <si>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</si>
  <si>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</si>
  <si>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</si>
  <si>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</si>
  <si>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</si>
  <si>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</si>
  <si>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</si>
  <si>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</si>
  <si>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</si>
  <si>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</si>
  <si>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</si>
  <si>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</si>
  <si>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</si>
  <si>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</si>
  <si>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</si>
  <si>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</si>
  <si>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</si>
  <si>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</si>
  <si>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</si>
  <si>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</si>
  <si>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</si>
  <si>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</si>
  <si>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</si>
  <si>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</si>
  <si>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</si>
  <si>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</si>
  <si>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</si>
  <si>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</si>
  <si>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</si>
  <si>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</si>
  <si>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</si>
  <si>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</si>
  <si>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</si>
  <si>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</si>
  <si>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</si>
  <si>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</si>
  <si>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</si>
  <si>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</si>
  <si>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</si>
  <si>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</si>
  <si>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</si>
  <si>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</si>
  <si>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</si>
  <si>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</si>
  <si>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</si>
  <si>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</si>
  <si>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</si>
  <si>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</si>
  <si>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</si>
  <si>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</si>
  <si>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</si>
  <si>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</si>
  <si>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</si>
  <si>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</si>
  <si>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</si>
  <si>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</si>
  <si>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</si>
  <si>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</si>
  <si>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</si>
  <si>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</si>
  <si>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</si>
  <si>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</si>
  <si>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</si>
  <si>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</si>
  <si>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</si>
  <si>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</si>
  <si>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</si>
  <si>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</si>
  <si>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</si>
  <si>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</si>
  <si>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</si>
  <si>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</si>
  <si>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</si>
  <si>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</si>
  <si>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</si>
  <si>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</si>
  <si>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</si>
  <si>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</si>
  <si>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</si>
  <si>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</si>
  <si>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</si>
  <si>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</si>
  <si>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</si>
  <si>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</si>
  <si>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</si>
  <si>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</si>
  <si>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</si>
  <si>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</si>
  <si>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</si>
  <si>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2021.06.08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</si>
</sst>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74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03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2" t="s">
        <v>0</v>
      </c>
      <c r="B1" s="193"/>
      <c r="C1" s="193"/>
      <c r="D1" s="193"/>
      <c r="E1" s="193"/>
      <c r="F1" s="194"/>
      <c r="G1" s="195">
        <v>44287</v>
      </c>
      <c r="H1" s="196"/>
      <c r="I1" s="197"/>
      <c r="J1" s="192" t="s">
        <v>1</v>
      </c>
      <c r="K1" s="193"/>
      <c r="L1" s="193"/>
      <c r="M1" s="193"/>
      <c r="N1" s="193"/>
      <c r="O1" s="194"/>
      <c r="Q1" s="192" t="s">
        <v>2</v>
      </c>
      <c r="R1" s="194"/>
    </row>
    <row r="2" spans="1:19" ht="17.25" customHeight="1">
      <c r="A2" s="1" t="s">
        <v>3</v>
      </c>
      <c r="B2" s="198" t="s">
        <v>4</v>
      </c>
      <c r="C2" s="199"/>
      <c r="D2" s="199"/>
      <c r="E2" s="199"/>
      <c r="F2" s="200"/>
      <c r="G2" s="201" t="s">
        <v>46</v>
      </c>
      <c r="H2" s="202"/>
      <c r="I2" s="203"/>
      <c r="J2" s="1" t="s">
        <v>3</v>
      </c>
      <c r="K2" s="198" t="s">
        <v>5</v>
      </c>
      <c r="L2" s="199"/>
      <c r="M2" s="199"/>
      <c r="N2" s="199"/>
      <c r="O2" s="200"/>
      <c r="Q2" s="2" t="s">
        <v>6</v>
      </c>
      <c r="R2" s="3">
        <v>0.375</v>
      </c>
    </row>
    <row r="3" spans="1:19" ht="17.25" customHeight="1" thickBot="1">
      <c r="A3" s="4" t="s">
        <v>7</v>
      </c>
      <c r="B3" s="204" t="s">
        <v>8</v>
      </c>
      <c r="C3" s="205"/>
      <c r="D3" s="205"/>
      <c r="E3" s="205"/>
      <c r="F3" s="206"/>
      <c r="G3" s="20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8"/>
      <c r="I3" s="209"/>
      <c r="J3" s="4" t="s">
        <v>7</v>
      </c>
      <c r="K3" s="204" t="s">
        <v>9</v>
      </c>
      <c r="L3" s="205"/>
      <c r="M3" s="205"/>
      <c r="N3" s="205"/>
      <c r="O3" s="20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04" t="s">
        <v>12</v>
      </c>
      <c r="C4" s="205"/>
      <c r="D4" s="205"/>
      <c r="E4" s="205"/>
      <c r="F4" s="206"/>
      <c r="G4" s="201" t="s">
        <v>44</v>
      </c>
      <c r="H4" s="202"/>
      <c r="I4" s="203"/>
      <c r="J4" s="4" t="s">
        <v>11</v>
      </c>
      <c r="K4" s="204" t="s">
        <v>13</v>
      </c>
      <c r="L4" s="205"/>
      <c r="M4" s="205"/>
      <c r="N4" s="205"/>
      <c r="O4" s="206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04" t="s">
        <v>16</v>
      </c>
      <c r="C5" s="205"/>
      <c r="D5" s="205"/>
      <c r="E5" s="205"/>
      <c r="F5" s="206"/>
      <c r="G5" s="20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8"/>
      <c r="I5" s="209"/>
      <c r="J5" s="4" t="s">
        <v>15</v>
      </c>
      <c r="K5" s="204" t="s">
        <v>17</v>
      </c>
      <c r="L5" s="205"/>
      <c r="M5" s="205"/>
      <c r="N5" s="205"/>
      <c r="O5" s="206"/>
    </row>
    <row r="6" spans="1:19">
      <c r="A6" s="4" t="s">
        <v>18</v>
      </c>
      <c r="B6" s="204" t="s">
        <v>19</v>
      </c>
      <c r="C6" s="205"/>
      <c r="D6" s="205"/>
      <c r="E6" s="205"/>
      <c r="F6" s="206"/>
      <c r="G6" s="201" t="s">
        <v>45</v>
      </c>
      <c r="H6" s="202"/>
      <c r="I6" s="203"/>
      <c r="J6" s="4" t="s">
        <v>18</v>
      </c>
      <c r="K6" s="204" t="s">
        <v>20</v>
      </c>
      <c r="L6" s="205"/>
      <c r="M6" s="205"/>
      <c r="N6" s="205"/>
      <c r="O6" s="206"/>
    </row>
    <row r="7" spans="1:19" ht="17.25" thickBot="1">
      <c r="A7" s="4" t="s">
        <v>21</v>
      </c>
      <c r="B7" s="204" t="s">
        <v>22</v>
      </c>
      <c r="C7" s="205"/>
      <c r="D7" s="205"/>
      <c r="E7" s="205"/>
      <c r="F7" s="206"/>
      <c r="G7" s="20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8"/>
      <c r="I7" s="209"/>
      <c r="J7" s="4" t="s">
        <v>21</v>
      </c>
      <c r="K7" s="204" t="s">
        <v>23</v>
      </c>
      <c r="L7" s="205"/>
      <c r="M7" s="205"/>
      <c r="N7" s="205"/>
      <c r="O7" s="206"/>
    </row>
    <row r="8" spans="1:19" ht="17.25" thickBot="1">
      <c r="A8" s="4" t="s">
        <v>24</v>
      </c>
      <c r="B8" s="204" t="s">
        <v>25</v>
      </c>
      <c r="C8" s="205"/>
      <c r="D8" s="205"/>
      <c r="E8" s="205"/>
      <c r="F8" s="206"/>
      <c r="G8" s="201" t="s">
        <v>285</v>
      </c>
      <c r="H8" s="202"/>
      <c r="I8" s="203"/>
      <c r="J8" s="4" t="s">
        <v>24</v>
      </c>
      <c r="K8" s="204" t="s">
        <v>26</v>
      </c>
      <c r="L8" s="205"/>
      <c r="M8" s="205"/>
      <c r="N8" s="205"/>
      <c r="O8" s="206"/>
      <c r="Q8" s="192" t="s">
        <v>27</v>
      </c>
      <c r="R8" s="194"/>
    </row>
    <row r="9" spans="1:19" ht="17.25" thickBot="1">
      <c r="A9" s="4" t="s">
        <v>28</v>
      </c>
      <c r="B9" s="204"/>
      <c r="C9" s="205"/>
      <c r="D9" s="205"/>
      <c r="E9" s="205"/>
      <c r="F9" s="206"/>
      <c r="G9" s="20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8"/>
      <c r="I9" s="209"/>
      <c r="J9" s="4" t="s">
        <v>28</v>
      </c>
      <c r="K9" s="204" t="s">
        <v>293</v>
      </c>
      <c r="L9" s="205"/>
      <c r="M9" s="205"/>
      <c r="N9" s="205"/>
      <c r="O9" s="206"/>
      <c r="Q9" s="2" t="s">
        <v>29</v>
      </c>
      <c r="R9" s="6">
        <v>10</v>
      </c>
    </row>
    <row r="10" spans="1:19">
      <c r="A10" s="4" t="s">
        <v>30</v>
      </c>
      <c r="B10" s="204"/>
      <c r="C10" s="205"/>
      <c r="D10" s="205"/>
      <c r="E10" s="205"/>
      <c r="F10" s="206"/>
      <c r="G10" s="201" t="s">
        <v>47</v>
      </c>
      <c r="H10" s="202"/>
      <c r="I10" s="203"/>
      <c r="J10" s="4" t="s">
        <v>30</v>
      </c>
      <c r="K10" s="204"/>
      <c r="L10" s="205"/>
      <c r="M10" s="205"/>
      <c r="N10" s="205"/>
      <c r="O10" s="206"/>
      <c r="Q10" s="2" t="s">
        <v>31</v>
      </c>
      <c r="R10" s="6">
        <v>100</v>
      </c>
    </row>
    <row r="11" spans="1:19" ht="17.25" thickBot="1">
      <c r="A11" s="7" t="s">
        <v>32</v>
      </c>
      <c r="B11" s="210"/>
      <c r="C11" s="211"/>
      <c r="D11" s="211"/>
      <c r="E11" s="211"/>
      <c r="F11" s="212"/>
      <c r="G11" s="20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8"/>
      <c r="I11" s="209"/>
      <c r="J11" s="7" t="s">
        <v>32</v>
      </c>
      <c r="K11" s="210"/>
      <c r="L11" s="211"/>
      <c r="M11" s="211"/>
      <c r="N11" s="211"/>
      <c r="O11" s="212"/>
      <c r="Q11" s="65" t="s">
        <v>33</v>
      </c>
      <c r="R11" s="8">
        <v>1000</v>
      </c>
    </row>
    <row r="12" spans="1:19" ht="17.25" thickBot="1"/>
    <row r="13" spans="1:19" ht="17.25" customHeight="1" thickBot="1">
      <c r="A13" s="192" t="s">
        <v>34</v>
      </c>
      <c r="B13" s="193"/>
      <c r="C13" s="193"/>
      <c r="D13" s="193"/>
      <c r="E13" s="193"/>
      <c r="F13" s="193"/>
      <c r="G13" s="193"/>
      <c r="H13" s="193"/>
      <c r="I13" s="193"/>
      <c r="J13" s="193"/>
      <c r="K13" s="193"/>
      <c r="L13" s="193"/>
      <c r="M13" s="193"/>
      <c r="N13" s="193"/>
      <c r="O13" s="194"/>
      <c r="Q13" s="213"/>
      <c r="R13" s="213"/>
      <c r="S13" s="213"/>
    </row>
    <row r="14" spans="1:19" ht="17.25" customHeight="1" thickBot="1">
      <c r="A14" s="111" t="s">
        <v>35</v>
      </c>
      <c r="B14" s="192" t="s">
        <v>36</v>
      </c>
      <c r="C14" s="194"/>
      <c r="D14" s="192" t="s">
        <v>37</v>
      </c>
      <c r="E14" s="193"/>
      <c r="F14" s="194"/>
      <c r="G14" s="219">
        <f>_xlfn.IFNA(VLOOKUP(B14, 현재가테이블!$B$2:$D$200, 2, FALSE), "-")</f>
        <v>38300000</v>
      </c>
      <c r="H14" s="220"/>
      <c r="I14" s="221"/>
      <c r="J14" s="192" t="s">
        <v>38</v>
      </c>
      <c r="K14" s="193"/>
      <c r="L14" s="194"/>
      <c r="M14" s="222">
        <f>_xlfn.IFNA(VLOOKUP(B14, 현재가테이블!$B$2:$D$200, 3, FALSE), "-")</f>
        <v>-1.9557649E-2</v>
      </c>
      <c r="N14" s="223"/>
      <c r="O14" s="224"/>
      <c r="Q14" s="213"/>
      <c r="R14" s="213"/>
      <c r="S14" s="213"/>
    </row>
    <row r="15" spans="1:19" ht="17.25" customHeight="1" thickBot="1">
      <c r="A15" s="214" t="s">
        <v>39</v>
      </c>
      <c r="B15" s="225" t="str">
        <f>TEXT($G$1, "[$-ko-KR]yyyy-mm-dd(ddd) ") &amp; "오전 00:00"</f>
        <v>2021-04-01(목) 오전 00:00</v>
      </c>
      <c r="C15" s="226"/>
      <c r="D15" s="215" t="str">
        <f>TEXT($G$1, "[$-ko-KR]yyyy-mm-dd(ddd) ") &amp; "오후 14:00"</f>
        <v>2021-04-01(목) 오후 14:00</v>
      </c>
      <c r="E15" s="216"/>
      <c r="F15" s="217"/>
      <c r="G15" s="215" t="str">
        <f>TEXT($G$1, "[$-ko-KR]yyyy-mm-dd(ddd) ") &amp; "오후 19:00"</f>
        <v>2021-04-01(목) 오후 19:00</v>
      </c>
      <c r="H15" s="216"/>
      <c r="I15" s="217"/>
      <c r="J15" s="215" t="str">
        <f>TEXT($G$1, "[$-ko-KR]yyyy-mm-dd(ddd) ") &amp; "오후 21:00"</f>
        <v>2021-04-01(목) 오후 21:00</v>
      </c>
      <c r="K15" s="216"/>
      <c r="L15" s="217"/>
      <c r="M15" s="215" t="str">
        <f>TEXT($G$1+1, "[$-ko-KR]yyyy-mm-dd(ddd) ") &amp; "오전 00:00"</f>
        <v>2021-04-02(금) 오전 00:00</v>
      </c>
      <c r="N15" s="216"/>
      <c r="O15" s="217"/>
      <c r="Q15" s="213"/>
      <c r="R15" s="213"/>
      <c r="S15" s="213"/>
    </row>
    <row r="16" spans="1:19" ht="17.25" customHeight="1" thickBot="1">
      <c r="A16" s="214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8"/>
      <c r="R16" s="218"/>
      <c r="S16" s="218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3"/>
      <c r="R17" s="213"/>
      <c r="S17" s="213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3"/>
      <c r="R18" s="213"/>
      <c r="S18" s="213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8"/>
      <c r="R19" s="218"/>
      <c r="S19" s="218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8"/>
      <c r="R20" s="218"/>
      <c r="S20" s="218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8"/>
      <c r="R21" s="218"/>
      <c r="S21" s="218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8"/>
      <c r="R22" s="218"/>
      <c r="S22" s="21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8"/>
      <c r="R23" s="218"/>
      <c r="S23" s="21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8"/>
      <c r="R24" s="218"/>
      <c r="S24" s="21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7"/>
      <c r="R26" s="228"/>
      <c r="S26" s="229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0"/>
      <c r="R27" s="231"/>
      <c r="S27" s="232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3"/>
      <c r="R28" s="234"/>
      <c r="S28" s="235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8"/>
      <c r="R29" s="218"/>
      <c r="S29" s="21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3"/>
      <c r="R30" s="213"/>
      <c r="S30" s="213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3"/>
      <c r="R31" s="213"/>
      <c r="S31" s="213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8"/>
      <c r="R32" s="218"/>
      <c r="S32" s="21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8"/>
      <c r="R33" s="218"/>
      <c r="S33" s="21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8"/>
      <c r="R34" s="218"/>
      <c r="S34" s="21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0"/>
      <c r="R35" s="241"/>
      <c r="S35" s="242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3"/>
      <c r="R36" s="244"/>
      <c r="S36" s="245"/>
    </row>
    <row r="37" spans="1:19" ht="17.25" customHeight="1" thickBot="1">
      <c r="A37" s="26" t="s">
        <v>42</v>
      </c>
      <c r="B37" s="249">
        <v>300000</v>
      </c>
      <c r="C37" s="250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46"/>
      <c r="R37" s="247"/>
      <c r="S37" s="248"/>
    </row>
    <row r="38" spans="1:19" ht="17.25" customHeight="1"/>
    <row r="39" spans="1:19" ht="17.25" customHeight="1" thickBot="1"/>
    <row r="40" spans="1:19" ht="17.25" customHeight="1" thickBot="1">
      <c r="A40" s="192" t="s">
        <v>44</v>
      </c>
      <c r="B40" s="193"/>
      <c r="C40" s="193"/>
      <c r="D40" s="193"/>
      <c r="E40" s="193"/>
      <c r="F40" s="193"/>
      <c r="G40" s="193"/>
      <c r="H40" s="193"/>
      <c r="I40" s="193"/>
      <c r="J40" s="193"/>
      <c r="K40" s="193"/>
      <c r="L40" s="193"/>
      <c r="M40" s="193"/>
      <c r="N40" s="193"/>
      <c r="O40" s="194"/>
      <c r="Q40" s="213"/>
      <c r="R40" s="213"/>
      <c r="S40" s="213"/>
    </row>
    <row r="41" spans="1:19" ht="17.25" customHeight="1" thickBot="1">
      <c r="A41" s="111" t="s">
        <v>297</v>
      </c>
      <c r="B41" s="192" t="s">
        <v>49</v>
      </c>
      <c r="C41" s="194"/>
      <c r="D41" s="192" t="s">
        <v>58</v>
      </c>
      <c r="E41" s="193"/>
      <c r="F41" s="194"/>
      <c r="G41" s="219">
        <f>_xlfn.IFNA(VLOOKUP(B41, 현재가테이블!$B$2:$D$200, 2, FALSE), "-")</f>
        <v>38300000</v>
      </c>
      <c r="H41" s="220"/>
      <c r="I41" s="221"/>
      <c r="J41" s="192" t="s">
        <v>59</v>
      </c>
      <c r="K41" s="193"/>
      <c r="L41" s="194"/>
      <c r="M41" s="222">
        <f>_xlfn.IFNA(VLOOKUP(B41, 현재가테이블!$B$2:$D$200, 3, FALSE), "-")</f>
        <v>-1.9557649E-2</v>
      </c>
      <c r="N41" s="223"/>
      <c r="O41" s="224"/>
      <c r="Q41" s="213"/>
      <c r="R41" s="213"/>
      <c r="S41" s="213"/>
    </row>
    <row r="42" spans="1:19" ht="17.25" customHeight="1" thickBot="1">
      <c r="A42" s="236" t="s">
        <v>55</v>
      </c>
      <c r="B42" s="238" t="str">
        <f>TEXT($G$1, "[$-ko-KR]yyyy-mm-dd(ddd) ") &amp; "오전 00:00"</f>
        <v>2021-04-01(목) 오전 00:00</v>
      </c>
      <c r="C42" s="239"/>
      <c r="D42" s="215" t="str">
        <f>TEXT($G$1, "[$-ko-KR]yyyy-mm-dd(ddd) ") &amp; "오후 14:00"</f>
        <v>2021-04-01(목) 오후 14:00</v>
      </c>
      <c r="E42" s="216"/>
      <c r="F42" s="217"/>
      <c r="G42" s="215" t="str">
        <f>TEXT($G$1, "[$-ko-KR]yyyy-mm-dd(ddd) ") &amp; "오후 19:00"</f>
        <v>2021-04-01(목) 오후 19:00</v>
      </c>
      <c r="H42" s="216"/>
      <c r="I42" s="217"/>
      <c r="J42" s="215" t="str">
        <f>TEXT($G$1, "[$-ko-KR]yyyy-mm-dd(ddd) ") &amp; "오후 21:00"</f>
        <v>2021-04-01(목) 오후 21:00</v>
      </c>
      <c r="K42" s="216"/>
      <c r="L42" s="217"/>
      <c r="M42" s="215" t="str">
        <f>TEXT($G$1+1, "[$-ko-KR]yyyy-mm-dd(ddd) ") &amp; "오전 00:00"</f>
        <v>2021-04-02(금) 오전 00:00</v>
      </c>
      <c r="N42" s="216"/>
      <c r="O42" s="217"/>
      <c r="Q42" s="213"/>
      <c r="R42" s="213"/>
      <c r="S42" s="213"/>
    </row>
    <row r="43" spans="1:19" ht="17.25" customHeight="1" thickBot="1">
      <c r="A43" s="237"/>
      <c r="B43" s="2" t="s">
        <v>58</v>
      </c>
      <c r="C43" s="10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8"/>
      <c r="R43" s="218"/>
      <c r="S43" s="218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3"/>
      <c r="R44" s="213"/>
      <c r="S44" s="213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3"/>
      <c r="R45" s="213"/>
      <c r="S45" s="213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8"/>
      <c r="R46" s="218"/>
      <c r="S46" s="218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8"/>
      <c r="R47" s="218"/>
      <c r="S47" s="218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8"/>
      <c r="R48" s="218"/>
      <c r="S48" s="218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8"/>
      <c r="R49" s="218"/>
      <c r="S49" s="218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8"/>
      <c r="R50" s="218"/>
      <c r="S50" s="218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8"/>
      <c r="R51" s="218"/>
      <c r="S51" s="218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7"/>
      <c r="R53" s="228"/>
      <c r="S53" s="229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0"/>
      <c r="R54" s="231"/>
      <c r="S54" s="232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3"/>
      <c r="R55" s="234"/>
      <c r="S55" s="235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8"/>
      <c r="R56" s="218"/>
      <c r="S56" s="218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3"/>
      <c r="R57" s="213"/>
      <c r="S57" s="213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3"/>
      <c r="R58" s="213"/>
      <c r="S58" s="213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8"/>
      <c r="R59" s="218"/>
      <c r="S59" s="218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8"/>
      <c r="R60" s="218"/>
      <c r="S60" s="218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8"/>
      <c r="R61" s="218"/>
      <c r="S61" s="218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0"/>
      <c r="R62" s="241"/>
      <c r="S62" s="242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3"/>
      <c r="R63" s="244"/>
      <c r="S63" s="245"/>
    </row>
    <row r="64" spans="1:19" ht="17.25" customHeight="1" thickBot="1">
      <c r="A64" s="26" t="s">
        <v>300</v>
      </c>
      <c r="B64" s="249">
        <f>$B$37</f>
        <v>300000</v>
      </c>
      <c r="C64" s="250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46"/>
      <c r="R64" s="247"/>
      <c r="S64" s="248"/>
    </row>
    <row r="65" spans="1:19" ht="17.25" customHeight="1"/>
    <row r="66" spans="1:19" ht="17.25" customHeight="1" thickBot="1"/>
    <row r="67" spans="1:19" ht="17.25" thickBot="1">
      <c r="A67" s="192" t="s">
        <v>45</v>
      </c>
      <c r="B67" s="193"/>
      <c r="C67" s="193"/>
      <c r="D67" s="193"/>
      <c r="E67" s="193"/>
      <c r="F67" s="193"/>
      <c r="G67" s="193"/>
      <c r="H67" s="193"/>
      <c r="I67" s="193"/>
      <c r="J67" s="193"/>
      <c r="K67" s="193"/>
      <c r="L67" s="193"/>
      <c r="M67" s="193"/>
      <c r="N67" s="193"/>
      <c r="O67" s="194"/>
      <c r="Q67" s="213"/>
      <c r="R67" s="213"/>
      <c r="S67" s="213"/>
    </row>
    <row r="68" spans="1:19" ht="17.25" thickBot="1">
      <c r="A68" s="111" t="s">
        <v>297</v>
      </c>
      <c r="B68" s="192" t="s">
        <v>49</v>
      </c>
      <c r="C68" s="194"/>
      <c r="D68" s="192" t="s">
        <v>58</v>
      </c>
      <c r="E68" s="193"/>
      <c r="F68" s="194"/>
      <c r="G68" s="219">
        <f>_xlfn.IFNA(VLOOKUP(B68, 현재가테이블!$B$2:$D$200, 2, FALSE), "-")</f>
        <v>38300000</v>
      </c>
      <c r="H68" s="220"/>
      <c r="I68" s="221"/>
      <c r="J68" s="192" t="s">
        <v>59</v>
      </c>
      <c r="K68" s="193"/>
      <c r="L68" s="194"/>
      <c r="M68" s="222">
        <f>_xlfn.IFNA(VLOOKUP(B68, 현재가테이블!$B$2:$D$200, 3, FALSE), "-")</f>
        <v>-1.9557649E-2</v>
      </c>
      <c r="N68" s="223"/>
      <c r="O68" s="224"/>
      <c r="Q68" s="213"/>
      <c r="R68" s="213"/>
      <c r="S68" s="213"/>
    </row>
    <row r="69" spans="1:19" ht="17.25" thickBot="1">
      <c r="A69" s="236" t="s">
        <v>55</v>
      </c>
      <c r="B69" s="238" t="str">
        <f>TEXT($G$1, "[$-ko-KR]yyyy-mm-dd(ddd) ") &amp; "오전 00:00"</f>
        <v>2021-04-01(목) 오전 00:00</v>
      </c>
      <c r="C69" s="239"/>
      <c r="D69" s="215" t="str">
        <f>TEXT($G$1, "[$-ko-KR]yyyy-mm-dd(ddd) ") &amp; "오후 14:00"</f>
        <v>2021-04-01(목) 오후 14:00</v>
      </c>
      <c r="E69" s="216"/>
      <c r="F69" s="217"/>
      <c r="G69" s="215" t="str">
        <f>TEXT($G$1, "[$-ko-KR]yyyy-mm-dd(ddd) ") &amp; "오후 19:00"</f>
        <v>2021-04-01(목) 오후 19:00</v>
      </c>
      <c r="H69" s="216"/>
      <c r="I69" s="217"/>
      <c r="J69" s="215" t="str">
        <f>TEXT($G$1, "[$-ko-KR]yyyy-mm-dd(ddd) ") &amp; "오후 21:00"</f>
        <v>2021-04-01(목) 오후 21:00</v>
      </c>
      <c r="K69" s="216"/>
      <c r="L69" s="217"/>
      <c r="M69" s="215" t="str">
        <f>TEXT($G$1+1, "[$-ko-KR]yyyy-mm-dd(ddd) ") &amp; "오전 00:00"</f>
        <v>2021-04-02(금) 오전 00:00</v>
      </c>
      <c r="N69" s="216"/>
      <c r="O69" s="217"/>
      <c r="Q69" s="213"/>
      <c r="R69" s="213"/>
      <c r="S69" s="213"/>
    </row>
    <row r="70" spans="1:19" ht="17.25" thickBot="1">
      <c r="A70" s="237"/>
      <c r="B70" s="2" t="s">
        <v>58</v>
      </c>
      <c r="C70" s="10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8"/>
      <c r="R70" s="218"/>
      <c r="S70" s="218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3"/>
      <c r="R71" s="213"/>
      <c r="S71" s="213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3"/>
      <c r="R72" s="213"/>
      <c r="S72" s="213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8"/>
      <c r="R73" s="218"/>
      <c r="S73" s="218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8"/>
      <c r="R74" s="218"/>
      <c r="S74" s="218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8"/>
      <c r="R75" s="218"/>
      <c r="S75" s="218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8"/>
      <c r="R76" s="218"/>
      <c r="S76" s="218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8"/>
      <c r="R77" s="218"/>
      <c r="S77" s="218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8"/>
      <c r="R78" s="218"/>
      <c r="S78" s="218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7"/>
      <c r="R80" s="228"/>
      <c r="S80" s="229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0"/>
      <c r="R81" s="231"/>
      <c r="S81" s="232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3"/>
      <c r="R82" s="234"/>
      <c r="S82" s="235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8"/>
      <c r="R83" s="218"/>
      <c r="S83" s="218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3"/>
      <c r="R84" s="213"/>
      <c r="S84" s="213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3"/>
      <c r="R85" s="213"/>
      <c r="S85" s="213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8"/>
      <c r="R86" s="218"/>
      <c r="S86" s="218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8"/>
      <c r="R87" s="218"/>
      <c r="S87" s="218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8"/>
      <c r="R88" s="218"/>
      <c r="S88" s="218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0"/>
      <c r="R89" s="241"/>
      <c r="S89" s="242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3"/>
      <c r="R90" s="244"/>
      <c r="S90" s="245"/>
    </row>
    <row r="91" spans="1:19" ht="17.25" thickBot="1">
      <c r="A91" s="26" t="s">
        <v>300</v>
      </c>
      <c r="B91" s="249">
        <f>$B$37</f>
        <v>300000</v>
      </c>
      <c r="C91" s="250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46"/>
      <c r="R91" s="247"/>
      <c r="S91" s="248"/>
    </row>
    <row r="93" spans="1:19" ht="17.25" thickBot="1"/>
    <row r="94" spans="1:19" ht="17.25" thickBot="1">
      <c r="A94" s="192" t="s">
        <v>46</v>
      </c>
      <c r="B94" s="193"/>
      <c r="C94" s="193"/>
      <c r="D94" s="193"/>
      <c r="E94" s="193"/>
      <c r="F94" s="193"/>
      <c r="G94" s="193"/>
      <c r="H94" s="193"/>
      <c r="I94" s="193"/>
      <c r="J94" s="193"/>
      <c r="K94" s="193"/>
      <c r="L94" s="193"/>
      <c r="M94" s="193"/>
      <c r="N94" s="193"/>
      <c r="O94" s="194"/>
      <c r="Q94" s="213"/>
      <c r="R94" s="213"/>
      <c r="S94" s="213"/>
    </row>
    <row r="95" spans="1:19" ht="17.25" thickBot="1">
      <c r="A95" s="111" t="s">
        <v>297</v>
      </c>
      <c r="B95" s="192" t="s">
        <v>49</v>
      </c>
      <c r="C95" s="194"/>
      <c r="D95" s="192" t="s">
        <v>58</v>
      </c>
      <c r="E95" s="193"/>
      <c r="F95" s="194"/>
      <c r="G95" s="219">
        <f>_xlfn.IFNA(VLOOKUP(B95, 현재가테이블!$B$2:$D$200, 2, FALSE), "-")</f>
        <v>38300000</v>
      </c>
      <c r="H95" s="220"/>
      <c r="I95" s="221"/>
      <c r="J95" s="192" t="s">
        <v>59</v>
      </c>
      <c r="K95" s="193"/>
      <c r="L95" s="194"/>
      <c r="M95" s="222">
        <f>_xlfn.IFNA(VLOOKUP(B95, 현재가테이블!$B$2:$D$200, 3, FALSE), "-")</f>
        <v>-1.9557649E-2</v>
      </c>
      <c r="N95" s="223"/>
      <c r="O95" s="224"/>
      <c r="Q95" s="213"/>
      <c r="R95" s="213"/>
      <c r="S95" s="213"/>
    </row>
    <row r="96" spans="1:19" ht="17.25" thickBot="1">
      <c r="A96" s="236" t="s">
        <v>55</v>
      </c>
      <c r="B96" s="238" t="str">
        <f>TEXT($G$1, "[$-ko-KR]yyyy-mm-dd(ddd) ") &amp; "오전 00:00"</f>
        <v>2021-04-01(목) 오전 00:00</v>
      </c>
      <c r="C96" s="239"/>
      <c r="D96" s="215" t="str">
        <f>TEXT($G$1, "[$-ko-KR]yyyy-mm-dd(ddd) ") &amp; "오후 14:00"</f>
        <v>2021-04-01(목) 오후 14:00</v>
      </c>
      <c r="E96" s="216"/>
      <c r="F96" s="217"/>
      <c r="G96" s="215" t="str">
        <f>TEXT($G$1, "[$-ko-KR]yyyy-mm-dd(ddd) ") &amp; "오후 19:00"</f>
        <v>2021-04-01(목) 오후 19:00</v>
      </c>
      <c r="H96" s="216"/>
      <c r="I96" s="217"/>
      <c r="J96" s="215" t="str">
        <f>TEXT($G$1, "[$-ko-KR]yyyy-mm-dd(ddd) ") &amp; "오후 21:00"</f>
        <v>2021-04-01(목) 오후 21:00</v>
      </c>
      <c r="K96" s="216"/>
      <c r="L96" s="217"/>
      <c r="M96" s="215" t="str">
        <f>TEXT($G$1+1, "[$-ko-KR]yyyy-mm-dd(ddd) ") &amp; "오전 00:00"</f>
        <v>2021-04-02(금) 오전 00:00</v>
      </c>
      <c r="N96" s="216"/>
      <c r="O96" s="217"/>
      <c r="Q96" s="213"/>
      <c r="R96" s="213"/>
      <c r="S96" s="213"/>
    </row>
    <row r="97" spans="1:19" ht="17.25" thickBot="1">
      <c r="A97" s="237"/>
      <c r="B97" s="2" t="s">
        <v>58</v>
      </c>
      <c r="C97" s="10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8"/>
      <c r="R97" s="218"/>
      <c r="S97" s="218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3"/>
      <c r="R98" s="213"/>
      <c r="S98" s="213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3"/>
      <c r="R99" s="213"/>
      <c r="S99" s="213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8"/>
      <c r="R100" s="218"/>
      <c r="S100" s="218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8"/>
      <c r="R101" s="218"/>
      <c r="S101" s="218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8"/>
      <c r="R102" s="218"/>
      <c r="S102" s="218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8"/>
      <c r="R103" s="218"/>
      <c r="S103" s="218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8"/>
      <c r="R104" s="218"/>
      <c r="S104" s="218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8"/>
      <c r="R105" s="218"/>
      <c r="S105" s="218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7"/>
      <c r="R107" s="228"/>
      <c r="S107" s="229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0"/>
      <c r="R108" s="231"/>
      <c r="S108" s="232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3"/>
      <c r="R109" s="234"/>
      <c r="S109" s="235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8"/>
      <c r="R110" s="218"/>
      <c r="S110" s="218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3"/>
      <c r="R111" s="213"/>
      <c r="S111" s="213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3"/>
      <c r="R112" s="213"/>
      <c r="S112" s="213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8"/>
      <c r="R113" s="218"/>
      <c r="S113" s="218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8"/>
      <c r="R114" s="218"/>
      <c r="S114" s="218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8"/>
      <c r="R115" s="218"/>
      <c r="S115" s="218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0"/>
      <c r="R116" s="241"/>
      <c r="S116" s="242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3"/>
      <c r="R117" s="244"/>
      <c r="S117" s="245"/>
    </row>
    <row r="118" spans="1:19" ht="17.25" thickBot="1">
      <c r="A118" s="26" t="s">
        <v>300</v>
      </c>
      <c r="B118" s="249">
        <f>$B$37</f>
        <v>300000</v>
      </c>
      <c r="C118" s="250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46"/>
      <c r="R118" s="247"/>
      <c r="S118" s="248"/>
    </row>
    <row r="120" spans="1:19" ht="17.25" thickBot="1"/>
    <row r="121" spans="1:19" ht="17.25" thickBot="1">
      <c r="A121" s="192" t="s">
        <v>288</v>
      </c>
      <c r="B121" s="193"/>
      <c r="C121" s="193"/>
      <c r="D121" s="193"/>
      <c r="E121" s="193"/>
      <c r="F121" s="193"/>
      <c r="G121" s="193"/>
      <c r="H121" s="193"/>
      <c r="I121" s="193"/>
      <c r="J121" s="193"/>
      <c r="K121" s="193"/>
      <c r="L121" s="193"/>
      <c r="M121" s="193"/>
      <c r="N121" s="193"/>
      <c r="O121" s="194"/>
      <c r="Q121" s="213"/>
      <c r="R121" s="213"/>
      <c r="S121" s="213"/>
    </row>
    <row r="122" spans="1:19" ht="17.25" thickBot="1">
      <c r="A122" s="111" t="s">
        <v>297</v>
      </c>
      <c r="B122" s="192" t="s">
        <v>49</v>
      </c>
      <c r="C122" s="194"/>
      <c r="D122" s="192" t="s">
        <v>58</v>
      </c>
      <c r="E122" s="193"/>
      <c r="F122" s="194"/>
      <c r="G122" s="219">
        <f>_xlfn.IFNA(VLOOKUP(B122, 현재가테이블!$B$2:$D$200, 2, FALSE), "-")</f>
        <v>38300000</v>
      </c>
      <c r="H122" s="220"/>
      <c r="I122" s="221"/>
      <c r="J122" s="192" t="s">
        <v>59</v>
      </c>
      <c r="K122" s="193"/>
      <c r="L122" s="194"/>
      <c r="M122" s="222">
        <f>_xlfn.IFNA(VLOOKUP(B122, 현재가테이블!$B$2:$D$200, 3, FALSE), "-")</f>
        <v>-1.9557649E-2</v>
      </c>
      <c r="N122" s="223"/>
      <c r="O122" s="224"/>
      <c r="Q122" s="213"/>
      <c r="R122" s="213"/>
      <c r="S122" s="213"/>
    </row>
    <row r="123" spans="1:19" ht="17.25" thickBot="1">
      <c r="A123" s="236" t="s">
        <v>55</v>
      </c>
      <c r="B123" s="238" t="str">
        <f>TEXT($G$1, "[$-ko-KR]yyyy-mm-dd(ddd) ") &amp; "오전 00:00"</f>
        <v>2021-04-01(목) 오전 00:00</v>
      </c>
      <c r="C123" s="239"/>
      <c r="D123" s="215" t="str">
        <f>TEXT($G$1, "[$-ko-KR]yyyy-mm-dd(ddd) ") &amp; "오후 14:00"</f>
        <v>2021-04-01(목) 오후 14:00</v>
      </c>
      <c r="E123" s="216"/>
      <c r="F123" s="217"/>
      <c r="G123" s="215" t="str">
        <f>TEXT($G$1, "[$-ko-KR]yyyy-mm-dd(ddd) ") &amp; "오후 19:00"</f>
        <v>2021-04-01(목) 오후 19:00</v>
      </c>
      <c r="H123" s="216"/>
      <c r="I123" s="217"/>
      <c r="J123" s="215" t="str">
        <f>TEXT($G$1, "[$-ko-KR]yyyy-mm-dd(ddd) ") &amp; "오후 21:00"</f>
        <v>2021-04-01(목) 오후 21:00</v>
      </c>
      <c r="K123" s="216"/>
      <c r="L123" s="217"/>
      <c r="M123" s="215" t="str">
        <f>TEXT($G$1+1, "[$-ko-KR]yyyy-mm-dd(ddd) ") &amp; "오전 00:00"</f>
        <v>2021-04-02(금) 오전 00:00</v>
      </c>
      <c r="N123" s="216"/>
      <c r="O123" s="217"/>
      <c r="Q123" s="213"/>
      <c r="R123" s="213"/>
      <c r="S123" s="213"/>
    </row>
    <row r="124" spans="1:19" ht="17.25" thickBot="1">
      <c r="A124" s="237"/>
      <c r="B124" s="2" t="s">
        <v>58</v>
      </c>
      <c r="C124" s="10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8"/>
      <c r="R124" s="218"/>
      <c r="S124" s="218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3"/>
      <c r="R125" s="213"/>
      <c r="S125" s="213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3"/>
      <c r="R126" s="213"/>
      <c r="S126" s="213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8"/>
      <c r="R127" s="218"/>
      <c r="S127" s="218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8"/>
      <c r="R128" s="218"/>
      <c r="S128" s="218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8"/>
      <c r="R129" s="218"/>
      <c r="S129" s="218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8"/>
      <c r="R130" s="218"/>
      <c r="S130" s="218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8"/>
      <c r="R131" s="218"/>
      <c r="S131" s="218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8"/>
      <c r="R132" s="218"/>
      <c r="S132" s="218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7"/>
      <c r="R134" s="228"/>
      <c r="S134" s="229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0"/>
      <c r="R135" s="231"/>
      <c r="S135" s="232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3"/>
      <c r="R136" s="234"/>
      <c r="S136" s="235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8"/>
      <c r="R137" s="218"/>
      <c r="S137" s="218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3"/>
      <c r="R138" s="213"/>
      <c r="S138" s="213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3"/>
      <c r="R139" s="213"/>
      <c r="S139" s="213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8"/>
      <c r="R140" s="218"/>
      <c r="S140" s="218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8"/>
      <c r="R141" s="218"/>
      <c r="S141" s="218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8"/>
      <c r="R142" s="218"/>
      <c r="S142" s="218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0"/>
      <c r="R143" s="241"/>
      <c r="S143" s="242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3"/>
      <c r="R144" s="244"/>
      <c r="S144" s="245"/>
    </row>
    <row r="145" spans="1:19" ht="17.25" thickBot="1">
      <c r="A145" s="26" t="s">
        <v>300</v>
      </c>
      <c r="B145" s="249">
        <f>$B$37</f>
        <v>300000</v>
      </c>
      <c r="C145" s="250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46"/>
      <c r="R145" s="247"/>
      <c r="S145" s="248"/>
    </row>
    <row r="147" spans="1:19" ht="17.25" thickBot="1"/>
    <row r="148" spans="1:19" ht="17.25" thickBot="1">
      <c r="A148" s="192" t="s">
        <v>289</v>
      </c>
      <c r="B148" s="193"/>
      <c r="C148" s="193"/>
      <c r="D148" s="193"/>
      <c r="E148" s="193"/>
      <c r="F148" s="193"/>
      <c r="G148" s="193"/>
      <c r="H148" s="193"/>
      <c r="I148" s="193"/>
      <c r="J148" s="193"/>
      <c r="K148" s="193"/>
      <c r="L148" s="193"/>
      <c r="M148" s="193"/>
      <c r="N148" s="193"/>
      <c r="O148" s="194"/>
      <c r="Q148" s="213"/>
      <c r="R148" s="213"/>
      <c r="S148" s="213"/>
    </row>
    <row r="149" spans="1:19" ht="17.25" thickBot="1">
      <c r="A149" s="111" t="s">
        <v>297</v>
      </c>
      <c r="B149" s="192" t="s">
        <v>49</v>
      </c>
      <c r="C149" s="194"/>
      <c r="D149" s="192" t="s">
        <v>58</v>
      </c>
      <c r="E149" s="193"/>
      <c r="F149" s="194"/>
      <c r="G149" s="219">
        <f>_xlfn.IFNA(VLOOKUP(B149, 현재가테이블!$B$2:$D$200, 2, FALSE), "-")</f>
        <v>38300000</v>
      </c>
      <c r="H149" s="220"/>
      <c r="I149" s="221"/>
      <c r="J149" s="192" t="s">
        <v>59</v>
      </c>
      <c r="K149" s="193"/>
      <c r="L149" s="194"/>
      <c r="M149" s="222">
        <f>_xlfn.IFNA(VLOOKUP(B149, 현재가테이블!$B$2:$D$200, 3, FALSE), "-")</f>
        <v>-1.9557649E-2</v>
      </c>
      <c r="N149" s="223"/>
      <c r="O149" s="224"/>
      <c r="Q149" s="213"/>
      <c r="R149" s="213"/>
      <c r="S149" s="213"/>
    </row>
    <row r="150" spans="1:19" ht="17.25" thickBot="1">
      <c r="A150" s="236" t="s">
        <v>55</v>
      </c>
      <c r="B150" s="238" t="str">
        <f>TEXT($G$1, "[$-ko-KR]yyyy-mm-dd(ddd) ") &amp; "오전 00:00"</f>
        <v>2021-04-01(목) 오전 00:00</v>
      </c>
      <c r="C150" s="239"/>
      <c r="D150" s="215" t="str">
        <f>TEXT($G$1, "[$-ko-KR]yyyy-mm-dd(ddd) ") &amp; "오후 14:00"</f>
        <v>2021-04-01(목) 오후 14:00</v>
      </c>
      <c r="E150" s="216"/>
      <c r="F150" s="217"/>
      <c r="G150" s="215" t="str">
        <f>TEXT($G$1, "[$-ko-KR]yyyy-mm-dd(ddd) ") &amp; "오후 19:00"</f>
        <v>2021-04-01(목) 오후 19:00</v>
      </c>
      <c r="H150" s="216"/>
      <c r="I150" s="217"/>
      <c r="J150" s="215" t="str">
        <f>TEXT($G$1, "[$-ko-KR]yyyy-mm-dd(ddd) ") &amp; "오후 21:00"</f>
        <v>2021-04-01(목) 오후 21:00</v>
      </c>
      <c r="K150" s="216"/>
      <c r="L150" s="217"/>
      <c r="M150" s="215" t="str">
        <f>TEXT($G$1+1, "[$-ko-KR]yyyy-mm-dd(ddd) ") &amp; "오전 00:00"</f>
        <v>2021-04-02(금) 오전 00:00</v>
      </c>
      <c r="N150" s="216"/>
      <c r="O150" s="217"/>
      <c r="Q150" s="213"/>
      <c r="R150" s="213"/>
      <c r="S150" s="213"/>
    </row>
    <row r="151" spans="1:19" ht="17.25" thickBot="1">
      <c r="A151" s="237"/>
      <c r="B151" s="2" t="s">
        <v>58</v>
      </c>
      <c r="C151" s="10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8"/>
      <c r="R151" s="218"/>
      <c r="S151" s="218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3"/>
      <c r="R152" s="213"/>
      <c r="S152" s="213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3"/>
      <c r="R153" s="213"/>
      <c r="S153" s="213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8"/>
      <c r="R154" s="218"/>
      <c r="S154" s="218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8"/>
      <c r="R155" s="218"/>
      <c r="S155" s="218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8"/>
      <c r="R156" s="218"/>
      <c r="S156" s="218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8"/>
      <c r="R157" s="218"/>
      <c r="S157" s="218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8"/>
      <c r="R158" s="218"/>
      <c r="S158" s="218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8"/>
      <c r="R159" s="218"/>
      <c r="S159" s="218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7"/>
      <c r="R161" s="228"/>
      <c r="S161" s="229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0"/>
      <c r="R162" s="231"/>
      <c r="S162" s="232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3"/>
      <c r="R163" s="234"/>
      <c r="S163" s="235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8"/>
      <c r="R164" s="218"/>
      <c r="S164" s="218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3"/>
      <c r="R165" s="213"/>
      <c r="S165" s="213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3"/>
      <c r="R166" s="213"/>
      <c r="S166" s="213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8"/>
      <c r="R167" s="218"/>
      <c r="S167" s="218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8"/>
      <c r="R168" s="218"/>
      <c r="S168" s="218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8"/>
      <c r="R169" s="218"/>
      <c r="S169" s="218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0"/>
      <c r="R170" s="241"/>
      <c r="S170" s="242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3"/>
      <c r="R171" s="244"/>
      <c r="S171" s="245"/>
    </row>
    <row r="172" spans="1:19" ht="17.25" thickBot="1">
      <c r="A172" s="26" t="s">
        <v>300</v>
      </c>
      <c r="B172" s="249">
        <f>$B$37</f>
        <v>300000</v>
      </c>
      <c r="C172" s="250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46"/>
      <c r="R172" s="247"/>
      <c r="S172" s="248"/>
    </row>
    <row r="174" spans="1:19" ht="17.25" thickBot="1"/>
    <row r="175" spans="1:19" ht="17.25" thickBot="1">
      <c r="A175" s="192" t="s">
        <v>285</v>
      </c>
      <c r="B175" s="193"/>
      <c r="C175" s="193"/>
      <c r="D175" s="193"/>
      <c r="E175" s="193"/>
      <c r="F175" s="193"/>
      <c r="G175" s="193"/>
      <c r="H175" s="193"/>
      <c r="I175" s="193"/>
      <c r="J175" s="193"/>
      <c r="K175" s="193"/>
      <c r="L175" s="193"/>
      <c r="M175" s="193"/>
      <c r="N175" s="193"/>
      <c r="O175" s="194"/>
      <c r="Q175" s="213"/>
      <c r="R175" s="213"/>
      <c r="S175" s="213"/>
    </row>
    <row r="176" spans="1:19" ht="17.25" thickBot="1">
      <c r="A176" s="111" t="s">
        <v>297</v>
      </c>
      <c r="B176" s="192" t="s">
        <v>49</v>
      </c>
      <c r="C176" s="194"/>
      <c r="D176" s="192" t="s">
        <v>58</v>
      </c>
      <c r="E176" s="193"/>
      <c r="F176" s="194"/>
      <c r="G176" s="219">
        <f>_xlfn.IFNA(VLOOKUP(B176, 현재가테이블!$B$2:$D$200, 2, FALSE), "-")</f>
        <v>38300000</v>
      </c>
      <c r="H176" s="220"/>
      <c r="I176" s="221"/>
      <c r="J176" s="192" t="s">
        <v>59</v>
      </c>
      <c r="K176" s="193"/>
      <c r="L176" s="194"/>
      <c r="M176" s="222">
        <f>_xlfn.IFNA(VLOOKUP(B176, 현재가테이블!$B$2:$D$200, 3, FALSE), "-")</f>
        <v>-1.9557649E-2</v>
      </c>
      <c r="N176" s="223"/>
      <c r="O176" s="224"/>
      <c r="Q176" s="213"/>
      <c r="R176" s="213"/>
      <c r="S176" s="213"/>
    </row>
    <row r="177" spans="1:19" ht="17.25" thickBot="1">
      <c r="A177" s="236" t="s">
        <v>55</v>
      </c>
      <c r="B177" s="238" t="str">
        <f>TEXT($G$1, "[$-ko-KR]yyyy-mm-dd(ddd) ") &amp; "오전 00:00"</f>
        <v>2021-04-01(목) 오전 00:00</v>
      </c>
      <c r="C177" s="239"/>
      <c r="D177" s="215" t="str">
        <f>TEXT($G$1, "[$-ko-KR]yyyy-mm-dd(ddd) ") &amp; "오후 14:00"</f>
        <v>2021-04-01(목) 오후 14:00</v>
      </c>
      <c r="E177" s="216"/>
      <c r="F177" s="217"/>
      <c r="G177" s="215" t="str">
        <f>TEXT($G$1, "[$-ko-KR]yyyy-mm-dd(ddd) ") &amp; "오후 19:00"</f>
        <v>2021-04-01(목) 오후 19:00</v>
      </c>
      <c r="H177" s="216"/>
      <c r="I177" s="217"/>
      <c r="J177" s="215" t="str">
        <f>TEXT($G$1, "[$-ko-KR]yyyy-mm-dd(ddd) ") &amp; "오후 21:00"</f>
        <v>2021-04-01(목) 오후 21:00</v>
      </c>
      <c r="K177" s="216"/>
      <c r="L177" s="217"/>
      <c r="M177" s="215" t="str">
        <f>TEXT($G$1+1, "[$-ko-KR]yyyy-mm-dd(ddd) ") &amp; "오전 00:00"</f>
        <v>2021-04-02(금) 오전 00:00</v>
      </c>
      <c r="N177" s="216"/>
      <c r="O177" s="217"/>
      <c r="Q177" s="213"/>
      <c r="R177" s="213"/>
      <c r="S177" s="213"/>
    </row>
    <row r="178" spans="1:19" ht="17.25" thickBot="1">
      <c r="A178" s="237"/>
      <c r="B178" s="2" t="s">
        <v>58</v>
      </c>
      <c r="C178" s="10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8"/>
      <c r="R178" s="218"/>
      <c r="S178" s="218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3"/>
      <c r="R179" s="213"/>
      <c r="S179" s="213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3"/>
      <c r="R180" s="213"/>
      <c r="S180" s="213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8"/>
      <c r="R181" s="218"/>
      <c r="S181" s="218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8"/>
      <c r="R182" s="218"/>
      <c r="S182" s="218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8"/>
      <c r="R183" s="218"/>
      <c r="S183" s="218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8"/>
      <c r="R184" s="218"/>
      <c r="S184" s="218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8"/>
      <c r="R185" s="218"/>
      <c r="S185" s="218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8"/>
      <c r="R186" s="218"/>
      <c r="S186" s="218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7"/>
      <c r="R188" s="228"/>
      <c r="S188" s="229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0"/>
      <c r="R189" s="231"/>
      <c r="S189" s="232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3"/>
      <c r="R190" s="234"/>
      <c r="S190" s="235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8"/>
      <c r="R191" s="218"/>
      <c r="S191" s="218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3"/>
      <c r="R192" s="213"/>
      <c r="S192" s="213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3"/>
      <c r="R193" s="213"/>
      <c r="S193" s="213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8"/>
      <c r="R194" s="218"/>
      <c r="S194" s="218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8"/>
      <c r="R195" s="218"/>
      <c r="S195" s="218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8"/>
      <c r="R196" s="218"/>
      <c r="S196" s="218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0"/>
      <c r="R197" s="241"/>
      <c r="S197" s="242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3"/>
      <c r="R198" s="244"/>
      <c r="S198" s="245"/>
    </row>
    <row r="199" spans="1:19" ht="17.25" thickBot="1">
      <c r="A199" s="26" t="s">
        <v>300</v>
      </c>
      <c r="B199" s="249">
        <f>$B$37</f>
        <v>300000</v>
      </c>
      <c r="C199" s="250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46"/>
      <c r="R199" s="247"/>
      <c r="S199" s="24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03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03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02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02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02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02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02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02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02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02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021" priority="157">
      <formula>AND($N17 &gt; 0, ISNUMBER($N17))</formula>
    </cfRule>
    <cfRule type="expression" dxfId="2020" priority="158">
      <formula>AND($N17 = 0 * ISNUMBER($N17))</formula>
    </cfRule>
    <cfRule type="expression" dxfId="2019" priority="159">
      <formula>AND($N17 &lt; 0, ISNUMBER($N17))</formula>
    </cfRule>
  </conditionalFormatting>
  <conditionalFormatting sqref="A17:F36">
    <cfRule type="expression" dxfId="2018" priority="166">
      <formula>AND($E17 &gt; 0, ISNUMBER($E17))</formula>
    </cfRule>
    <cfRule type="expression" dxfId="2017" priority="167">
      <formula>AND($E17 = 0 * ISNUMBER($E17))</formula>
    </cfRule>
    <cfRule type="expression" dxfId="2016" priority="168">
      <formula>AND($E17 &lt; 0, ISNUMBER($E17))</formula>
    </cfRule>
  </conditionalFormatting>
  <conditionalFormatting sqref="A17:C36 G17:I36">
    <cfRule type="expression" dxfId="2015" priority="163">
      <formula>AND($H17 &gt; 0, ISNUMBER($H17))</formula>
    </cfRule>
    <cfRule type="expression" dxfId="2014" priority="164">
      <formula>AND($H17 = 0 * ISNUMBER($H17))</formula>
    </cfRule>
    <cfRule type="expression" dxfId="2013" priority="165">
      <formula>AND($H17 &lt; 0, ISNUMBER($H17))</formula>
    </cfRule>
  </conditionalFormatting>
  <conditionalFormatting sqref="A17:C36 J17:L36">
    <cfRule type="expression" dxfId="2012" priority="160">
      <formula>AND($K17 &gt; 0, ISNUMBER($K17))</formula>
    </cfRule>
    <cfRule type="expression" dxfId="2011" priority="161">
      <formula>AND($K17 = 0 * ISNUMBER($K17))</formula>
    </cfRule>
    <cfRule type="expression" dxfId="2010" priority="162">
      <formula>AND($K17 &lt; 0, ISNUMBER($K17))</formula>
    </cfRule>
  </conditionalFormatting>
  <conditionalFormatting sqref="D15:F16 E37:F37">
    <cfRule type="expression" dxfId="2009" priority="154">
      <formula>$E$37 &gt; 0</formula>
    </cfRule>
    <cfRule type="expression" dxfId="2008" priority="155">
      <formula>$E$37 = 0</formula>
    </cfRule>
    <cfRule type="expression" dxfId="2007" priority="156">
      <formula>$E$37 &lt; 0</formula>
    </cfRule>
  </conditionalFormatting>
  <conditionalFormatting sqref="G15:I16 H37:I37">
    <cfRule type="expression" dxfId="2006" priority="151">
      <formula>$H$37 &gt; 0</formula>
    </cfRule>
    <cfRule type="expression" dxfId="2005" priority="152">
      <formula>$H$37 = 0</formula>
    </cfRule>
    <cfRule type="expression" dxfId="2004" priority="153">
      <formula>$H$37 &lt; 0</formula>
    </cfRule>
  </conditionalFormatting>
  <conditionalFormatting sqref="J15:L16 K37:L37">
    <cfRule type="expression" dxfId="2003" priority="148">
      <formula>$K$37 &gt; 0</formula>
    </cfRule>
    <cfRule type="expression" dxfId="2002" priority="149">
      <formula>$K$37 = 0</formula>
    </cfRule>
    <cfRule type="expression" dxfId="2001" priority="150">
      <formula>$K$37 &lt; 0</formula>
    </cfRule>
  </conditionalFormatting>
  <conditionalFormatting sqref="M15:O16 N37:O37">
    <cfRule type="expression" dxfId="2000" priority="145">
      <formula>$N$37 &gt; 0</formula>
    </cfRule>
    <cfRule type="expression" dxfId="1999" priority="146">
      <formula>$N$37 = 0</formula>
    </cfRule>
    <cfRule type="expression" dxfId="1998" priority="147">
      <formula>$N$37 &lt; 0</formula>
    </cfRule>
  </conditionalFormatting>
  <conditionalFormatting sqref="A44:C63 M44:O63">
    <cfRule type="expression" dxfId="1997" priority="133">
      <formula>AND($N44 &gt; 0, ISNUMBER($N44))</formula>
    </cfRule>
    <cfRule type="expression" dxfId="1996" priority="134">
      <formula>AND($N44 = 0 * ISNUMBER($N44))</formula>
    </cfRule>
    <cfRule type="expression" dxfId="1995" priority="135">
      <formula>AND($N44 &lt; 0, ISNUMBER($N44))</formula>
    </cfRule>
  </conditionalFormatting>
  <conditionalFormatting sqref="A44:F63">
    <cfRule type="expression" dxfId="1994" priority="142">
      <formula>AND($E44 &gt; 0, ISNUMBER($E44))</formula>
    </cfRule>
    <cfRule type="expression" dxfId="1993" priority="143">
      <formula>AND($E44 = 0 * ISNUMBER($E44))</formula>
    </cfRule>
    <cfRule type="expression" dxfId="1992" priority="144">
      <formula>AND($E44 &lt; 0, ISNUMBER($E44))</formula>
    </cfRule>
  </conditionalFormatting>
  <conditionalFormatting sqref="A44:C63 G44:I63">
    <cfRule type="expression" dxfId="1991" priority="139">
      <formula>AND($H44 &gt; 0, ISNUMBER($H44))</formula>
    </cfRule>
    <cfRule type="expression" dxfId="1990" priority="140">
      <formula>AND($H44 = 0 * ISNUMBER($H44))</formula>
    </cfRule>
    <cfRule type="expression" dxfId="1989" priority="141">
      <formula>AND($H44 &lt; 0, ISNUMBER($H44))</formula>
    </cfRule>
  </conditionalFormatting>
  <conditionalFormatting sqref="A44:C63 J44:L63">
    <cfRule type="expression" dxfId="1988" priority="136">
      <formula>AND($K44 &gt; 0, ISNUMBER($K44))</formula>
    </cfRule>
    <cfRule type="expression" dxfId="1987" priority="137">
      <formula>AND($K44 = 0 * ISNUMBER($K44))</formula>
    </cfRule>
    <cfRule type="expression" dxfId="1986" priority="138">
      <formula>AND($K44 &lt; 0, ISNUMBER($K44))</formula>
    </cfRule>
  </conditionalFormatting>
  <conditionalFormatting sqref="D42:F43 E64:F64">
    <cfRule type="expression" dxfId="1985" priority="130">
      <formula>$E$64 &gt; 0</formula>
    </cfRule>
    <cfRule type="expression" dxfId="1984" priority="131">
      <formula>$E$64 = 0</formula>
    </cfRule>
    <cfRule type="expression" dxfId="1983" priority="132">
      <formula>$E$64 &lt; 0</formula>
    </cfRule>
  </conditionalFormatting>
  <conditionalFormatting sqref="G42:I43 H64:I64">
    <cfRule type="expression" dxfId="1982" priority="127">
      <formula>$H$64 &gt; 0</formula>
    </cfRule>
    <cfRule type="expression" dxfId="1981" priority="128">
      <formula>$H$64 = 0</formula>
    </cfRule>
    <cfRule type="expression" dxfId="1980" priority="129">
      <formula>$H$64 &lt; 0</formula>
    </cfRule>
  </conditionalFormatting>
  <conditionalFormatting sqref="J42:L43 K64:L64">
    <cfRule type="expression" dxfId="1979" priority="124">
      <formula>$K$64 &gt; 0</formula>
    </cfRule>
    <cfRule type="expression" dxfId="1978" priority="125">
      <formula>$K$64 = 0</formula>
    </cfRule>
    <cfRule type="expression" dxfId="1977" priority="126">
      <formula>$K$64 &lt; 0</formula>
    </cfRule>
  </conditionalFormatting>
  <conditionalFormatting sqref="M42:O43 N64:O64">
    <cfRule type="expression" dxfId="1976" priority="121">
      <formula>$N$64 &gt; 0</formula>
    </cfRule>
    <cfRule type="expression" dxfId="1975" priority="122">
      <formula>$N$64 = 0</formula>
    </cfRule>
    <cfRule type="expression" dxfId="1974" priority="123">
      <formula>$N$64 &lt; 0</formula>
    </cfRule>
  </conditionalFormatting>
  <conditionalFormatting sqref="A71:C90 M71:O90">
    <cfRule type="expression" dxfId="1973" priority="109">
      <formula>AND($N71 &gt; 0, ISNUMBER($N71))</formula>
    </cfRule>
    <cfRule type="expression" dxfId="1972" priority="110">
      <formula>AND($N71 = 0 * ISNUMBER($N71))</formula>
    </cfRule>
    <cfRule type="expression" dxfId="1971" priority="111">
      <formula>AND($N71 &lt; 0, ISNUMBER($N71))</formula>
    </cfRule>
  </conditionalFormatting>
  <conditionalFormatting sqref="A71:F90">
    <cfRule type="expression" dxfId="1970" priority="118">
      <formula>AND($E71 &gt; 0, ISNUMBER($E71))</formula>
    </cfRule>
    <cfRule type="expression" dxfId="1969" priority="119">
      <formula>AND($E71 = 0 * ISNUMBER($E71))</formula>
    </cfRule>
    <cfRule type="expression" dxfId="1968" priority="120">
      <formula>AND($E71 &lt; 0, ISNUMBER($E71))</formula>
    </cfRule>
  </conditionalFormatting>
  <conditionalFormatting sqref="A71:C90 G71:I90">
    <cfRule type="expression" dxfId="1967" priority="115">
      <formula>AND($H71 &gt; 0, ISNUMBER($H71))</formula>
    </cfRule>
    <cfRule type="expression" dxfId="1966" priority="116">
      <formula>AND($H71 = 0 * ISNUMBER($H71))</formula>
    </cfRule>
    <cfRule type="expression" dxfId="1965" priority="117">
      <formula>AND($H71 &lt; 0, ISNUMBER($H71))</formula>
    </cfRule>
  </conditionalFormatting>
  <conditionalFormatting sqref="A71:C90 J71:L90">
    <cfRule type="expression" dxfId="1964" priority="112">
      <formula>AND($K71 &gt; 0, ISNUMBER($K71))</formula>
    </cfRule>
    <cfRule type="expression" dxfId="1963" priority="113">
      <formula>AND($K71 = 0 * ISNUMBER($K71))</formula>
    </cfRule>
    <cfRule type="expression" dxfId="1962" priority="114">
      <formula>AND($K71 &lt; 0, ISNUMBER($K71))</formula>
    </cfRule>
  </conditionalFormatting>
  <conditionalFormatting sqref="D69:F70 E91:F91">
    <cfRule type="expression" dxfId="1961" priority="106">
      <formula>$E$91 &gt; 0</formula>
    </cfRule>
    <cfRule type="expression" dxfId="1960" priority="107">
      <formula>$E$91 = 0</formula>
    </cfRule>
    <cfRule type="expression" dxfId="1959" priority="108">
      <formula>$E$91 &lt; 0</formula>
    </cfRule>
  </conditionalFormatting>
  <conditionalFormatting sqref="G69:I70 H91:I91">
    <cfRule type="expression" dxfId="1958" priority="103">
      <formula>$H$91 &gt; 0</formula>
    </cfRule>
    <cfRule type="expression" dxfId="1957" priority="104">
      <formula>$H$91 = 0</formula>
    </cfRule>
    <cfRule type="expression" dxfId="1956" priority="105">
      <formula>$H$91 &lt; 0</formula>
    </cfRule>
  </conditionalFormatting>
  <conditionalFormatting sqref="J69:L70 K91:L91">
    <cfRule type="expression" dxfId="1955" priority="100">
      <formula>$K$91 &gt; 0</formula>
    </cfRule>
    <cfRule type="expression" dxfId="1954" priority="101">
      <formula>$K$91 = 0</formula>
    </cfRule>
    <cfRule type="expression" dxfId="1953" priority="102">
      <formula>$K$91 &lt; 0</formula>
    </cfRule>
  </conditionalFormatting>
  <conditionalFormatting sqref="M69:O70 N91:O91">
    <cfRule type="expression" dxfId="1952" priority="97">
      <formula>$N$91 &gt; 0</formula>
    </cfRule>
    <cfRule type="expression" dxfId="1951" priority="98">
      <formula>$N$91 = 0</formula>
    </cfRule>
    <cfRule type="expression" dxfId="1950" priority="99">
      <formula>$N$91 &lt; 0</formula>
    </cfRule>
  </conditionalFormatting>
  <conditionalFormatting sqref="A98:C117 M98:O117">
    <cfRule type="expression" dxfId="1949" priority="85">
      <formula>AND($N98 &gt; 0, ISNUMBER($N98))</formula>
    </cfRule>
    <cfRule type="expression" dxfId="1948" priority="86">
      <formula>AND($N98 = 0 * ISNUMBER($N98))</formula>
    </cfRule>
    <cfRule type="expression" dxfId="1947" priority="87">
      <formula>AND($N98 &lt; 0, ISNUMBER($N98))</formula>
    </cfRule>
  </conditionalFormatting>
  <conditionalFormatting sqref="A98:F117">
    <cfRule type="expression" dxfId="1946" priority="94">
      <formula>AND($E98 &gt; 0, ISNUMBER($E98))</formula>
    </cfRule>
    <cfRule type="expression" dxfId="1945" priority="95">
      <formula>AND($E98 = 0 * ISNUMBER($E98))</formula>
    </cfRule>
    <cfRule type="expression" dxfId="1944" priority="96">
      <formula>AND($E98 &lt; 0, ISNUMBER($E98))</formula>
    </cfRule>
  </conditionalFormatting>
  <conditionalFormatting sqref="A98:C117 G98:I117">
    <cfRule type="expression" dxfId="1943" priority="91">
      <formula>AND($H98 &gt; 0, ISNUMBER($H98))</formula>
    </cfRule>
    <cfRule type="expression" dxfId="1942" priority="92">
      <formula>AND($H98 = 0 * ISNUMBER($H98))</formula>
    </cfRule>
    <cfRule type="expression" dxfId="1941" priority="93">
      <formula>AND($H98 &lt; 0, ISNUMBER($H98))</formula>
    </cfRule>
  </conditionalFormatting>
  <conditionalFormatting sqref="A98:C117 J98:L117">
    <cfRule type="expression" dxfId="1940" priority="88">
      <formula>AND($K98 &gt; 0, ISNUMBER($K98))</formula>
    </cfRule>
    <cfRule type="expression" dxfId="1939" priority="89">
      <formula>AND($K98 = 0 * ISNUMBER($K98))</formula>
    </cfRule>
    <cfRule type="expression" dxfId="1938" priority="90">
      <formula>AND($K98 &lt; 0, ISNUMBER($K98))</formula>
    </cfRule>
  </conditionalFormatting>
  <conditionalFormatting sqref="D96:F97 E118:F118">
    <cfRule type="expression" dxfId="1937" priority="82">
      <formula>$E$118 &gt; 0</formula>
    </cfRule>
    <cfRule type="expression" dxfId="1936" priority="83">
      <formula>$E$118 = 0</formula>
    </cfRule>
    <cfRule type="expression" dxfId="1935" priority="84">
      <formula>$E$118 &lt; 0</formula>
    </cfRule>
  </conditionalFormatting>
  <conditionalFormatting sqref="G96:I97 H118:I118">
    <cfRule type="expression" dxfId="1934" priority="79">
      <formula>$H$118 &gt; 0</formula>
    </cfRule>
    <cfRule type="expression" dxfId="1933" priority="80">
      <formula>$H$118 = 0</formula>
    </cfRule>
    <cfRule type="expression" dxfId="1932" priority="81">
      <formula>$H$118 &lt; 0</formula>
    </cfRule>
  </conditionalFormatting>
  <conditionalFormatting sqref="J96:L97 K118:L118">
    <cfRule type="expression" dxfId="1931" priority="76">
      <formula>$K$118 &gt; 0</formula>
    </cfRule>
    <cfRule type="expression" dxfId="1930" priority="77">
      <formula>$K$118 = 0</formula>
    </cfRule>
    <cfRule type="expression" dxfId="1929" priority="78">
      <formula>$K$118 &lt; 0</formula>
    </cfRule>
  </conditionalFormatting>
  <conditionalFormatting sqref="M96:O97 N118:O118">
    <cfRule type="expression" dxfId="1928" priority="73">
      <formula>$N$118 &gt; 0</formula>
    </cfRule>
    <cfRule type="expression" dxfId="1927" priority="74">
      <formula>$N$118 = 0</formula>
    </cfRule>
    <cfRule type="expression" dxfId="1926" priority="75">
      <formula>$N$118 &lt; 0</formula>
    </cfRule>
  </conditionalFormatting>
  <conditionalFormatting sqref="A125:C144 M125:O144">
    <cfRule type="expression" dxfId="1925" priority="61">
      <formula>AND($N125 &gt; 0, ISNUMBER($N125))</formula>
    </cfRule>
    <cfRule type="expression" dxfId="1924" priority="62">
      <formula>AND($N125 = 0 * ISNUMBER($N125))</formula>
    </cfRule>
    <cfRule type="expression" dxfId="1923" priority="63">
      <formula>AND($N125 &lt; 0, ISNUMBER($N125))</formula>
    </cfRule>
  </conditionalFormatting>
  <conditionalFormatting sqref="A125:F144">
    <cfRule type="expression" dxfId="1922" priority="70">
      <formula>AND($E125 &gt; 0, ISNUMBER($E125))</formula>
    </cfRule>
    <cfRule type="expression" dxfId="1921" priority="71">
      <formula>AND($E125 = 0 * ISNUMBER($E125))</formula>
    </cfRule>
    <cfRule type="expression" dxfId="1920" priority="72">
      <formula>AND($E125 &lt; 0, ISNUMBER($E125))</formula>
    </cfRule>
  </conditionalFormatting>
  <conditionalFormatting sqref="A125:C144 G125:I144">
    <cfRule type="expression" dxfId="1919" priority="67">
      <formula>AND($H125 &gt; 0, ISNUMBER($H125))</formula>
    </cfRule>
    <cfRule type="expression" dxfId="1918" priority="68">
      <formula>AND($H125 = 0 * ISNUMBER($H125))</formula>
    </cfRule>
    <cfRule type="expression" dxfId="1917" priority="69">
      <formula>AND($H125 &lt; 0, ISNUMBER($H125))</formula>
    </cfRule>
  </conditionalFormatting>
  <conditionalFormatting sqref="A125:C144 J125:L144">
    <cfRule type="expression" dxfId="1916" priority="64">
      <formula>AND($K125 &gt; 0, ISNUMBER($K125))</formula>
    </cfRule>
    <cfRule type="expression" dxfId="1915" priority="65">
      <formula>AND($K125 = 0 * ISNUMBER($K125))</formula>
    </cfRule>
    <cfRule type="expression" dxfId="1914" priority="66">
      <formula>AND($K125 &lt; 0, ISNUMBER($K125))</formula>
    </cfRule>
  </conditionalFormatting>
  <conditionalFormatting sqref="D123:F124 E145:F145">
    <cfRule type="expression" dxfId="1913" priority="58">
      <formula>$E$145 &gt; 0</formula>
    </cfRule>
    <cfRule type="expression" dxfId="1912" priority="59">
      <formula>$E$145 = 0</formula>
    </cfRule>
    <cfRule type="expression" dxfId="1911" priority="60">
      <formula>$E$145 &lt; 0</formula>
    </cfRule>
  </conditionalFormatting>
  <conditionalFormatting sqref="G123:I124 H145:I145">
    <cfRule type="expression" dxfId="1910" priority="55">
      <formula>$H$145 &gt; 0</formula>
    </cfRule>
    <cfRule type="expression" dxfId="1909" priority="56">
      <formula>$H$145 = 0</formula>
    </cfRule>
    <cfRule type="expression" dxfId="1908" priority="57">
      <formula>$H$145 &lt; 0</formula>
    </cfRule>
  </conditionalFormatting>
  <conditionalFormatting sqref="J123:L124 K145:L145">
    <cfRule type="expression" dxfId="1907" priority="52">
      <formula>$K$145 &gt; 0</formula>
    </cfRule>
    <cfRule type="expression" dxfId="1906" priority="53">
      <formula>$K$145 = 0</formula>
    </cfRule>
    <cfRule type="expression" dxfId="1905" priority="54">
      <formula>$K$145 &lt; 0</formula>
    </cfRule>
  </conditionalFormatting>
  <conditionalFormatting sqref="M123:O124 N145:O145">
    <cfRule type="expression" dxfId="1904" priority="49">
      <formula>$N$145 &gt; 0</formula>
    </cfRule>
    <cfRule type="expression" dxfId="1903" priority="50">
      <formula>$N$145 = 0</formula>
    </cfRule>
    <cfRule type="expression" dxfId="1902" priority="51">
      <formula>$N$145 &lt; 0</formula>
    </cfRule>
  </conditionalFormatting>
  <conditionalFormatting sqref="A152:C171 M152:O171">
    <cfRule type="expression" dxfId="1901" priority="37">
      <formula>AND($N152 &gt; 0, ISNUMBER($N152))</formula>
    </cfRule>
    <cfRule type="expression" dxfId="1900" priority="38">
      <formula>AND($N152 = 0 * ISNUMBER($N152))</formula>
    </cfRule>
    <cfRule type="expression" dxfId="1899" priority="39">
      <formula>AND($N152 &lt; 0, ISNUMBER($N152))</formula>
    </cfRule>
  </conditionalFormatting>
  <conditionalFormatting sqref="A152:F171">
    <cfRule type="expression" dxfId="1898" priority="46">
      <formula>AND($E152 &gt; 0, ISNUMBER($E152))</formula>
    </cfRule>
    <cfRule type="expression" dxfId="1897" priority="47">
      <formula>AND($E152 = 0 * ISNUMBER($E152))</formula>
    </cfRule>
    <cfRule type="expression" dxfId="1896" priority="48">
      <formula>AND($E152 &lt; 0, ISNUMBER($E152))</formula>
    </cfRule>
  </conditionalFormatting>
  <conditionalFormatting sqref="A152:C171 G152:I171">
    <cfRule type="expression" dxfId="1895" priority="43">
      <formula>AND($H152 &gt; 0, ISNUMBER($H152))</formula>
    </cfRule>
    <cfRule type="expression" dxfId="1894" priority="44">
      <formula>AND($H152 = 0 * ISNUMBER($H152))</formula>
    </cfRule>
    <cfRule type="expression" dxfId="1893" priority="45">
      <formula>AND($H152 &lt; 0, ISNUMBER($H152))</formula>
    </cfRule>
  </conditionalFormatting>
  <conditionalFormatting sqref="A152:C171 J152:L171">
    <cfRule type="expression" dxfId="1892" priority="40">
      <formula>AND($K152 &gt; 0, ISNUMBER($K152))</formula>
    </cfRule>
    <cfRule type="expression" dxfId="1891" priority="41">
      <formula>AND($K152 = 0 * ISNUMBER($K152))</formula>
    </cfRule>
    <cfRule type="expression" dxfId="1890" priority="42">
      <formula>AND($K152 &lt; 0, ISNUMBER($K152))</formula>
    </cfRule>
  </conditionalFormatting>
  <conditionalFormatting sqref="D150:F151 E172:F172">
    <cfRule type="expression" dxfId="1889" priority="34">
      <formula>$E$172 &gt; 0</formula>
    </cfRule>
    <cfRule type="expression" dxfId="1888" priority="35">
      <formula>$E$172 = 0</formula>
    </cfRule>
    <cfRule type="expression" dxfId="1887" priority="36">
      <formula>$E$172 &lt; 0</formula>
    </cfRule>
  </conditionalFormatting>
  <conditionalFormatting sqref="G150:I151 H172:I172">
    <cfRule type="expression" dxfId="1886" priority="31">
      <formula>$H$172 &gt; 0</formula>
    </cfRule>
    <cfRule type="expression" dxfId="1885" priority="32">
      <formula>$H$172 = 0</formula>
    </cfRule>
    <cfRule type="expression" dxfId="1884" priority="33">
      <formula>$H$172 &lt; 0</formula>
    </cfRule>
  </conditionalFormatting>
  <conditionalFormatting sqref="J150:L151 K172:L172">
    <cfRule type="expression" dxfId="1883" priority="28">
      <formula>$K$172 &gt; 0</formula>
    </cfRule>
    <cfRule type="expression" dxfId="1882" priority="29">
      <formula>$K$172 = 0</formula>
    </cfRule>
    <cfRule type="expression" dxfId="1881" priority="30">
      <formula>$K$172 &lt; 0</formula>
    </cfRule>
  </conditionalFormatting>
  <conditionalFormatting sqref="M150:O151 N172:O172">
    <cfRule type="expression" dxfId="1880" priority="25">
      <formula>$N$172 &gt; 0</formula>
    </cfRule>
    <cfRule type="expression" dxfId="1879" priority="26">
      <formula>$N$172 = 0</formula>
    </cfRule>
    <cfRule type="expression" dxfId="1878" priority="27">
      <formula>$N$172 &lt; 0</formula>
    </cfRule>
  </conditionalFormatting>
  <conditionalFormatting sqref="A179:C198 M179:O198">
    <cfRule type="expression" dxfId="1877" priority="13">
      <formula>AND($N179 &gt; 0, ISNUMBER($N179))</formula>
    </cfRule>
    <cfRule type="expression" dxfId="1876" priority="14">
      <formula>AND($N179 = 0 * ISNUMBER($N179))</formula>
    </cfRule>
    <cfRule type="expression" dxfId="1875" priority="15">
      <formula>AND($N179 &lt; 0, ISNUMBER($N179))</formula>
    </cfRule>
  </conditionalFormatting>
  <conditionalFormatting sqref="A179:F198">
    <cfRule type="expression" dxfId="1874" priority="22">
      <formula>AND($E179 &gt; 0, ISNUMBER($E179))</formula>
    </cfRule>
    <cfRule type="expression" dxfId="1873" priority="23">
      <formula>AND($E179 = 0 * ISNUMBER($E179))</formula>
    </cfRule>
    <cfRule type="expression" dxfId="1872" priority="24">
      <formula>AND($E179 &lt; 0, ISNUMBER($E179))</formula>
    </cfRule>
  </conditionalFormatting>
  <conditionalFormatting sqref="A179:C198 G179:I198">
    <cfRule type="expression" dxfId="1871" priority="19">
      <formula>AND($H179 &gt; 0, ISNUMBER($H179))</formula>
    </cfRule>
    <cfRule type="expression" dxfId="1870" priority="20">
      <formula>AND($H179 = 0 * ISNUMBER($H179))</formula>
    </cfRule>
    <cfRule type="expression" dxfId="1869" priority="21">
      <formula>AND($H179 &lt; 0, ISNUMBER($H179))</formula>
    </cfRule>
  </conditionalFormatting>
  <conditionalFormatting sqref="A179:C198 J179:L198">
    <cfRule type="expression" dxfId="1868" priority="16">
      <formula>AND($K179 &gt; 0, ISNUMBER($K179))</formula>
    </cfRule>
    <cfRule type="expression" dxfId="1867" priority="17">
      <formula>AND($K179 = 0 * ISNUMBER($K179))</formula>
    </cfRule>
    <cfRule type="expression" dxfId="1866" priority="18">
      <formula>AND($K179 &lt; 0, ISNUMBER($K179))</formula>
    </cfRule>
  </conditionalFormatting>
  <conditionalFormatting sqref="D177:F178 E199:F199">
    <cfRule type="expression" dxfId="1865" priority="10">
      <formula>$E$199 &gt; 0</formula>
    </cfRule>
    <cfRule type="expression" dxfId="1864" priority="11">
      <formula>$E$199 = 0</formula>
    </cfRule>
    <cfRule type="expression" dxfId="1863" priority="12">
      <formula>$E$199 &lt; 0</formula>
    </cfRule>
  </conditionalFormatting>
  <conditionalFormatting sqref="G177:I178 H199:I199">
    <cfRule type="expression" dxfId="1862" priority="7">
      <formula>$H$199 &gt; 0</formula>
    </cfRule>
    <cfRule type="expression" dxfId="1861" priority="8">
      <formula>$H$199 = 0</formula>
    </cfRule>
    <cfRule type="expression" dxfId="1860" priority="9">
      <formula>$H$199 &lt; 0</formula>
    </cfRule>
  </conditionalFormatting>
  <conditionalFormatting sqref="J177:L178 K199:L199">
    <cfRule type="expression" dxfId="1859" priority="4">
      <formula>$K$199 &gt; 0</formula>
    </cfRule>
    <cfRule type="expression" dxfId="1858" priority="5">
      <formula>$K$199 = 0</formula>
    </cfRule>
    <cfRule type="expression" dxfId="1857" priority="6">
      <formula>$K$199 &lt; 0</formula>
    </cfRule>
  </conditionalFormatting>
  <conditionalFormatting sqref="M177:O178 N199:O199">
    <cfRule type="expression" dxfId="1856" priority="1">
      <formula>$N$199 &gt; 0</formula>
    </cfRule>
    <cfRule type="expression" dxfId="1855" priority="2">
      <formula>$N$199 = 0</formula>
    </cfRule>
    <cfRule type="expression" dxfId="185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2" t="s">
        <v>0</v>
      </c>
      <c r="B1" s="193"/>
      <c r="C1" s="193"/>
      <c r="D1" s="193"/>
      <c r="E1" s="193"/>
      <c r="F1" s="194"/>
      <c r="G1" s="195">
        <v>44348</v>
      </c>
      <c r="H1" s="196"/>
      <c r="I1" s="197"/>
      <c r="J1" s="192" t="s">
        <v>1</v>
      </c>
      <c r="K1" s="193"/>
      <c r="L1" s="193"/>
      <c r="M1" s="193"/>
      <c r="N1" s="193"/>
      <c r="O1" s="194"/>
      <c r="Q1" s="192" t="s">
        <v>2</v>
      </c>
      <c r="R1" s="194"/>
    </row>
    <row r="2" spans="1:19" ht="17.25" customHeight="1">
      <c r="A2" s="117" t="s">
        <v>3</v>
      </c>
      <c r="B2" s="198" t="s">
        <v>8</v>
      </c>
      <c r="C2" s="199"/>
      <c r="D2" s="199"/>
      <c r="E2" s="199"/>
      <c r="F2" s="200"/>
      <c r="G2" s="201" t="s">
        <v>46</v>
      </c>
      <c r="H2" s="202"/>
      <c r="I2" s="203"/>
      <c r="J2" s="1" t="s">
        <v>3</v>
      </c>
      <c r="K2" s="198" t="s">
        <v>350</v>
      </c>
      <c r="L2" s="199"/>
      <c r="M2" s="199"/>
      <c r="N2" s="199"/>
      <c r="O2" s="200"/>
      <c r="Q2" s="2" t="s">
        <v>6</v>
      </c>
      <c r="R2" s="3">
        <v>0.375</v>
      </c>
    </row>
    <row r="3" spans="1:19" ht="17.25" customHeight="1" thickBot="1">
      <c r="A3" s="118" t="s">
        <v>7</v>
      </c>
      <c r="B3" s="204" t="s">
        <v>358</v>
      </c>
      <c r="C3" s="205"/>
      <c r="D3" s="205"/>
      <c r="E3" s="205"/>
      <c r="F3" s="206"/>
      <c r="G3" s="20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8"/>
      <c r="I3" s="209"/>
      <c r="J3" s="4" t="s">
        <v>7</v>
      </c>
      <c r="K3" s="204" t="s">
        <v>351</v>
      </c>
      <c r="L3" s="205"/>
      <c r="M3" s="205"/>
      <c r="N3" s="205"/>
      <c r="O3" s="2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4" t="s">
        <v>16</v>
      </c>
      <c r="C4" s="205"/>
      <c r="D4" s="205"/>
      <c r="E4" s="205"/>
      <c r="F4" s="206"/>
      <c r="G4" s="201" t="s">
        <v>44</v>
      </c>
      <c r="H4" s="202"/>
      <c r="I4" s="203"/>
      <c r="J4" s="4" t="s">
        <v>11</v>
      </c>
      <c r="K4" s="204" t="s">
        <v>352</v>
      </c>
      <c r="L4" s="205"/>
      <c r="M4" s="205"/>
      <c r="N4" s="205"/>
      <c r="O4" s="2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4" t="s">
        <v>349</v>
      </c>
      <c r="C5" s="205"/>
      <c r="D5" s="205"/>
      <c r="E5" s="205"/>
      <c r="F5" s="206"/>
      <c r="G5" s="20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8"/>
      <c r="I5" s="209"/>
      <c r="J5" s="4" t="s">
        <v>15</v>
      </c>
      <c r="K5" s="204" t="s">
        <v>353</v>
      </c>
      <c r="L5" s="205"/>
      <c r="M5" s="205"/>
      <c r="N5" s="205"/>
      <c r="O5" s="206"/>
    </row>
    <row r="6" spans="1:19">
      <c r="A6" s="118" t="s">
        <v>18</v>
      </c>
      <c r="B6" s="204"/>
      <c r="C6" s="205"/>
      <c r="D6" s="205"/>
      <c r="E6" s="205"/>
      <c r="F6" s="206"/>
      <c r="G6" s="201" t="s">
        <v>45</v>
      </c>
      <c r="H6" s="202"/>
      <c r="I6" s="203"/>
      <c r="J6" s="4" t="s">
        <v>18</v>
      </c>
      <c r="K6" s="204" t="s">
        <v>354</v>
      </c>
      <c r="L6" s="205"/>
      <c r="M6" s="205"/>
      <c r="N6" s="205"/>
      <c r="O6" s="206"/>
    </row>
    <row r="7" spans="1:19" ht="17.25" thickBot="1">
      <c r="A7" s="118" t="s">
        <v>21</v>
      </c>
      <c r="B7" s="204"/>
      <c r="C7" s="205"/>
      <c r="D7" s="205"/>
      <c r="E7" s="205"/>
      <c r="F7" s="206"/>
      <c r="G7" s="20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8"/>
      <c r="I7" s="209"/>
      <c r="J7" s="4" t="s">
        <v>21</v>
      </c>
      <c r="K7" s="204" t="s">
        <v>355</v>
      </c>
      <c r="L7" s="205"/>
      <c r="M7" s="205"/>
      <c r="N7" s="205"/>
      <c r="O7" s="206"/>
    </row>
    <row r="8" spans="1:19" ht="17.25" thickBot="1">
      <c r="A8" s="118" t="s">
        <v>24</v>
      </c>
      <c r="B8" s="204"/>
      <c r="C8" s="205"/>
      <c r="D8" s="205"/>
      <c r="E8" s="205"/>
      <c r="F8" s="206"/>
      <c r="G8" s="201" t="s">
        <v>285</v>
      </c>
      <c r="H8" s="202"/>
      <c r="I8" s="203"/>
      <c r="J8" s="4" t="s">
        <v>24</v>
      </c>
      <c r="K8" s="204"/>
      <c r="L8" s="205"/>
      <c r="M8" s="205"/>
      <c r="N8" s="205"/>
      <c r="O8" s="206"/>
      <c r="Q8" s="192" t="s">
        <v>27</v>
      </c>
      <c r="R8" s="194"/>
    </row>
    <row r="9" spans="1:19" ht="17.25" thickBot="1">
      <c r="A9" s="118" t="s">
        <v>28</v>
      </c>
      <c r="B9" s="204"/>
      <c r="C9" s="205"/>
      <c r="D9" s="205"/>
      <c r="E9" s="205"/>
      <c r="F9" s="206"/>
      <c r="G9" s="20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8"/>
      <c r="I9" s="209"/>
      <c r="J9" s="4" t="s">
        <v>28</v>
      </c>
      <c r="K9" s="204"/>
      <c r="L9" s="205"/>
      <c r="M9" s="205"/>
      <c r="N9" s="205"/>
      <c r="O9" s="206"/>
      <c r="Q9" s="2" t="s">
        <v>29</v>
      </c>
      <c r="R9" s="6">
        <v>10</v>
      </c>
    </row>
    <row r="10" spans="1:19">
      <c r="A10" s="118" t="s">
        <v>30</v>
      </c>
      <c r="B10" s="204"/>
      <c r="C10" s="205"/>
      <c r="D10" s="205"/>
      <c r="E10" s="205"/>
      <c r="F10" s="206"/>
      <c r="G10" s="201" t="s">
        <v>47</v>
      </c>
      <c r="H10" s="202"/>
      <c r="I10" s="203"/>
      <c r="J10" s="4" t="s">
        <v>30</v>
      </c>
      <c r="K10" s="204" t="s">
        <v>356</v>
      </c>
      <c r="L10" s="205"/>
      <c r="M10" s="205"/>
      <c r="N10" s="205"/>
      <c r="O10" s="206"/>
      <c r="Q10" s="2" t="s">
        <v>31</v>
      </c>
      <c r="R10" s="6">
        <v>100</v>
      </c>
    </row>
    <row r="11" spans="1:19" ht="17.25" thickBot="1">
      <c r="A11" s="119" t="s">
        <v>32</v>
      </c>
      <c r="B11" s="210" t="s">
        <v>357</v>
      </c>
      <c r="C11" s="211"/>
      <c r="D11" s="211"/>
      <c r="E11" s="211"/>
      <c r="F11" s="212"/>
      <c r="G11" s="20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8"/>
      <c r="I11" s="209"/>
      <c r="J11" s="7" t="s">
        <v>32</v>
      </c>
      <c r="K11" s="210" t="s">
        <v>348</v>
      </c>
      <c r="L11" s="211"/>
      <c r="M11" s="211"/>
      <c r="N11" s="211"/>
      <c r="O11" s="212"/>
      <c r="Q11" s="65" t="s">
        <v>33</v>
      </c>
      <c r="R11" s="8">
        <v>1000</v>
      </c>
    </row>
    <row r="12" spans="1:19" ht="17.25" thickBot="1"/>
    <row r="13" spans="1:19" ht="17.25" customHeight="1" thickBot="1">
      <c r="A13" s="192" t="s">
        <v>34</v>
      </c>
      <c r="B13" s="193"/>
      <c r="C13" s="193"/>
      <c r="D13" s="193"/>
      <c r="E13" s="193"/>
      <c r="F13" s="193"/>
      <c r="G13" s="193"/>
      <c r="H13" s="193"/>
      <c r="I13" s="193"/>
      <c r="J13" s="193"/>
      <c r="K13" s="193"/>
      <c r="L13" s="193"/>
      <c r="M13" s="193"/>
      <c r="N13" s="193"/>
      <c r="O13" s="194"/>
      <c r="Q13" s="213"/>
      <c r="R13" s="213"/>
      <c r="S13" s="213"/>
    </row>
    <row r="14" spans="1:19" ht="17.25" customHeight="1" thickBot="1">
      <c r="A14" s="116" t="s">
        <v>35</v>
      </c>
      <c r="B14" s="192" t="s">
        <v>36</v>
      </c>
      <c r="C14" s="194"/>
      <c r="D14" s="192" t="s">
        <v>37</v>
      </c>
      <c r="E14" s="193"/>
      <c r="F14" s="194"/>
      <c r="G14" s="219">
        <f>_xlfn.IFNA(VLOOKUP(B14, 현재가테이블!$B$2:$D$200, 2, FALSE), "-")</f>
        <v>38300000</v>
      </c>
      <c r="H14" s="220"/>
      <c r="I14" s="221"/>
      <c r="J14" s="192" t="s">
        <v>38</v>
      </c>
      <c r="K14" s="193"/>
      <c r="L14" s="194"/>
      <c r="M14" s="222">
        <f>_xlfn.IFNA(VLOOKUP(B14, 현재가테이블!$B$2:$D$200, 3, FALSE), "-")</f>
        <v>-1.9557649E-2</v>
      </c>
      <c r="N14" s="223"/>
      <c r="O14" s="224"/>
      <c r="Q14" s="213"/>
      <c r="R14" s="213"/>
      <c r="S14" s="213"/>
    </row>
    <row r="15" spans="1:19" ht="17.25" customHeight="1" thickBot="1">
      <c r="A15" s="257" t="s">
        <v>39</v>
      </c>
      <c r="B15" s="258" t="str">
        <f>TEXT($G$1, "[$-ko-KR]yyyy-mm-dd(ddd) ") &amp; "오전 00:00"</f>
        <v>2021-06-01(화) 오전 00:00</v>
      </c>
      <c r="C15" s="259"/>
      <c r="D15" s="215" t="str">
        <f>TEXT($G$1, "[$-ko-KR]yyyy-mm-dd(ddd) ") &amp; "오후 14:00"</f>
        <v>2021-06-01(화) 오후 14:00</v>
      </c>
      <c r="E15" s="216"/>
      <c r="F15" s="217"/>
      <c r="G15" s="215" t="str">
        <f>TEXT($G$1, "[$-ko-KR]yyyy-mm-dd(ddd) ") &amp; "오후 19:00"</f>
        <v>2021-06-01(화) 오후 19:00</v>
      </c>
      <c r="H15" s="216"/>
      <c r="I15" s="217"/>
      <c r="J15" s="215" t="str">
        <f>TEXT($G$1, "[$-ko-KR]yyyy-mm-dd(ddd) ") &amp; "오후 21:00"</f>
        <v>2021-06-01(화) 오후 21:00</v>
      </c>
      <c r="K15" s="216"/>
      <c r="L15" s="217"/>
      <c r="M15" s="215" t="str">
        <f>TEXT($G$1+1, "[$-ko-KR]yyyy-mm-dd(ddd) ") &amp; "오전 00:00"</f>
        <v>2021-06-02(수) 오전 00:00</v>
      </c>
      <c r="N15" s="216"/>
      <c r="O15" s="217"/>
      <c r="Q15" s="213"/>
      <c r="R15" s="213"/>
      <c r="S15" s="213"/>
    </row>
    <row r="16" spans="1:19" ht="17.25" customHeight="1" thickBot="1">
      <c r="A16" s="25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18"/>
      <c r="R16" s="218"/>
      <c r="S16" s="21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3"/>
      <c r="R17" s="213"/>
      <c r="S17" s="21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3"/>
      <c r="R18" s="213"/>
      <c r="S18" s="21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8"/>
      <c r="R19" s="218"/>
      <c r="S19" s="21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8"/>
      <c r="R20" s="218"/>
      <c r="S20" s="21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8"/>
      <c r="R21" s="218"/>
      <c r="S21" s="21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8"/>
      <c r="R22" s="218"/>
      <c r="S22" s="21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8"/>
      <c r="R23" s="218"/>
      <c r="S23" s="21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8"/>
      <c r="R24" s="218"/>
      <c r="S24" s="21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7"/>
      <c r="R26" s="228"/>
      <c r="S26" s="22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0"/>
      <c r="R27" s="231"/>
      <c r="S27" s="23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3"/>
      <c r="R28" s="234"/>
      <c r="S28" s="23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8"/>
      <c r="R29" s="218"/>
      <c r="S29" s="21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3"/>
      <c r="R30" s="213"/>
      <c r="S30" s="21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3"/>
      <c r="R31" s="213"/>
      <c r="S31" s="21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8"/>
      <c r="R32" s="218"/>
      <c r="S32" s="21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8"/>
      <c r="R33" s="218"/>
      <c r="S33" s="21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8"/>
      <c r="R34" s="218"/>
      <c r="S34" s="21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0"/>
      <c r="R35" s="241"/>
      <c r="S35" s="24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3"/>
      <c r="R36" s="244"/>
      <c r="S36" s="245"/>
    </row>
    <row r="37" spans="1:19" ht="17.25" customHeight="1" thickBot="1">
      <c r="A37" s="132" t="s">
        <v>42</v>
      </c>
      <c r="B37" s="251">
        <v>100000</v>
      </c>
      <c r="C37" s="25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6"/>
      <c r="R37" s="247"/>
      <c r="S37" s="248"/>
    </row>
    <row r="38" spans="1:19" ht="17.25" customHeight="1"/>
    <row r="39" spans="1:19" ht="17.25" customHeight="1" thickBot="1"/>
    <row r="40" spans="1:19" ht="17.25" customHeight="1" thickBot="1">
      <c r="A40" s="192" t="s">
        <v>44</v>
      </c>
      <c r="B40" s="193"/>
      <c r="C40" s="193"/>
      <c r="D40" s="193"/>
      <c r="E40" s="193"/>
      <c r="F40" s="193"/>
      <c r="G40" s="193"/>
      <c r="H40" s="193"/>
      <c r="I40" s="193"/>
      <c r="J40" s="193"/>
      <c r="K40" s="193"/>
      <c r="L40" s="193"/>
      <c r="M40" s="193"/>
      <c r="N40" s="193"/>
      <c r="O40" s="194"/>
      <c r="Q40" s="213"/>
      <c r="R40" s="213"/>
      <c r="S40" s="213"/>
    </row>
    <row r="41" spans="1:19" ht="17.25" customHeight="1" thickBot="1">
      <c r="A41" s="116" t="s">
        <v>297</v>
      </c>
      <c r="B41" s="192" t="s">
        <v>49</v>
      </c>
      <c r="C41" s="194"/>
      <c r="D41" s="192" t="s">
        <v>58</v>
      </c>
      <c r="E41" s="193"/>
      <c r="F41" s="194"/>
      <c r="G41" s="219">
        <f>_xlfn.IFNA(VLOOKUP(B41, 현재가테이블!$B$2:$D$200, 2, FALSE), "-")</f>
        <v>38300000</v>
      </c>
      <c r="H41" s="220"/>
      <c r="I41" s="221"/>
      <c r="J41" s="192" t="s">
        <v>59</v>
      </c>
      <c r="K41" s="193"/>
      <c r="L41" s="194"/>
      <c r="M41" s="222">
        <f>_xlfn.IFNA(VLOOKUP(B41, 현재가테이블!$B$2:$D$200, 3, FALSE), "-")</f>
        <v>-1.9557649E-2</v>
      </c>
      <c r="N41" s="223"/>
      <c r="O41" s="224"/>
      <c r="Q41" s="213"/>
      <c r="R41" s="213"/>
      <c r="S41" s="213"/>
    </row>
    <row r="42" spans="1:19" ht="17.25" customHeight="1" thickBot="1">
      <c r="A42" s="253" t="s">
        <v>55</v>
      </c>
      <c r="B42" s="255" t="str">
        <f>TEXT($G$1, "[$-ko-KR]yyyy-mm-dd(ddd) ") &amp; "오전 00:00"</f>
        <v>2021-06-01(화) 오전 00:00</v>
      </c>
      <c r="C42" s="256"/>
      <c r="D42" s="215" t="str">
        <f>TEXT($G$1, "[$-ko-KR]yyyy-mm-dd(ddd) ") &amp; "오후 14:00"</f>
        <v>2021-06-01(화) 오후 14:00</v>
      </c>
      <c r="E42" s="216"/>
      <c r="F42" s="217"/>
      <c r="G42" s="215" t="str">
        <f>TEXT($G$1, "[$-ko-KR]yyyy-mm-dd(ddd) ") &amp; "오후 19:00"</f>
        <v>2021-06-01(화) 오후 19:00</v>
      </c>
      <c r="H42" s="216"/>
      <c r="I42" s="217"/>
      <c r="J42" s="215" t="str">
        <f>TEXT($G$1, "[$-ko-KR]yyyy-mm-dd(ddd) ") &amp; "오후 21:00"</f>
        <v>2021-06-01(화) 오후 21:00</v>
      </c>
      <c r="K42" s="216"/>
      <c r="L42" s="217"/>
      <c r="M42" s="215" t="str">
        <f>TEXT($G$1+1, "[$-ko-KR]yyyy-mm-dd(ddd) ") &amp; "오전 00:00"</f>
        <v>2021-06-02(수) 오전 00:00</v>
      </c>
      <c r="N42" s="216"/>
      <c r="O42" s="217"/>
      <c r="Q42" s="213"/>
      <c r="R42" s="213"/>
      <c r="S42" s="213"/>
    </row>
    <row r="43" spans="1:19" ht="17.25" customHeight="1" thickBot="1">
      <c r="A43" s="25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8"/>
      <c r="R43" s="218"/>
      <c r="S43" s="218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3"/>
      <c r="R44" s="213"/>
      <c r="S44" s="213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3"/>
      <c r="R45" s="213"/>
      <c r="S45" s="213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8"/>
      <c r="R46" s="218"/>
      <c r="S46" s="218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8"/>
      <c r="R47" s="218"/>
      <c r="S47" s="218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8"/>
      <c r="R48" s="218"/>
      <c r="S48" s="218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8"/>
      <c r="R49" s="218"/>
      <c r="S49" s="218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8"/>
      <c r="R50" s="218"/>
      <c r="S50" s="218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8"/>
      <c r="R51" s="218"/>
      <c r="S51" s="218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7"/>
      <c r="R53" s="228"/>
      <c r="S53" s="229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0"/>
      <c r="R54" s="231"/>
      <c r="S54" s="232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3"/>
      <c r="R55" s="234"/>
      <c r="S55" s="235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8"/>
      <c r="R56" s="218"/>
      <c r="S56" s="218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3"/>
      <c r="R57" s="213"/>
      <c r="S57" s="213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3"/>
      <c r="R58" s="213"/>
      <c r="S58" s="213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8"/>
      <c r="R59" s="218"/>
      <c r="S59" s="218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8"/>
      <c r="R60" s="218"/>
      <c r="S60" s="218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8"/>
      <c r="R61" s="218"/>
      <c r="S61" s="218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0"/>
      <c r="R62" s="241"/>
      <c r="S62" s="242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3"/>
      <c r="R63" s="244"/>
      <c r="S63" s="245"/>
    </row>
    <row r="64" spans="1:19" ht="17.25" customHeight="1" thickBot="1">
      <c r="A64" s="132" t="s">
        <v>300</v>
      </c>
      <c r="B64" s="251">
        <f>$B$37</f>
        <v>100000</v>
      </c>
      <c r="C64" s="252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46"/>
      <c r="R64" s="247"/>
      <c r="S64" s="248"/>
    </row>
    <row r="65" spans="1:19" ht="17.25" customHeight="1"/>
    <row r="66" spans="1:19" ht="17.25" customHeight="1" thickBot="1"/>
    <row r="67" spans="1:19" ht="17.25" thickBot="1">
      <c r="A67" s="192" t="s">
        <v>45</v>
      </c>
      <c r="B67" s="193"/>
      <c r="C67" s="193"/>
      <c r="D67" s="193"/>
      <c r="E67" s="193"/>
      <c r="F67" s="193"/>
      <c r="G67" s="193"/>
      <c r="H67" s="193"/>
      <c r="I67" s="193"/>
      <c r="J67" s="193"/>
      <c r="K67" s="193"/>
      <c r="L67" s="193"/>
      <c r="M67" s="193"/>
      <c r="N67" s="193"/>
      <c r="O67" s="194"/>
      <c r="Q67" s="213"/>
      <c r="R67" s="213"/>
      <c r="S67" s="213"/>
    </row>
    <row r="68" spans="1:19" ht="17.25" thickBot="1">
      <c r="A68" s="116" t="s">
        <v>297</v>
      </c>
      <c r="B68" s="192" t="s">
        <v>49</v>
      </c>
      <c r="C68" s="194"/>
      <c r="D68" s="192" t="s">
        <v>58</v>
      </c>
      <c r="E68" s="193"/>
      <c r="F68" s="194"/>
      <c r="G68" s="219">
        <f>_xlfn.IFNA(VLOOKUP(B68, 현재가테이블!$B$2:$D$200, 2, FALSE), "-")</f>
        <v>38300000</v>
      </c>
      <c r="H68" s="220"/>
      <c r="I68" s="221"/>
      <c r="J68" s="192" t="s">
        <v>59</v>
      </c>
      <c r="K68" s="193"/>
      <c r="L68" s="194"/>
      <c r="M68" s="222">
        <f>_xlfn.IFNA(VLOOKUP(B68, 현재가테이블!$B$2:$D$200, 3, FALSE), "-")</f>
        <v>-1.9557649E-2</v>
      </c>
      <c r="N68" s="223"/>
      <c r="O68" s="224"/>
      <c r="Q68" s="213"/>
      <c r="R68" s="213"/>
      <c r="S68" s="213"/>
    </row>
    <row r="69" spans="1:19" ht="17.25" thickBot="1">
      <c r="A69" s="253" t="s">
        <v>55</v>
      </c>
      <c r="B69" s="255" t="str">
        <f>TEXT($G$1, "[$-ko-KR]yyyy-mm-dd(ddd) ") &amp; "오전 00:00"</f>
        <v>2021-06-01(화) 오전 00:00</v>
      </c>
      <c r="C69" s="256"/>
      <c r="D69" s="215" t="str">
        <f>TEXT($G$1, "[$-ko-KR]yyyy-mm-dd(ddd) ") &amp; "오후 14:00"</f>
        <v>2021-06-01(화) 오후 14:00</v>
      </c>
      <c r="E69" s="216"/>
      <c r="F69" s="217"/>
      <c r="G69" s="215" t="str">
        <f>TEXT($G$1, "[$-ko-KR]yyyy-mm-dd(ddd) ") &amp; "오후 19:00"</f>
        <v>2021-06-01(화) 오후 19:00</v>
      </c>
      <c r="H69" s="216"/>
      <c r="I69" s="217"/>
      <c r="J69" s="215" t="str">
        <f>TEXT($G$1, "[$-ko-KR]yyyy-mm-dd(ddd) ") &amp; "오후 21:00"</f>
        <v>2021-06-01(화) 오후 21:00</v>
      </c>
      <c r="K69" s="216"/>
      <c r="L69" s="217"/>
      <c r="M69" s="215" t="str">
        <f>TEXT($G$1+1, "[$-ko-KR]yyyy-mm-dd(ddd) ") &amp; "오전 00:00"</f>
        <v>2021-06-02(수) 오전 00:00</v>
      </c>
      <c r="N69" s="216"/>
      <c r="O69" s="217"/>
      <c r="Q69" s="213"/>
      <c r="R69" s="213"/>
      <c r="S69" s="213"/>
    </row>
    <row r="70" spans="1:19" ht="17.25" thickBot="1">
      <c r="A70" s="25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8"/>
      <c r="R70" s="218"/>
      <c r="S70" s="218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3"/>
      <c r="R71" s="213"/>
      <c r="S71" s="213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3"/>
      <c r="R72" s="213"/>
      <c r="S72" s="213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8"/>
      <c r="R73" s="218"/>
      <c r="S73" s="218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8"/>
      <c r="R74" s="218"/>
      <c r="S74" s="218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8"/>
      <c r="R75" s="218"/>
      <c r="S75" s="218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8"/>
      <c r="R76" s="218"/>
      <c r="S76" s="218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8"/>
      <c r="R77" s="218"/>
      <c r="S77" s="218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8"/>
      <c r="R78" s="218"/>
      <c r="S78" s="218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7"/>
      <c r="R80" s="228"/>
      <c r="S80" s="229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0"/>
      <c r="R81" s="231"/>
      <c r="S81" s="232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3"/>
      <c r="R82" s="234"/>
      <c r="S82" s="235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8"/>
      <c r="R83" s="218"/>
      <c r="S83" s="218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3"/>
      <c r="R84" s="213"/>
      <c r="S84" s="213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3"/>
      <c r="R85" s="213"/>
      <c r="S85" s="213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8"/>
      <c r="R86" s="218"/>
      <c r="S86" s="218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8"/>
      <c r="R87" s="218"/>
      <c r="S87" s="218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8"/>
      <c r="R88" s="218"/>
      <c r="S88" s="218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0"/>
      <c r="R89" s="241"/>
      <c r="S89" s="242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3"/>
      <c r="R90" s="244"/>
      <c r="S90" s="245"/>
    </row>
    <row r="91" spans="1:19" ht="17.25" thickBot="1">
      <c r="A91" s="132" t="s">
        <v>300</v>
      </c>
      <c r="B91" s="251">
        <f>$B$37</f>
        <v>100000</v>
      </c>
      <c r="C91" s="252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46"/>
      <c r="R91" s="247"/>
      <c r="S91" s="248"/>
    </row>
    <row r="93" spans="1:19" ht="17.25" thickBot="1"/>
    <row r="94" spans="1:19" ht="17.25" thickBot="1">
      <c r="A94" s="192" t="s">
        <v>46</v>
      </c>
      <c r="B94" s="193"/>
      <c r="C94" s="193"/>
      <c r="D94" s="193"/>
      <c r="E94" s="193"/>
      <c r="F94" s="193"/>
      <c r="G94" s="193"/>
      <c r="H94" s="193"/>
      <c r="I94" s="193"/>
      <c r="J94" s="193"/>
      <c r="K94" s="193"/>
      <c r="L94" s="193"/>
      <c r="M94" s="193"/>
      <c r="N94" s="193"/>
      <c r="O94" s="194"/>
      <c r="Q94" s="213"/>
      <c r="R94" s="213"/>
      <c r="S94" s="213"/>
    </row>
    <row r="95" spans="1:19" ht="17.25" thickBot="1">
      <c r="A95" s="116" t="s">
        <v>297</v>
      </c>
      <c r="B95" s="192" t="s">
        <v>49</v>
      </c>
      <c r="C95" s="194"/>
      <c r="D95" s="192" t="s">
        <v>58</v>
      </c>
      <c r="E95" s="193"/>
      <c r="F95" s="194"/>
      <c r="G95" s="219">
        <f>_xlfn.IFNA(VLOOKUP(B95, 현재가테이블!$B$2:$D$200, 2, FALSE), "-")</f>
        <v>38300000</v>
      </c>
      <c r="H95" s="220"/>
      <c r="I95" s="221"/>
      <c r="J95" s="192" t="s">
        <v>59</v>
      </c>
      <c r="K95" s="193"/>
      <c r="L95" s="194"/>
      <c r="M95" s="222">
        <f>_xlfn.IFNA(VLOOKUP(B95, 현재가테이블!$B$2:$D$200, 3, FALSE), "-")</f>
        <v>-1.9557649E-2</v>
      </c>
      <c r="N95" s="223"/>
      <c r="O95" s="224"/>
      <c r="Q95" s="213"/>
      <c r="R95" s="213"/>
      <c r="S95" s="213"/>
    </row>
    <row r="96" spans="1:19" ht="17.25" thickBot="1">
      <c r="A96" s="253" t="s">
        <v>55</v>
      </c>
      <c r="B96" s="255" t="str">
        <f>TEXT($G$1, "[$-ko-KR]yyyy-mm-dd(ddd) ") &amp; "오전 00:00"</f>
        <v>2021-06-01(화) 오전 00:00</v>
      </c>
      <c r="C96" s="256"/>
      <c r="D96" s="215" t="str">
        <f>TEXT($G$1, "[$-ko-KR]yyyy-mm-dd(ddd) ") &amp; "오후 14:00"</f>
        <v>2021-06-01(화) 오후 14:00</v>
      </c>
      <c r="E96" s="216"/>
      <c r="F96" s="217"/>
      <c r="G96" s="215" t="str">
        <f>TEXT($G$1, "[$-ko-KR]yyyy-mm-dd(ddd) ") &amp; "오후 19:00"</f>
        <v>2021-06-01(화) 오후 19:00</v>
      </c>
      <c r="H96" s="216"/>
      <c r="I96" s="217"/>
      <c r="J96" s="215" t="str">
        <f>TEXT($G$1, "[$-ko-KR]yyyy-mm-dd(ddd) ") &amp; "오후 21:00"</f>
        <v>2021-06-01(화) 오후 21:00</v>
      </c>
      <c r="K96" s="216"/>
      <c r="L96" s="217"/>
      <c r="M96" s="215" t="str">
        <f>TEXT($G$1+1, "[$-ko-KR]yyyy-mm-dd(ddd) ") &amp; "오전 00:00"</f>
        <v>2021-06-02(수) 오전 00:00</v>
      </c>
      <c r="N96" s="216"/>
      <c r="O96" s="217"/>
      <c r="Q96" s="213"/>
      <c r="R96" s="213"/>
      <c r="S96" s="213"/>
    </row>
    <row r="97" spans="1:19" ht="17.25" thickBot="1">
      <c r="A97" s="25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8"/>
      <c r="R97" s="218"/>
      <c r="S97" s="218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3"/>
      <c r="R98" s="213"/>
      <c r="S98" s="213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3"/>
      <c r="R99" s="213"/>
      <c r="S99" s="213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8"/>
      <c r="R100" s="218"/>
      <c r="S100" s="218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8"/>
      <c r="R101" s="218"/>
      <c r="S101" s="218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8"/>
      <c r="R102" s="218"/>
      <c r="S102" s="218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8"/>
      <c r="R103" s="218"/>
      <c r="S103" s="218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8"/>
      <c r="R104" s="218"/>
      <c r="S104" s="218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8"/>
      <c r="R105" s="218"/>
      <c r="S105" s="218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7"/>
      <c r="R107" s="228"/>
      <c r="S107" s="229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0"/>
      <c r="R108" s="231"/>
      <c r="S108" s="232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3"/>
      <c r="R109" s="234"/>
      <c r="S109" s="235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8"/>
      <c r="R110" s="218"/>
      <c r="S110" s="218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3"/>
      <c r="R111" s="213"/>
      <c r="S111" s="213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3"/>
      <c r="R112" s="213"/>
      <c r="S112" s="213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8"/>
      <c r="R113" s="218"/>
      <c r="S113" s="218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8"/>
      <c r="R114" s="218"/>
      <c r="S114" s="218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8"/>
      <c r="R115" s="218"/>
      <c r="S115" s="218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0"/>
      <c r="R116" s="241"/>
      <c r="S116" s="242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3"/>
      <c r="R117" s="244"/>
      <c r="S117" s="245"/>
    </row>
    <row r="118" spans="1:19" ht="17.25" thickBot="1">
      <c r="A118" s="132" t="s">
        <v>300</v>
      </c>
      <c r="B118" s="251">
        <f>$B$37</f>
        <v>100000</v>
      </c>
      <c r="C118" s="252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46"/>
      <c r="R118" s="247"/>
      <c r="S118" s="248"/>
    </row>
    <row r="120" spans="1:19" ht="17.25" thickBot="1"/>
    <row r="121" spans="1:19" ht="17.25" thickBot="1">
      <c r="A121" s="192" t="s">
        <v>288</v>
      </c>
      <c r="B121" s="193"/>
      <c r="C121" s="193"/>
      <c r="D121" s="193"/>
      <c r="E121" s="193"/>
      <c r="F121" s="193"/>
      <c r="G121" s="193"/>
      <c r="H121" s="193"/>
      <c r="I121" s="193"/>
      <c r="J121" s="193"/>
      <c r="K121" s="193"/>
      <c r="L121" s="193"/>
      <c r="M121" s="193"/>
      <c r="N121" s="193"/>
      <c r="O121" s="194"/>
      <c r="Q121" s="213"/>
      <c r="R121" s="213"/>
      <c r="S121" s="213"/>
    </row>
    <row r="122" spans="1:19" ht="17.25" thickBot="1">
      <c r="A122" s="116" t="s">
        <v>297</v>
      </c>
      <c r="B122" s="192" t="s">
        <v>49</v>
      </c>
      <c r="C122" s="194"/>
      <c r="D122" s="192" t="s">
        <v>58</v>
      </c>
      <c r="E122" s="193"/>
      <c r="F122" s="194"/>
      <c r="G122" s="219">
        <f>_xlfn.IFNA(VLOOKUP(B122, 현재가테이블!$B$2:$D$200, 2, FALSE), "-")</f>
        <v>38300000</v>
      </c>
      <c r="H122" s="220"/>
      <c r="I122" s="221"/>
      <c r="J122" s="192" t="s">
        <v>59</v>
      </c>
      <c r="K122" s="193"/>
      <c r="L122" s="194"/>
      <c r="M122" s="222">
        <f>_xlfn.IFNA(VLOOKUP(B122, 현재가테이블!$B$2:$D$200, 3, FALSE), "-")</f>
        <v>-1.9557649E-2</v>
      </c>
      <c r="N122" s="223"/>
      <c r="O122" s="224"/>
      <c r="Q122" s="213"/>
      <c r="R122" s="213"/>
      <c r="S122" s="213"/>
    </row>
    <row r="123" spans="1:19" ht="17.25" thickBot="1">
      <c r="A123" s="253" t="s">
        <v>55</v>
      </c>
      <c r="B123" s="255" t="str">
        <f>TEXT($G$1, "[$-ko-KR]yyyy-mm-dd(ddd) ") &amp; "오전 00:00"</f>
        <v>2021-06-01(화) 오전 00:00</v>
      </c>
      <c r="C123" s="256"/>
      <c r="D123" s="215" t="str">
        <f>TEXT($G$1, "[$-ko-KR]yyyy-mm-dd(ddd) ") &amp; "오후 14:00"</f>
        <v>2021-06-01(화) 오후 14:00</v>
      </c>
      <c r="E123" s="216"/>
      <c r="F123" s="217"/>
      <c r="G123" s="215" t="str">
        <f>TEXT($G$1, "[$-ko-KR]yyyy-mm-dd(ddd) ") &amp; "오후 19:00"</f>
        <v>2021-06-01(화) 오후 19:00</v>
      </c>
      <c r="H123" s="216"/>
      <c r="I123" s="217"/>
      <c r="J123" s="215" t="str">
        <f>TEXT($G$1, "[$-ko-KR]yyyy-mm-dd(ddd) ") &amp; "오후 21:00"</f>
        <v>2021-06-01(화) 오후 21:00</v>
      </c>
      <c r="K123" s="216"/>
      <c r="L123" s="217"/>
      <c r="M123" s="215" t="str">
        <f>TEXT($G$1+1, "[$-ko-KR]yyyy-mm-dd(ddd) ") &amp; "오전 00:00"</f>
        <v>2021-06-02(수) 오전 00:00</v>
      </c>
      <c r="N123" s="216"/>
      <c r="O123" s="217"/>
      <c r="Q123" s="213"/>
      <c r="R123" s="213"/>
      <c r="S123" s="213"/>
    </row>
    <row r="124" spans="1:19" ht="17.25" thickBot="1">
      <c r="A124" s="25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8"/>
      <c r="R124" s="218"/>
      <c r="S124" s="218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3"/>
      <c r="R125" s="213"/>
      <c r="S125" s="213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3"/>
      <c r="R126" s="213"/>
      <c r="S126" s="213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8"/>
      <c r="R127" s="218"/>
      <c r="S127" s="218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8"/>
      <c r="R128" s="218"/>
      <c r="S128" s="218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8"/>
      <c r="R129" s="218"/>
      <c r="S129" s="218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8"/>
      <c r="R130" s="218"/>
      <c r="S130" s="218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8"/>
      <c r="R131" s="218"/>
      <c r="S131" s="218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8"/>
      <c r="R132" s="218"/>
      <c r="S132" s="218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7"/>
      <c r="R134" s="228"/>
      <c r="S134" s="229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0"/>
      <c r="R135" s="231"/>
      <c r="S135" s="232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3"/>
      <c r="R136" s="234"/>
      <c r="S136" s="235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8"/>
      <c r="R137" s="218"/>
      <c r="S137" s="218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3"/>
      <c r="R138" s="213"/>
      <c r="S138" s="213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3"/>
      <c r="R139" s="213"/>
      <c r="S139" s="213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8"/>
      <c r="R140" s="218"/>
      <c r="S140" s="218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8"/>
      <c r="R141" s="218"/>
      <c r="S141" s="218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8"/>
      <c r="R142" s="218"/>
      <c r="S142" s="218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0"/>
      <c r="R143" s="241"/>
      <c r="S143" s="242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3"/>
      <c r="R144" s="244"/>
      <c r="S144" s="245"/>
    </row>
    <row r="145" spans="1:19" ht="17.25" thickBot="1">
      <c r="A145" s="132" t="s">
        <v>300</v>
      </c>
      <c r="B145" s="251">
        <f>$B$37</f>
        <v>100000</v>
      </c>
      <c r="C145" s="252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46"/>
      <c r="R145" s="247"/>
      <c r="S145" s="248"/>
    </row>
    <row r="147" spans="1:19" ht="17.25" thickBot="1"/>
    <row r="148" spans="1:19" ht="17.25" thickBot="1">
      <c r="A148" s="192" t="s">
        <v>289</v>
      </c>
      <c r="B148" s="193"/>
      <c r="C148" s="193"/>
      <c r="D148" s="193"/>
      <c r="E148" s="193"/>
      <c r="F148" s="193"/>
      <c r="G148" s="193"/>
      <c r="H148" s="193"/>
      <c r="I148" s="193"/>
      <c r="J148" s="193"/>
      <c r="K148" s="193"/>
      <c r="L148" s="193"/>
      <c r="M148" s="193"/>
      <c r="N148" s="193"/>
      <c r="O148" s="194"/>
      <c r="Q148" s="213"/>
      <c r="R148" s="213"/>
      <c r="S148" s="213"/>
    </row>
    <row r="149" spans="1:19" ht="17.25" thickBot="1">
      <c r="A149" s="116" t="s">
        <v>297</v>
      </c>
      <c r="B149" s="192" t="s">
        <v>49</v>
      </c>
      <c r="C149" s="194"/>
      <c r="D149" s="192" t="s">
        <v>58</v>
      </c>
      <c r="E149" s="193"/>
      <c r="F149" s="194"/>
      <c r="G149" s="219">
        <f>_xlfn.IFNA(VLOOKUP(B149, 현재가테이블!$B$2:$D$200, 2, FALSE), "-")</f>
        <v>38300000</v>
      </c>
      <c r="H149" s="220"/>
      <c r="I149" s="221"/>
      <c r="J149" s="192" t="s">
        <v>59</v>
      </c>
      <c r="K149" s="193"/>
      <c r="L149" s="194"/>
      <c r="M149" s="222">
        <f>_xlfn.IFNA(VLOOKUP(B149, 현재가테이블!$B$2:$D$200, 3, FALSE), "-")</f>
        <v>-1.9557649E-2</v>
      </c>
      <c r="N149" s="223"/>
      <c r="O149" s="224"/>
      <c r="Q149" s="213"/>
      <c r="R149" s="213"/>
      <c r="S149" s="213"/>
    </row>
    <row r="150" spans="1:19" ht="17.25" thickBot="1">
      <c r="A150" s="253" t="s">
        <v>55</v>
      </c>
      <c r="B150" s="255" t="str">
        <f>TEXT($G$1, "[$-ko-KR]yyyy-mm-dd(ddd) ") &amp; "오전 00:00"</f>
        <v>2021-06-01(화) 오전 00:00</v>
      </c>
      <c r="C150" s="256"/>
      <c r="D150" s="215" t="str">
        <f>TEXT($G$1, "[$-ko-KR]yyyy-mm-dd(ddd) ") &amp; "오후 14:00"</f>
        <v>2021-06-01(화) 오후 14:00</v>
      </c>
      <c r="E150" s="216"/>
      <c r="F150" s="217"/>
      <c r="G150" s="215" t="str">
        <f>TEXT($G$1, "[$-ko-KR]yyyy-mm-dd(ddd) ") &amp; "오후 19:00"</f>
        <v>2021-06-01(화) 오후 19:00</v>
      </c>
      <c r="H150" s="216"/>
      <c r="I150" s="217"/>
      <c r="J150" s="215" t="str">
        <f>TEXT($G$1, "[$-ko-KR]yyyy-mm-dd(ddd) ") &amp; "오후 21:00"</f>
        <v>2021-06-01(화) 오후 21:00</v>
      </c>
      <c r="K150" s="216"/>
      <c r="L150" s="217"/>
      <c r="M150" s="215" t="str">
        <f>TEXT($G$1+1, "[$-ko-KR]yyyy-mm-dd(ddd) ") &amp; "오전 00:00"</f>
        <v>2021-06-02(수) 오전 00:00</v>
      </c>
      <c r="N150" s="216"/>
      <c r="O150" s="217"/>
      <c r="Q150" s="213"/>
      <c r="R150" s="213"/>
      <c r="S150" s="213"/>
    </row>
    <row r="151" spans="1:19" ht="17.25" thickBot="1">
      <c r="A151" s="25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8"/>
      <c r="R151" s="218"/>
      <c r="S151" s="218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3"/>
      <c r="R152" s="213"/>
      <c r="S152" s="213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3"/>
      <c r="R153" s="213"/>
      <c r="S153" s="213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8"/>
      <c r="R154" s="218"/>
      <c r="S154" s="218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8"/>
      <c r="R155" s="218"/>
      <c r="S155" s="218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8"/>
      <c r="R156" s="218"/>
      <c r="S156" s="218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8"/>
      <c r="R157" s="218"/>
      <c r="S157" s="218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8"/>
      <c r="R158" s="218"/>
      <c r="S158" s="218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8"/>
      <c r="R159" s="218"/>
      <c r="S159" s="218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7"/>
      <c r="R161" s="228"/>
      <c r="S161" s="229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0"/>
      <c r="R162" s="231"/>
      <c r="S162" s="232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3"/>
      <c r="R163" s="234"/>
      <c r="S163" s="235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8"/>
      <c r="R164" s="218"/>
      <c r="S164" s="218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3"/>
      <c r="R165" s="213"/>
      <c r="S165" s="213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3"/>
      <c r="R166" s="213"/>
      <c r="S166" s="213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8"/>
      <c r="R167" s="218"/>
      <c r="S167" s="218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8"/>
      <c r="R168" s="218"/>
      <c r="S168" s="218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8"/>
      <c r="R169" s="218"/>
      <c r="S169" s="218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0"/>
      <c r="R170" s="241"/>
      <c r="S170" s="242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3"/>
      <c r="R171" s="244"/>
      <c r="S171" s="245"/>
    </row>
    <row r="172" spans="1:19" ht="17.25" thickBot="1">
      <c r="A172" s="132" t="s">
        <v>300</v>
      </c>
      <c r="B172" s="251">
        <f>$B$37</f>
        <v>100000</v>
      </c>
      <c r="C172" s="252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46"/>
      <c r="R172" s="247"/>
      <c r="S172" s="248"/>
    </row>
    <row r="174" spans="1:19" ht="17.25" thickBot="1"/>
    <row r="175" spans="1:19" ht="17.25" thickBot="1">
      <c r="A175" s="192" t="s">
        <v>285</v>
      </c>
      <c r="B175" s="193"/>
      <c r="C175" s="193"/>
      <c r="D175" s="193"/>
      <c r="E175" s="193"/>
      <c r="F175" s="193"/>
      <c r="G175" s="193"/>
      <c r="H175" s="193"/>
      <c r="I175" s="193"/>
      <c r="J175" s="193"/>
      <c r="K175" s="193"/>
      <c r="L175" s="193"/>
      <c r="M175" s="193"/>
      <c r="N175" s="193"/>
      <c r="O175" s="194"/>
      <c r="Q175" s="213"/>
      <c r="R175" s="213"/>
      <c r="S175" s="213"/>
    </row>
    <row r="176" spans="1:19" ht="17.25" thickBot="1">
      <c r="A176" s="116" t="s">
        <v>297</v>
      </c>
      <c r="B176" s="192" t="s">
        <v>49</v>
      </c>
      <c r="C176" s="194"/>
      <c r="D176" s="192" t="s">
        <v>58</v>
      </c>
      <c r="E176" s="193"/>
      <c r="F176" s="194"/>
      <c r="G176" s="219">
        <f>_xlfn.IFNA(VLOOKUP(B176, 현재가테이블!$B$2:$D$200, 2, FALSE), "-")</f>
        <v>38300000</v>
      </c>
      <c r="H176" s="220"/>
      <c r="I176" s="221"/>
      <c r="J176" s="192" t="s">
        <v>59</v>
      </c>
      <c r="K176" s="193"/>
      <c r="L176" s="194"/>
      <c r="M176" s="222">
        <f>_xlfn.IFNA(VLOOKUP(B176, 현재가테이블!$B$2:$D$200, 3, FALSE), "-")</f>
        <v>-1.9557649E-2</v>
      </c>
      <c r="N176" s="223"/>
      <c r="O176" s="224"/>
      <c r="Q176" s="213"/>
      <c r="R176" s="213"/>
      <c r="S176" s="213"/>
    </row>
    <row r="177" spans="1:19" ht="17.25" thickBot="1">
      <c r="A177" s="253" t="s">
        <v>55</v>
      </c>
      <c r="B177" s="255" t="str">
        <f>TEXT($G$1, "[$-ko-KR]yyyy-mm-dd(ddd) ") &amp; "오전 00:00"</f>
        <v>2021-06-01(화) 오전 00:00</v>
      </c>
      <c r="C177" s="256"/>
      <c r="D177" s="215" t="str">
        <f>TEXT($G$1, "[$-ko-KR]yyyy-mm-dd(ddd) ") &amp; "오후 14:00"</f>
        <v>2021-06-01(화) 오후 14:00</v>
      </c>
      <c r="E177" s="216"/>
      <c r="F177" s="217"/>
      <c r="G177" s="215" t="str">
        <f>TEXT($G$1, "[$-ko-KR]yyyy-mm-dd(ddd) ") &amp; "오후 19:00"</f>
        <v>2021-06-01(화) 오후 19:00</v>
      </c>
      <c r="H177" s="216"/>
      <c r="I177" s="217"/>
      <c r="J177" s="215" t="str">
        <f>TEXT($G$1, "[$-ko-KR]yyyy-mm-dd(ddd) ") &amp; "오후 21:00"</f>
        <v>2021-06-01(화) 오후 21:00</v>
      </c>
      <c r="K177" s="216"/>
      <c r="L177" s="217"/>
      <c r="M177" s="215" t="str">
        <f>TEXT($G$1+1, "[$-ko-KR]yyyy-mm-dd(ddd) ") &amp; "오전 00:00"</f>
        <v>2021-06-02(수) 오전 00:00</v>
      </c>
      <c r="N177" s="216"/>
      <c r="O177" s="217"/>
      <c r="Q177" s="213"/>
      <c r="R177" s="213"/>
      <c r="S177" s="213"/>
    </row>
    <row r="178" spans="1:19" ht="17.25" thickBot="1">
      <c r="A178" s="25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8"/>
      <c r="R178" s="218"/>
      <c r="S178" s="218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3"/>
      <c r="R179" s="213"/>
      <c r="S179" s="213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3"/>
      <c r="R180" s="213"/>
      <c r="S180" s="213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8"/>
      <c r="R181" s="218"/>
      <c r="S181" s="218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8"/>
      <c r="R182" s="218"/>
      <c r="S182" s="218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8"/>
      <c r="R183" s="218"/>
      <c r="S183" s="218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8"/>
      <c r="R184" s="218"/>
      <c r="S184" s="218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8"/>
      <c r="R185" s="218"/>
      <c r="S185" s="218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8"/>
      <c r="R186" s="218"/>
      <c r="S186" s="218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7"/>
      <c r="R188" s="228"/>
      <c r="S188" s="229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0"/>
      <c r="R189" s="231"/>
      <c r="S189" s="232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3"/>
      <c r="R190" s="234"/>
      <c r="S190" s="235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8"/>
      <c r="R191" s="218"/>
      <c r="S191" s="218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3"/>
      <c r="R192" s="213"/>
      <c r="S192" s="213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3"/>
      <c r="R193" s="213"/>
      <c r="S193" s="213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8"/>
      <c r="R194" s="218"/>
      <c r="S194" s="218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8"/>
      <c r="R195" s="218"/>
      <c r="S195" s="218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8"/>
      <c r="R196" s="218"/>
      <c r="S196" s="218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0"/>
      <c r="R197" s="241"/>
      <c r="S197" s="242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3"/>
      <c r="R198" s="244"/>
      <c r="S198" s="245"/>
    </row>
    <row r="199" spans="1:19" ht="17.25" thickBot="1">
      <c r="A199" s="132" t="s">
        <v>300</v>
      </c>
      <c r="B199" s="251">
        <f>$B$37</f>
        <v>100000</v>
      </c>
      <c r="C199" s="252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46"/>
      <c r="R199" s="247"/>
      <c r="S199" s="248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185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5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5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5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4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4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4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4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4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843" priority="289">
      <formula>AND($N17 &gt; 0, ISNUMBER($N17))</formula>
    </cfRule>
    <cfRule type="expression" dxfId="1842" priority="290">
      <formula>AND($N17 = 0 * ISNUMBER($N17))</formula>
    </cfRule>
    <cfRule type="expression" dxfId="1841" priority="291">
      <formula>AND($N17 &lt; 0, ISNUMBER($N17))</formula>
    </cfRule>
  </conditionalFormatting>
  <conditionalFormatting sqref="A17:C36 D17:F36">
    <cfRule type="expression" dxfId="1840" priority="298">
      <formula>AND($E17 &gt; 0, ISNUMBER($E17))</formula>
    </cfRule>
    <cfRule type="expression" dxfId="1839" priority="299">
      <formula>AND($E17 = 0 * ISNUMBER($E17))</formula>
    </cfRule>
    <cfRule type="expression" dxfId="1838" priority="300">
      <formula>AND($E17 &lt; 0, ISNUMBER($E17))</formula>
    </cfRule>
  </conditionalFormatting>
  <conditionalFormatting sqref="A17:C36 G17:I36">
    <cfRule type="expression" dxfId="1837" priority="295">
      <formula>AND($H17 &gt; 0, ISNUMBER($H17))</formula>
    </cfRule>
    <cfRule type="expression" dxfId="1836" priority="296">
      <formula>AND($H17 = 0 * ISNUMBER($H17))</formula>
    </cfRule>
    <cfRule type="expression" dxfId="1835" priority="297">
      <formula>AND($H17 &lt; 0, ISNUMBER($H17))</formula>
    </cfRule>
  </conditionalFormatting>
  <conditionalFormatting sqref="A17:C36 J17:L36">
    <cfRule type="expression" dxfId="1834" priority="292">
      <formula>AND($K17 &gt; 0, ISNUMBER($K17))</formula>
    </cfRule>
    <cfRule type="expression" dxfId="1833" priority="293">
      <formula>AND($K17 = 0 * ISNUMBER($K17))</formula>
    </cfRule>
    <cfRule type="expression" dxfId="1832" priority="294">
      <formula>AND($K17 &lt; 0, ISNUMBER($K17))</formula>
    </cfRule>
  </conditionalFormatting>
  <conditionalFormatting sqref="D15:F16 E37:F37">
    <cfRule type="expression" dxfId="1831" priority="286">
      <formula>$E$37 &gt; 0</formula>
    </cfRule>
    <cfRule type="expression" dxfId="1830" priority="287">
      <formula>$E$37 = 0</formula>
    </cfRule>
    <cfRule type="expression" dxfId="1829" priority="288">
      <formula>$E$37 &lt; 0</formula>
    </cfRule>
  </conditionalFormatting>
  <conditionalFormatting sqref="G15:I16 H37:I37">
    <cfRule type="expression" dxfId="1828" priority="283">
      <formula>$H$37 &gt; 0</formula>
    </cfRule>
    <cfRule type="expression" dxfId="1827" priority="284">
      <formula>$H$37 = 0</formula>
    </cfRule>
    <cfRule type="expression" dxfId="1826" priority="285">
      <formula>$H$37 &lt; 0</formula>
    </cfRule>
  </conditionalFormatting>
  <conditionalFormatting sqref="J15:L16 K37:L37">
    <cfRule type="expression" dxfId="1825" priority="280">
      <formula>$K$37 &gt; 0</formula>
    </cfRule>
    <cfRule type="expression" dxfId="1824" priority="281">
      <formula>$K$37 = 0</formula>
    </cfRule>
    <cfRule type="expression" dxfId="1823" priority="282">
      <formula>$K$37 &lt; 0</formula>
    </cfRule>
  </conditionalFormatting>
  <conditionalFormatting sqref="M15:O16 N37:O37">
    <cfRule type="expression" dxfId="1822" priority="277">
      <formula>$N$37 &gt; 0</formula>
    </cfRule>
    <cfRule type="expression" dxfId="1821" priority="278">
      <formula>$N$37 = 0</formula>
    </cfRule>
    <cfRule type="expression" dxfId="1820" priority="279">
      <formula>$N$37 &lt; 0</formula>
    </cfRule>
  </conditionalFormatting>
  <conditionalFormatting sqref="A44:C63 M44:O63">
    <cfRule type="expression" dxfId="1819" priority="265">
      <formula>AND($N44 &gt; 0, ISNUMBER($N44))</formula>
    </cfRule>
    <cfRule type="expression" dxfId="1818" priority="266">
      <formula>AND($N44 = 0 * ISNUMBER($N44))</formula>
    </cfRule>
    <cfRule type="expression" dxfId="1817" priority="267">
      <formula>AND($N44 &lt; 0, ISNUMBER($N44))</formula>
    </cfRule>
  </conditionalFormatting>
  <conditionalFormatting sqref="A44:F63">
    <cfRule type="expression" dxfId="1816" priority="274">
      <formula>AND($E44 &gt; 0, ISNUMBER($E44))</formula>
    </cfRule>
    <cfRule type="expression" dxfId="1815" priority="275">
      <formula>AND($E44 = 0 * ISNUMBER($E44))</formula>
    </cfRule>
    <cfRule type="expression" dxfId="1814" priority="276">
      <formula>AND($E44 &lt; 0, ISNUMBER($E44))</formula>
    </cfRule>
  </conditionalFormatting>
  <conditionalFormatting sqref="A44:C63 G44:I63">
    <cfRule type="expression" dxfId="1813" priority="271">
      <formula>AND($H44 &gt; 0, ISNUMBER($H44))</formula>
    </cfRule>
    <cfRule type="expression" dxfId="1812" priority="272">
      <formula>AND($H44 = 0 * ISNUMBER($H44))</formula>
    </cfRule>
    <cfRule type="expression" dxfId="1811" priority="273">
      <formula>AND($H44 &lt; 0, ISNUMBER($H44))</formula>
    </cfRule>
  </conditionalFormatting>
  <conditionalFormatting sqref="A44:C63 J44:L63">
    <cfRule type="expression" dxfId="1810" priority="268">
      <formula>AND($K44 &gt; 0, ISNUMBER($K44))</formula>
    </cfRule>
    <cfRule type="expression" dxfId="1809" priority="269">
      <formula>AND($K44 = 0 * ISNUMBER($K44))</formula>
    </cfRule>
    <cfRule type="expression" dxfId="1808" priority="270">
      <formula>AND($K44 &lt; 0, ISNUMBER($K44))</formula>
    </cfRule>
  </conditionalFormatting>
  <conditionalFormatting sqref="D42:F43 E64:F64">
    <cfRule type="expression" dxfId="1807" priority="262">
      <formula>$E$64 &gt; 0</formula>
    </cfRule>
    <cfRule type="expression" dxfId="1806" priority="263">
      <formula>$E$64 = 0</formula>
    </cfRule>
    <cfRule type="expression" dxfId="1805" priority="264">
      <formula>$E$64 &lt; 0</formula>
    </cfRule>
  </conditionalFormatting>
  <conditionalFormatting sqref="G42:I43 H64:I64">
    <cfRule type="expression" dxfId="1804" priority="259">
      <formula>$H$64 &gt; 0</formula>
    </cfRule>
    <cfRule type="expression" dxfId="1803" priority="260">
      <formula>$H$64 = 0</formula>
    </cfRule>
    <cfRule type="expression" dxfId="1802" priority="261">
      <formula>$H$64 &lt; 0</formula>
    </cfRule>
  </conditionalFormatting>
  <conditionalFormatting sqref="J42:L43 K64:L64">
    <cfRule type="expression" dxfId="1801" priority="256">
      <formula>$K$64 &gt; 0</formula>
    </cfRule>
    <cfRule type="expression" dxfId="1800" priority="257">
      <formula>$K$64 = 0</formula>
    </cfRule>
    <cfRule type="expression" dxfId="1799" priority="258">
      <formula>$K$64 &lt; 0</formula>
    </cfRule>
  </conditionalFormatting>
  <conditionalFormatting sqref="M42:O43 N64:O64">
    <cfRule type="expression" dxfId="1798" priority="253">
      <formula>$N$64 &gt; 0</formula>
    </cfRule>
    <cfRule type="expression" dxfId="1797" priority="254">
      <formula>$N$64 = 0</formula>
    </cfRule>
    <cfRule type="expression" dxfId="1796" priority="255">
      <formula>$N$64 &lt; 0</formula>
    </cfRule>
  </conditionalFormatting>
  <conditionalFormatting sqref="A71:C90 M71:O90">
    <cfRule type="expression" dxfId="1795" priority="109">
      <formula>AND($N71 &gt; 0, ISNUMBER($N71))</formula>
    </cfRule>
    <cfRule type="expression" dxfId="1794" priority="110">
      <formula>AND($N71 = 0 * ISNUMBER($N71))</formula>
    </cfRule>
    <cfRule type="expression" dxfId="1793" priority="111">
      <formula>AND($N71 &lt; 0, ISNUMBER($N71))</formula>
    </cfRule>
  </conditionalFormatting>
  <conditionalFormatting sqref="A71:F90">
    <cfRule type="expression" dxfId="1792" priority="118">
      <formula>AND($E71 &gt; 0, ISNUMBER($E71))</formula>
    </cfRule>
    <cfRule type="expression" dxfId="1791" priority="119">
      <formula>AND($E71 = 0 * ISNUMBER($E71))</formula>
    </cfRule>
    <cfRule type="expression" dxfId="1790" priority="120">
      <formula>AND($E71 &lt; 0, ISNUMBER($E71))</formula>
    </cfRule>
  </conditionalFormatting>
  <conditionalFormatting sqref="A71:C90 G71:I90">
    <cfRule type="expression" dxfId="1789" priority="115">
      <formula>AND($H71 &gt; 0, ISNUMBER($H71))</formula>
    </cfRule>
    <cfRule type="expression" dxfId="1788" priority="116">
      <formula>AND($H71 = 0 * ISNUMBER($H71))</formula>
    </cfRule>
    <cfRule type="expression" dxfId="1787" priority="117">
      <formula>AND($H71 &lt; 0, ISNUMBER($H71))</formula>
    </cfRule>
  </conditionalFormatting>
  <conditionalFormatting sqref="A71:C90 J71:L90">
    <cfRule type="expression" dxfId="1786" priority="112">
      <formula>AND($K71 &gt; 0, ISNUMBER($K71))</formula>
    </cfRule>
    <cfRule type="expression" dxfId="1785" priority="113">
      <formula>AND($K71 = 0 * ISNUMBER($K71))</formula>
    </cfRule>
    <cfRule type="expression" dxfId="1784" priority="114">
      <formula>AND($K71 &lt; 0, ISNUMBER($K71))</formula>
    </cfRule>
  </conditionalFormatting>
  <conditionalFormatting sqref="D69:F70 E91:F91">
    <cfRule type="expression" dxfId="1783" priority="106">
      <formula>$E$91 &gt; 0</formula>
    </cfRule>
    <cfRule type="expression" dxfId="1782" priority="107">
      <formula>$E$91 = 0</formula>
    </cfRule>
    <cfRule type="expression" dxfId="1781" priority="108">
      <formula>$E$91 &lt; 0</formula>
    </cfRule>
  </conditionalFormatting>
  <conditionalFormatting sqref="G69:I70 H91:I91">
    <cfRule type="expression" dxfId="1780" priority="103">
      <formula>$H$91 &gt; 0</formula>
    </cfRule>
    <cfRule type="expression" dxfId="1779" priority="104">
      <formula>$H$91 = 0</formula>
    </cfRule>
    <cfRule type="expression" dxfId="1778" priority="105">
      <formula>$H$91 &lt; 0</formula>
    </cfRule>
  </conditionalFormatting>
  <conditionalFormatting sqref="J69:L70 K91:L91">
    <cfRule type="expression" dxfId="1777" priority="100">
      <formula>$K$91 &gt; 0</formula>
    </cfRule>
    <cfRule type="expression" dxfId="1776" priority="101">
      <formula>$K$91 = 0</formula>
    </cfRule>
    <cfRule type="expression" dxfId="1775" priority="102">
      <formula>$K$91 &lt; 0</formula>
    </cfRule>
  </conditionalFormatting>
  <conditionalFormatting sqref="M69:O70 N91:O91">
    <cfRule type="expression" dxfId="1774" priority="97">
      <formula>$N$91 &gt; 0</formula>
    </cfRule>
    <cfRule type="expression" dxfId="1773" priority="98">
      <formula>$N$91 = 0</formula>
    </cfRule>
    <cfRule type="expression" dxfId="1772" priority="99">
      <formula>$N$91 &lt; 0</formula>
    </cfRule>
  </conditionalFormatting>
  <conditionalFormatting sqref="A98:C117 M98:O117">
    <cfRule type="expression" dxfId="1771" priority="85">
      <formula>AND($N98 &gt; 0, ISNUMBER($N98))</formula>
    </cfRule>
    <cfRule type="expression" dxfId="1770" priority="86">
      <formula>AND($N98 = 0 * ISNUMBER($N98))</formula>
    </cfRule>
    <cfRule type="expression" dxfId="1769" priority="87">
      <formula>AND($N98 &lt; 0, ISNUMBER($N98))</formula>
    </cfRule>
  </conditionalFormatting>
  <conditionalFormatting sqref="A98:F117">
    <cfRule type="expression" dxfId="1768" priority="94">
      <formula>AND($E98 &gt; 0, ISNUMBER($E98))</formula>
    </cfRule>
    <cfRule type="expression" dxfId="1767" priority="95">
      <formula>AND($E98 = 0 * ISNUMBER($E98))</formula>
    </cfRule>
    <cfRule type="expression" dxfId="1766" priority="96">
      <formula>AND($E98 &lt; 0, ISNUMBER($E98))</formula>
    </cfRule>
  </conditionalFormatting>
  <conditionalFormatting sqref="A98:C117 G98:I117">
    <cfRule type="expression" dxfId="1765" priority="91">
      <formula>AND($H98 &gt; 0, ISNUMBER($H98))</formula>
    </cfRule>
    <cfRule type="expression" dxfId="1764" priority="92">
      <formula>AND($H98 = 0 * ISNUMBER($H98))</formula>
    </cfRule>
    <cfRule type="expression" dxfId="1763" priority="93">
      <formula>AND($H98 &lt; 0, ISNUMBER($H98))</formula>
    </cfRule>
  </conditionalFormatting>
  <conditionalFormatting sqref="A98:C117 J98:L117">
    <cfRule type="expression" dxfId="1762" priority="88">
      <formula>AND($K98 &gt; 0, ISNUMBER($K98))</formula>
    </cfRule>
    <cfRule type="expression" dxfId="1761" priority="89">
      <formula>AND($K98 = 0 * ISNUMBER($K98))</formula>
    </cfRule>
    <cfRule type="expression" dxfId="1760" priority="90">
      <formula>AND($K98 &lt; 0, ISNUMBER($K98))</formula>
    </cfRule>
  </conditionalFormatting>
  <conditionalFormatting sqref="D96:F97 E118:F118">
    <cfRule type="expression" dxfId="1759" priority="82">
      <formula>$E$118 &gt; 0</formula>
    </cfRule>
    <cfRule type="expression" dxfId="1758" priority="83">
      <formula>$E$118 = 0</formula>
    </cfRule>
    <cfRule type="expression" dxfId="1757" priority="84">
      <formula>$E$118 &lt; 0</formula>
    </cfRule>
  </conditionalFormatting>
  <conditionalFormatting sqref="G96:I97 H118:I118">
    <cfRule type="expression" dxfId="1756" priority="79">
      <formula>$H$118 &gt; 0</formula>
    </cfRule>
    <cfRule type="expression" dxfId="1755" priority="80">
      <formula>$H$118 = 0</formula>
    </cfRule>
    <cfRule type="expression" dxfId="1754" priority="81">
      <formula>$H$118 &lt; 0</formula>
    </cfRule>
  </conditionalFormatting>
  <conditionalFormatting sqref="J96:L97 K118:L118">
    <cfRule type="expression" dxfId="1753" priority="76">
      <formula>$K$118 &gt; 0</formula>
    </cfRule>
    <cfRule type="expression" dxfId="1752" priority="77">
      <formula>$K$118 = 0</formula>
    </cfRule>
    <cfRule type="expression" dxfId="1751" priority="78">
      <formula>$K$118 &lt; 0</formula>
    </cfRule>
  </conditionalFormatting>
  <conditionalFormatting sqref="M96:O97 N118:O118">
    <cfRule type="expression" dxfId="1750" priority="73">
      <formula>$N$118 &gt; 0</formula>
    </cfRule>
    <cfRule type="expression" dxfId="1749" priority="74">
      <formula>$N$118 = 0</formula>
    </cfRule>
    <cfRule type="expression" dxfId="1748" priority="75">
      <formula>$N$118 &lt; 0</formula>
    </cfRule>
  </conditionalFormatting>
  <conditionalFormatting sqref="A125:C144 M125:O144">
    <cfRule type="expression" dxfId="1747" priority="61">
      <formula>AND($N125 &gt; 0, ISNUMBER($N125))</formula>
    </cfRule>
    <cfRule type="expression" dxfId="1746" priority="62">
      <formula>AND($N125 = 0 * ISNUMBER($N125))</formula>
    </cfRule>
    <cfRule type="expression" dxfId="1745" priority="63">
      <formula>AND($N125 &lt; 0, ISNUMBER($N125))</formula>
    </cfRule>
  </conditionalFormatting>
  <conditionalFormatting sqref="A125:F144">
    <cfRule type="expression" dxfId="1744" priority="70">
      <formula>AND($E125 &gt; 0, ISNUMBER($E125))</formula>
    </cfRule>
    <cfRule type="expression" dxfId="1743" priority="71">
      <formula>AND($E125 = 0 * ISNUMBER($E125))</formula>
    </cfRule>
    <cfRule type="expression" dxfId="1742" priority="72">
      <formula>AND($E125 &lt; 0, ISNUMBER($E125))</formula>
    </cfRule>
  </conditionalFormatting>
  <conditionalFormatting sqref="A125:C144 G125:I144">
    <cfRule type="expression" dxfId="1741" priority="67">
      <formula>AND($H125 &gt; 0, ISNUMBER($H125))</formula>
    </cfRule>
    <cfRule type="expression" dxfId="1740" priority="68">
      <formula>AND($H125 = 0 * ISNUMBER($H125))</formula>
    </cfRule>
    <cfRule type="expression" dxfId="1739" priority="69">
      <formula>AND($H125 &lt; 0, ISNUMBER($H125))</formula>
    </cfRule>
  </conditionalFormatting>
  <conditionalFormatting sqref="A125:C144 J125:L144">
    <cfRule type="expression" dxfId="1738" priority="64">
      <formula>AND($K125 &gt; 0, ISNUMBER($K125))</formula>
    </cfRule>
    <cfRule type="expression" dxfId="1737" priority="65">
      <formula>AND($K125 = 0 * ISNUMBER($K125))</formula>
    </cfRule>
    <cfRule type="expression" dxfId="1736" priority="66">
      <formula>AND($K125 &lt; 0, ISNUMBER($K125))</formula>
    </cfRule>
  </conditionalFormatting>
  <conditionalFormatting sqref="D123:F124 E145:F145">
    <cfRule type="expression" dxfId="1735" priority="58">
      <formula>$E$145 &gt; 0</formula>
    </cfRule>
    <cfRule type="expression" dxfId="1734" priority="59">
      <formula>$E$145 = 0</formula>
    </cfRule>
    <cfRule type="expression" dxfId="1733" priority="60">
      <formula>$E$145 &lt; 0</formula>
    </cfRule>
  </conditionalFormatting>
  <conditionalFormatting sqref="G123:I124 H145:I145">
    <cfRule type="expression" dxfId="1732" priority="55">
      <formula>$H$145 &gt; 0</formula>
    </cfRule>
    <cfRule type="expression" dxfId="1731" priority="56">
      <formula>$H$145 = 0</formula>
    </cfRule>
    <cfRule type="expression" dxfId="1730" priority="57">
      <formula>$H$145 &lt; 0</formula>
    </cfRule>
  </conditionalFormatting>
  <conditionalFormatting sqref="J123:L124 K145:L145">
    <cfRule type="expression" dxfId="1729" priority="52">
      <formula>$K$145 &gt; 0</formula>
    </cfRule>
    <cfRule type="expression" dxfId="1728" priority="53">
      <formula>$K$145 = 0</formula>
    </cfRule>
    <cfRule type="expression" dxfId="1727" priority="54">
      <formula>$K$145 &lt; 0</formula>
    </cfRule>
  </conditionalFormatting>
  <conditionalFormatting sqref="M123:O124 N145:O145">
    <cfRule type="expression" dxfId="1726" priority="49">
      <formula>$N$145 &gt; 0</formula>
    </cfRule>
    <cfRule type="expression" dxfId="1725" priority="50">
      <formula>$N$145 = 0</formula>
    </cfRule>
    <cfRule type="expression" dxfId="1724" priority="51">
      <formula>$N$145 &lt; 0</formula>
    </cfRule>
  </conditionalFormatting>
  <conditionalFormatting sqref="A152:C171 M152:O171">
    <cfRule type="expression" dxfId="1723" priority="37">
      <formula>AND($N152 &gt; 0, ISNUMBER($N152))</formula>
    </cfRule>
    <cfRule type="expression" dxfId="1722" priority="38">
      <formula>AND($N152 = 0 * ISNUMBER($N152))</formula>
    </cfRule>
    <cfRule type="expression" dxfId="1721" priority="39">
      <formula>AND($N152 &lt; 0, ISNUMBER($N152))</formula>
    </cfRule>
  </conditionalFormatting>
  <conditionalFormatting sqref="A152:F171">
    <cfRule type="expression" dxfId="1720" priority="46">
      <formula>AND($E152 &gt; 0, ISNUMBER($E152))</formula>
    </cfRule>
    <cfRule type="expression" dxfId="1719" priority="47">
      <formula>AND($E152 = 0 * ISNUMBER($E152))</formula>
    </cfRule>
    <cfRule type="expression" dxfId="1718" priority="48">
      <formula>AND($E152 &lt; 0, ISNUMBER($E152))</formula>
    </cfRule>
  </conditionalFormatting>
  <conditionalFormatting sqref="A152:C171 G152:I171">
    <cfRule type="expression" dxfId="1717" priority="43">
      <formula>AND($H152 &gt; 0, ISNUMBER($H152))</formula>
    </cfRule>
    <cfRule type="expression" dxfId="1716" priority="44">
      <formula>AND($H152 = 0 * ISNUMBER($H152))</formula>
    </cfRule>
    <cfRule type="expression" dxfId="1715" priority="45">
      <formula>AND($H152 &lt; 0, ISNUMBER($H152))</formula>
    </cfRule>
  </conditionalFormatting>
  <conditionalFormatting sqref="A152:C171 J152:L171">
    <cfRule type="expression" dxfId="1714" priority="40">
      <formula>AND($K152 &gt; 0, ISNUMBER($K152))</formula>
    </cfRule>
    <cfRule type="expression" dxfId="1713" priority="41">
      <formula>AND($K152 = 0 * ISNUMBER($K152))</formula>
    </cfRule>
    <cfRule type="expression" dxfId="1712" priority="42">
      <formula>AND($K152 &lt; 0, ISNUMBER($K152))</formula>
    </cfRule>
  </conditionalFormatting>
  <conditionalFormatting sqref="D150:F151 E172:F172">
    <cfRule type="expression" dxfId="1711" priority="34">
      <formula>$E$172 &gt; 0</formula>
    </cfRule>
    <cfRule type="expression" dxfId="1710" priority="35">
      <formula>$E$172 = 0</formula>
    </cfRule>
    <cfRule type="expression" dxfId="1709" priority="36">
      <formula>$E$172 &lt; 0</formula>
    </cfRule>
  </conditionalFormatting>
  <conditionalFormatting sqref="G150:I151 H172:I172">
    <cfRule type="expression" dxfId="1708" priority="31">
      <formula>$H$172 &gt; 0</formula>
    </cfRule>
    <cfRule type="expression" dxfId="1707" priority="32">
      <formula>$H$172 = 0</formula>
    </cfRule>
    <cfRule type="expression" dxfId="1706" priority="33">
      <formula>$H$172 &lt; 0</formula>
    </cfRule>
  </conditionalFormatting>
  <conditionalFormatting sqref="J150:L151 K172:L172">
    <cfRule type="expression" dxfId="1705" priority="28">
      <formula>$K$172 &gt; 0</formula>
    </cfRule>
    <cfRule type="expression" dxfId="1704" priority="29">
      <formula>$K$172 = 0</formula>
    </cfRule>
    <cfRule type="expression" dxfId="1703" priority="30">
      <formula>$K$172 &lt; 0</formula>
    </cfRule>
  </conditionalFormatting>
  <conditionalFormatting sqref="M150:O151 N172:O172">
    <cfRule type="expression" dxfId="1702" priority="25">
      <formula>$N$172 &gt; 0</formula>
    </cfRule>
    <cfRule type="expression" dxfId="1701" priority="26">
      <formula>$N$172 = 0</formula>
    </cfRule>
    <cfRule type="expression" dxfId="1700" priority="27">
      <formula>$N$172 &lt; 0</formula>
    </cfRule>
  </conditionalFormatting>
  <conditionalFormatting sqref="A179:C198 M179:O198">
    <cfRule type="expression" dxfId="1699" priority="13">
      <formula>AND($N179 &gt; 0, ISNUMBER($N179))</formula>
    </cfRule>
    <cfRule type="expression" dxfId="1698" priority="14">
      <formula>AND($N179 = 0 * ISNUMBER($N179))</formula>
    </cfRule>
    <cfRule type="expression" dxfId="1697" priority="15">
      <formula>AND($N179 &lt; 0, ISNUMBER($N179))</formula>
    </cfRule>
  </conditionalFormatting>
  <conditionalFormatting sqref="A179:F198">
    <cfRule type="expression" dxfId="1696" priority="22">
      <formula>AND($E179 &gt; 0, ISNUMBER($E179))</formula>
    </cfRule>
    <cfRule type="expression" dxfId="1695" priority="23">
      <formula>AND($E179 = 0 * ISNUMBER($E179))</formula>
    </cfRule>
    <cfRule type="expression" dxfId="1694" priority="24">
      <formula>AND($E179 &lt; 0, ISNUMBER($E179))</formula>
    </cfRule>
  </conditionalFormatting>
  <conditionalFormatting sqref="A179:C198 G179:I198">
    <cfRule type="expression" dxfId="1693" priority="19">
      <formula>AND($H179 &gt; 0, ISNUMBER($H179))</formula>
    </cfRule>
    <cfRule type="expression" dxfId="1692" priority="20">
      <formula>AND($H179 = 0 * ISNUMBER($H179))</formula>
    </cfRule>
    <cfRule type="expression" dxfId="1691" priority="21">
      <formula>AND($H179 &lt; 0, ISNUMBER($H179))</formula>
    </cfRule>
  </conditionalFormatting>
  <conditionalFormatting sqref="A179:C198 J179:L198">
    <cfRule type="expression" dxfId="1690" priority="16">
      <formula>AND($K179 &gt; 0, ISNUMBER($K179))</formula>
    </cfRule>
    <cfRule type="expression" dxfId="1689" priority="17">
      <formula>AND($K179 = 0 * ISNUMBER($K179))</formula>
    </cfRule>
    <cfRule type="expression" dxfId="1688" priority="18">
      <formula>AND($K179 &lt; 0, ISNUMBER($K179))</formula>
    </cfRule>
  </conditionalFormatting>
  <conditionalFormatting sqref="D177:F178 E199:F199">
    <cfRule type="expression" dxfId="1687" priority="10">
      <formula>$E$199 &gt; 0</formula>
    </cfRule>
    <cfRule type="expression" dxfId="1686" priority="11">
      <formula>$E$199 = 0</formula>
    </cfRule>
    <cfRule type="expression" dxfId="1685" priority="12">
      <formula>$E$199 &lt; 0</formula>
    </cfRule>
  </conditionalFormatting>
  <conditionalFormatting sqref="G177:I178 H199:I199">
    <cfRule type="expression" dxfId="1684" priority="7">
      <formula>$H$199 &gt; 0</formula>
    </cfRule>
    <cfRule type="expression" dxfId="1683" priority="8">
      <formula>$H$199 = 0</formula>
    </cfRule>
    <cfRule type="expression" dxfId="1682" priority="9">
      <formula>$H$199 &lt; 0</formula>
    </cfRule>
  </conditionalFormatting>
  <conditionalFormatting sqref="J177:L178 K199:L199">
    <cfRule type="expression" dxfId="1681" priority="4">
      <formula>$K$199 &gt; 0</formula>
    </cfRule>
    <cfRule type="expression" dxfId="1680" priority="5">
      <formula>$K$199 = 0</formula>
    </cfRule>
    <cfRule type="expression" dxfId="1679" priority="6">
      <formula>$K$199 &lt; 0</formula>
    </cfRule>
  </conditionalFormatting>
  <conditionalFormatting sqref="M177:O178 N199:O199">
    <cfRule type="expression" dxfId="1678" priority="1">
      <formula>$N$199 &gt; 0</formula>
    </cfRule>
    <cfRule type="expression" dxfId="1677" priority="2">
      <formula>$N$199 = 0</formula>
    </cfRule>
    <cfRule type="expression" dxfId="167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141</v>
      </c>
      <c r="B2" s="11" t="s">
        <v>142</v>
      </c>
      <c r="C2" s="95">
        <v>673</v>
      </c>
      <c r="D2" s="92">
        <v>0.26981132079999998</v>
      </c>
      <c r="E2" s="93">
        <v>1456574537.5237417</v>
      </c>
      <c r="F2" s="35"/>
      <c r="G2" s="54"/>
      <c r="H2" s="35"/>
      <c r="I2" s="35"/>
    </row>
    <row r="3" spans="1:18" ht="17.25" thickBot="1">
      <c r="A3" s="40" t="s">
        <v>107</v>
      </c>
      <c r="B3" s="11" t="s">
        <v>108</v>
      </c>
      <c r="C3" s="95">
        <v>32810</v>
      </c>
      <c r="D3" s="92">
        <v>0.16223875309999999</v>
      </c>
      <c r="E3" s="93">
        <v>2629871.4191744998</v>
      </c>
      <c r="F3" s="35"/>
      <c r="G3" s="253" t="s">
        <v>290</v>
      </c>
      <c r="H3" s="265" t="s">
        <v>365</v>
      </c>
      <c r="I3" s="265"/>
      <c r="K3" s="192" t="s">
        <v>34</v>
      </c>
      <c r="L3" s="193"/>
      <c r="M3" s="193"/>
      <c r="N3" s="194"/>
      <c r="O3" s="192" t="s">
        <v>292</v>
      </c>
      <c r="P3" s="193"/>
      <c r="Q3" s="193"/>
      <c r="R3" s="194"/>
    </row>
    <row r="4" spans="1:18" ht="17.25" thickBot="1">
      <c r="A4" s="40" t="s">
        <v>215</v>
      </c>
      <c r="B4" s="11" t="s">
        <v>216</v>
      </c>
      <c r="C4" s="95">
        <v>281</v>
      </c>
      <c r="D4" s="92">
        <v>9.3385213999999994E-2</v>
      </c>
      <c r="E4" s="93">
        <v>242713036.65895849</v>
      </c>
      <c r="F4" s="35"/>
      <c r="G4" s="254"/>
      <c r="H4" s="266"/>
      <c r="I4" s="266"/>
      <c r="K4" s="257" t="s">
        <v>55</v>
      </c>
      <c r="L4" s="269">
        <f ca="1">NOW()</f>
        <v>44355.875786458331</v>
      </c>
      <c r="M4" s="270"/>
      <c r="N4" s="271"/>
      <c r="O4" s="260" t="s">
        <v>55</v>
      </c>
      <c r="P4" s="269">
        <f ca="1">NOW()</f>
        <v>44355.875786458331</v>
      </c>
      <c r="Q4" s="270"/>
      <c r="R4" s="271"/>
    </row>
    <row r="5" spans="1:18" ht="17.25" thickBot="1">
      <c r="A5" s="40" t="s">
        <v>113</v>
      </c>
      <c r="B5" s="11" t="s">
        <v>114</v>
      </c>
      <c r="C5" s="95">
        <v>10900</v>
      </c>
      <c r="D5" s="92">
        <v>7.9207920799999998E-2</v>
      </c>
      <c r="E5" s="93">
        <v>15825911.020769199</v>
      </c>
      <c r="F5" s="35"/>
      <c r="K5" s="254"/>
      <c r="L5" s="36" t="s">
        <v>58</v>
      </c>
      <c r="M5" s="73" t="s">
        <v>59</v>
      </c>
      <c r="N5" s="69" t="s">
        <v>294</v>
      </c>
      <c r="O5" s="254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235</v>
      </c>
      <c r="B6" s="11" t="s">
        <v>236</v>
      </c>
      <c r="C6" s="95">
        <v>54.5</v>
      </c>
      <c r="D6" s="92">
        <v>6.4453125E-2</v>
      </c>
      <c r="E6" s="93">
        <v>652666614.7968694</v>
      </c>
      <c r="F6" s="35"/>
      <c r="G6" s="192" t="s">
        <v>52</v>
      </c>
      <c r="H6" s="193"/>
      <c r="I6" s="194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86.5</v>
      </c>
      <c r="M6" s="76">
        <f t="shared" ref="M6:M25" ca="1" si="1">_xlfn.IFNA(VLOOKUP(K6, $B$2:$E$200, 3, FALSE), "")</f>
        <v>-6.6882416400000005E-2</v>
      </c>
      <c r="N6" s="85">
        <f ca="1">_xlfn.IFNA(VLOOKUP(K6, $B$2:$E$200, 4, FALSE), "")</f>
        <v>96208340.170873657</v>
      </c>
      <c r="O6" s="46" t="str">
        <f>INDEX($A$2:$D$200, MATCH(LARGE($D$2:$D$200, 1), $D$2:$D$200, 0), 2)</f>
        <v>쎄타퓨엘</v>
      </c>
      <c r="P6" s="38">
        <f t="shared" ref="P6:P25" si="2">_xlfn.IFNA(VLOOKUP(O6, $B$2:$D$200, 2, FALSE), "")</f>
        <v>673</v>
      </c>
      <c r="Q6" s="76">
        <f t="shared" ref="Q6:Q25" si="3">_xlfn.IFNA(VLOOKUP(O6, $B$2:$D$200, 3, FALSE), "")</f>
        <v>0.26981132079999998</v>
      </c>
      <c r="R6" s="85">
        <f>_xlfn.IFNA(VLOOKUP(O6, $B$2:$E$200, 4, FALSE), "")</f>
        <v>1456574537.5237417</v>
      </c>
    </row>
    <row r="7" spans="1:18">
      <c r="A7" s="40" t="s">
        <v>93</v>
      </c>
      <c r="B7" s="11" t="s">
        <v>94</v>
      </c>
      <c r="C7" s="95">
        <v>62430</v>
      </c>
      <c r="D7" s="92">
        <v>5.2604957000000001E-2</v>
      </c>
      <c r="E7" s="93">
        <v>642154.84679161001</v>
      </c>
      <c r="F7" s="35"/>
      <c r="G7" s="201" t="s">
        <v>36</v>
      </c>
      <c r="H7" s="202"/>
      <c r="I7" s="203"/>
      <c r="K7" s="56" t="str">
        <f ca="1">IFERROR(OFFSET(INDIRECT($H$3 &amp; "!A17"), 1, 0), "")</f>
        <v>메디블록</v>
      </c>
      <c r="L7" s="39">
        <f t="shared" ca="1" si="0"/>
        <v>67.2</v>
      </c>
      <c r="M7" s="77">
        <f t="shared" ca="1" si="1"/>
        <v>-6.9252077600000003E-2</v>
      </c>
      <c r="N7" s="86">
        <f t="shared" ref="N7:N25" ca="1" si="4">_xlfn.IFNA(VLOOKUP(K7, $B$2:$E$200, 4, FALSE), "")</f>
        <v>210026683.98638946</v>
      </c>
      <c r="O7" s="47" t="str">
        <f>INDEX($A$2:$D$200, MATCH(LARGE($D$2:$D$200, 2), $D$2:$D$200, 0), 2)</f>
        <v>비트코인캐시에이비씨</v>
      </c>
      <c r="P7" s="39">
        <f t="shared" si="2"/>
        <v>32810</v>
      </c>
      <c r="Q7" s="77">
        <f t="shared" si="3"/>
        <v>0.16223875309999999</v>
      </c>
      <c r="R7" s="86">
        <f t="shared" ref="R7:R25" si="5">_xlfn.IFNA(VLOOKUP(O7, $B$2:$E$200, 4, FALSE), "")</f>
        <v>2629871.4191744998</v>
      </c>
    </row>
    <row r="8" spans="1:18" ht="17.25" thickBot="1">
      <c r="A8" s="40" t="s">
        <v>195</v>
      </c>
      <c r="B8" s="11" t="s">
        <v>196</v>
      </c>
      <c r="C8" s="95">
        <v>11.6</v>
      </c>
      <c r="D8" s="92">
        <v>4.5045044999999999E-2</v>
      </c>
      <c r="E8" s="93">
        <v>1194179239.4282076</v>
      </c>
      <c r="F8" s="35"/>
      <c r="G8" s="207"/>
      <c r="H8" s="208"/>
      <c r="I8" s="209"/>
      <c r="K8" s="56" t="str">
        <f ca="1">IFERROR(OFFSET(INDIRECT($H$3 &amp; "!A17"), 2, 0), "")</f>
        <v>메타디움</v>
      </c>
      <c r="L8" s="39">
        <f t="shared" ca="1" si="0"/>
        <v>108</v>
      </c>
      <c r="M8" s="77">
        <f t="shared" ca="1" si="1"/>
        <v>-6.0869565200000003E-2</v>
      </c>
      <c r="N8" s="86">
        <f t="shared" ca="1" si="4"/>
        <v>97911722.712875471</v>
      </c>
      <c r="O8" s="47" t="str">
        <f>INDEX($A$2:$D$200, MATCH(LARGE($D$2:$D$200, 3), $D$2:$D$200, 0), 2)</f>
        <v>폴리매쓰</v>
      </c>
      <c r="P8" s="39">
        <f t="shared" si="2"/>
        <v>281</v>
      </c>
      <c r="Q8" s="77">
        <f t="shared" si="3"/>
        <v>9.3385213999999994E-2</v>
      </c>
      <c r="R8" s="86">
        <f t="shared" si="5"/>
        <v>242713036.65895849</v>
      </c>
    </row>
    <row r="9" spans="1:18" ht="17.25" thickBot="1">
      <c r="A9" s="40" t="s">
        <v>171</v>
      </c>
      <c r="B9" s="11" t="s">
        <v>172</v>
      </c>
      <c r="C9" s="95">
        <v>14.8</v>
      </c>
      <c r="D9" s="92">
        <v>4.2253521099999997E-2</v>
      </c>
      <c r="E9" s="93">
        <v>1041446596.0194943</v>
      </c>
      <c r="F9" s="35"/>
      <c r="G9" s="9" t="s">
        <v>38</v>
      </c>
      <c r="H9" s="193" t="s">
        <v>37</v>
      </c>
      <c r="I9" s="194"/>
      <c r="K9" s="56" t="str">
        <f ca="1">IFERROR(OFFSET(INDIRECT($H$3 &amp; "!A17"), 3, 0), "")</f>
        <v>크립토닷컴체인</v>
      </c>
      <c r="L9" s="39">
        <f t="shared" ca="1" si="0"/>
        <v>133</v>
      </c>
      <c r="M9" s="77">
        <f t="shared" ca="1" si="1"/>
        <v>0</v>
      </c>
      <c r="N9" s="86">
        <f t="shared" ca="1" si="4"/>
        <v>26587282.921489261</v>
      </c>
      <c r="O9" s="47" t="str">
        <f>INDEX($A$2:$D$200, MATCH(LARGE($D$2:$D$200, 4), $D$2:$D$200, 0), 2)</f>
        <v>쎄타토큰</v>
      </c>
      <c r="P9" s="39">
        <f t="shared" si="2"/>
        <v>10900</v>
      </c>
      <c r="Q9" s="77">
        <f t="shared" si="3"/>
        <v>7.9207920799999998E-2</v>
      </c>
      <c r="R9" s="86">
        <f t="shared" si="5"/>
        <v>15825911.020769199</v>
      </c>
    </row>
    <row r="10" spans="1:18">
      <c r="A10" s="40" t="s">
        <v>111</v>
      </c>
      <c r="B10" s="11" t="s">
        <v>112</v>
      </c>
      <c r="C10" s="95">
        <v>181</v>
      </c>
      <c r="D10" s="92">
        <v>2.84090909E-2</v>
      </c>
      <c r="E10" s="93">
        <v>351369008.9338848</v>
      </c>
      <c r="F10" s="35"/>
      <c r="G10" s="267">
        <f>_xlfn.IFNA(VLOOKUP(G7, $B$2:$D$200, 3, FALSE), "-")</f>
        <v>-1.9557649E-2</v>
      </c>
      <c r="H10" s="261">
        <f>_xlfn.IFNA(VLOOKUP(G7, $B$2:$D$200, 2, FALSE), "-")</f>
        <v>38300000</v>
      </c>
      <c r="I10" s="262"/>
      <c r="K10" s="58" t="str">
        <f ca="1">IFERROR(OFFSET(INDIRECT($H$3 &amp; "!A17"), 4, 0), "")</f>
        <v>헌트</v>
      </c>
      <c r="L10" s="44">
        <f t="shared" ca="1" si="0"/>
        <v>274</v>
      </c>
      <c r="M10" s="78">
        <f t="shared" ca="1" si="1"/>
        <v>-8.0536912799999999E-2</v>
      </c>
      <c r="N10" s="90">
        <f t="shared" ca="1" si="4"/>
        <v>19754500.732805539</v>
      </c>
      <c r="O10" s="47" t="str">
        <f>INDEX($A$2:$D$200, MATCH(LARGE($D$2:$D$200, 5), $D$2:$D$200, 0), 2)</f>
        <v>엔도르</v>
      </c>
      <c r="P10" s="39">
        <f t="shared" si="2"/>
        <v>54.5</v>
      </c>
      <c r="Q10" s="77">
        <f t="shared" si="3"/>
        <v>6.4453125E-2</v>
      </c>
      <c r="R10" s="90">
        <f t="shared" si="5"/>
        <v>652666614.7968694</v>
      </c>
    </row>
    <row r="11" spans="1:18" ht="17.25" thickBot="1">
      <c r="A11" s="40" t="s">
        <v>53</v>
      </c>
      <c r="B11" s="11" t="s">
        <v>54</v>
      </c>
      <c r="C11" s="95">
        <v>247</v>
      </c>
      <c r="D11" s="92">
        <v>2.0661156999999999E-2</v>
      </c>
      <c r="E11" s="93">
        <v>45549881.753477141</v>
      </c>
      <c r="F11" s="35"/>
      <c r="G11" s="268"/>
      <c r="H11" s="263"/>
      <c r="I11" s="26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비트코인골드</v>
      </c>
      <c r="P11" s="45">
        <f t="shared" si="2"/>
        <v>62430</v>
      </c>
      <c r="Q11" s="80">
        <f t="shared" si="3"/>
        <v>5.2604957000000001E-2</v>
      </c>
      <c r="R11" s="99">
        <f t="shared" si="5"/>
        <v>642154.84679161001</v>
      </c>
    </row>
    <row r="12" spans="1:18" ht="17.25" thickBot="1">
      <c r="A12" s="40" t="s">
        <v>249</v>
      </c>
      <c r="B12" s="11" t="s">
        <v>250</v>
      </c>
      <c r="C12" s="95">
        <v>120</v>
      </c>
      <c r="D12" s="92">
        <v>1.6949152499999998E-2</v>
      </c>
      <c r="E12" s="93">
        <v>262948803.44518512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썬더토큰</v>
      </c>
      <c r="P12" s="39">
        <f t="shared" si="2"/>
        <v>11.6</v>
      </c>
      <c r="Q12" s="77">
        <f t="shared" si="3"/>
        <v>4.5045044999999999E-2</v>
      </c>
      <c r="R12" s="86">
        <f t="shared" si="5"/>
        <v>1194179239.4282076</v>
      </c>
    </row>
    <row r="13" spans="1:18" ht="17.25" thickBot="1">
      <c r="A13" s="40" t="s">
        <v>99</v>
      </c>
      <c r="B13" s="11" t="s">
        <v>100</v>
      </c>
      <c r="C13" s="95">
        <v>4.28</v>
      </c>
      <c r="D13" s="92">
        <v>1.42180095E-2</v>
      </c>
      <c r="E13" s="93">
        <v>24304805753.980038</v>
      </c>
      <c r="F13" s="35"/>
      <c r="G13" s="192" t="s">
        <v>70</v>
      </c>
      <c r="H13" s="193"/>
      <c r="I13" s="194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트웰브쉽스</v>
      </c>
      <c r="P13" s="39">
        <f t="shared" si="2"/>
        <v>14.8</v>
      </c>
      <c r="Q13" s="77">
        <f t="shared" si="3"/>
        <v>4.2253521099999997E-2</v>
      </c>
      <c r="R13" s="86">
        <f t="shared" si="5"/>
        <v>1041446596.0194943</v>
      </c>
    </row>
    <row r="14" spans="1:18">
      <c r="A14" s="40" t="s">
        <v>183</v>
      </c>
      <c r="B14" s="11" t="s">
        <v>184</v>
      </c>
      <c r="C14" s="95">
        <v>1400</v>
      </c>
      <c r="D14" s="92">
        <v>1.08303249E-2</v>
      </c>
      <c r="E14" s="93">
        <v>5686377.24382478</v>
      </c>
      <c r="F14" s="35"/>
      <c r="G14" s="201" t="s">
        <v>36</v>
      </c>
      <c r="H14" s="202"/>
      <c r="I14" s="20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디카르고</v>
      </c>
      <c r="P14" s="39">
        <f t="shared" si="2"/>
        <v>181</v>
      </c>
      <c r="Q14" s="77">
        <f t="shared" si="3"/>
        <v>2.84090909E-2</v>
      </c>
      <c r="R14" s="86">
        <f t="shared" si="5"/>
        <v>351369008.9338848</v>
      </c>
    </row>
    <row r="15" spans="1:18" ht="17.25" thickBot="1">
      <c r="A15" s="40" t="s">
        <v>137</v>
      </c>
      <c r="B15" s="11" t="s">
        <v>138</v>
      </c>
      <c r="C15" s="95">
        <v>25320</v>
      </c>
      <c r="D15" s="92">
        <v>4.3633478999999999E-3</v>
      </c>
      <c r="E15" s="93">
        <v>1254680.3112520699</v>
      </c>
      <c r="F15" s="35"/>
      <c r="G15" s="207"/>
      <c r="H15" s="208"/>
      <c r="I15" s="209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헤데라해시그래프</v>
      </c>
      <c r="P15" s="37">
        <f t="shared" si="2"/>
        <v>247</v>
      </c>
      <c r="Q15" s="79">
        <f t="shared" si="3"/>
        <v>2.0661156999999999E-2</v>
      </c>
      <c r="R15" s="87">
        <f t="shared" si="5"/>
        <v>45549881.753477141</v>
      </c>
    </row>
    <row r="16" spans="1:18" ht="17.25" thickBot="1">
      <c r="A16" s="40" t="s">
        <v>91</v>
      </c>
      <c r="B16" s="11" t="s">
        <v>92</v>
      </c>
      <c r="C16" s="95">
        <v>1005</v>
      </c>
      <c r="D16" s="92">
        <v>0</v>
      </c>
      <c r="E16" s="93">
        <v>449927024.07504213</v>
      </c>
      <c r="F16" s="35"/>
      <c r="G16" s="9" t="s">
        <v>38</v>
      </c>
      <c r="H16" s="193" t="s">
        <v>37</v>
      </c>
      <c r="I16" s="194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엘비알와이크레딧</v>
      </c>
      <c r="P16" s="38">
        <f t="shared" si="2"/>
        <v>120</v>
      </c>
      <c r="Q16" s="76">
        <f t="shared" si="3"/>
        <v>1.6949152499999998E-2</v>
      </c>
      <c r="R16" s="85">
        <f t="shared" si="5"/>
        <v>262948803.44518512</v>
      </c>
    </row>
    <row r="17" spans="1:18">
      <c r="A17" s="40" t="s">
        <v>119</v>
      </c>
      <c r="B17" s="11" t="s">
        <v>120</v>
      </c>
      <c r="C17" s="95">
        <v>133</v>
      </c>
      <c r="D17" s="92">
        <v>0</v>
      </c>
      <c r="E17" s="93">
        <v>26587282.921489261</v>
      </c>
      <c r="F17" s="35"/>
      <c r="G17" s="267">
        <f>_xlfn.IFNA(VLOOKUP(G14, $B$2:$D$200, 3, FALSE), "-")</f>
        <v>-1.9557649E-2</v>
      </c>
      <c r="H17" s="261">
        <f>_xlfn.IFNA(VLOOKUP(G14, $B$2:$D$200, 2, FALSE), "-")</f>
        <v>38300000</v>
      </c>
      <c r="I17" s="26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비트토렌트</v>
      </c>
      <c r="P17" s="39">
        <f t="shared" si="2"/>
        <v>4.28</v>
      </c>
      <c r="Q17" s="77">
        <f t="shared" si="3"/>
        <v>1.42180095E-2</v>
      </c>
      <c r="R17" s="86">
        <f t="shared" si="5"/>
        <v>24304805753.980038</v>
      </c>
    </row>
    <row r="18" spans="1:18" ht="17.25" thickBot="1">
      <c r="A18" s="40" t="s">
        <v>155</v>
      </c>
      <c r="B18" s="11" t="s">
        <v>156</v>
      </c>
      <c r="C18" s="95">
        <v>82.9</v>
      </c>
      <c r="D18" s="92">
        <v>-3.6057692000000001E-3</v>
      </c>
      <c r="E18" s="93">
        <v>214705385.60435784</v>
      </c>
      <c r="F18" s="35"/>
      <c r="G18" s="268"/>
      <c r="H18" s="263"/>
      <c r="I18" s="26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아이오타</v>
      </c>
      <c r="P18" s="39">
        <f t="shared" si="2"/>
        <v>1400</v>
      </c>
      <c r="Q18" s="77">
        <f t="shared" si="3"/>
        <v>1.08303249E-2</v>
      </c>
      <c r="R18" s="86">
        <f t="shared" si="5"/>
        <v>5686377.24382478</v>
      </c>
    </row>
    <row r="19" spans="1:18" ht="17.25" thickBot="1">
      <c r="A19" s="40" t="s">
        <v>73</v>
      </c>
      <c r="B19" s="11" t="s">
        <v>74</v>
      </c>
      <c r="C19" s="95">
        <v>15580</v>
      </c>
      <c r="D19" s="92">
        <v>-4.4728435000000004E-3</v>
      </c>
      <c r="E19" s="93">
        <v>284441.31844192999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폴카닷</v>
      </c>
      <c r="P19" s="39">
        <f t="shared" si="2"/>
        <v>25320</v>
      </c>
      <c r="Q19" s="77">
        <f t="shared" si="3"/>
        <v>4.3633478999999999E-3</v>
      </c>
      <c r="R19" s="86">
        <f t="shared" si="5"/>
        <v>1254680.3112520699</v>
      </c>
    </row>
    <row r="20" spans="1:18" ht="17.25" thickBot="1">
      <c r="A20" s="40" t="s">
        <v>295</v>
      </c>
      <c r="B20" s="11" t="s">
        <v>296</v>
      </c>
      <c r="C20" s="95">
        <v>384</v>
      </c>
      <c r="D20" s="92">
        <v>-7.7519379999999999E-3</v>
      </c>
      <c r="E20" s="93">
        <v>938999288.15185058</v>
      </c>
      <c r="F20" s="35"/>
      <c r="G20" s="192" t="s">
        <v>286</v>
      </c>
      <c r="H20" s="193"/>
      <c r="I20" s="194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리플</v>
      </c>
      <c r="P20" s="39">
        <f t="shared" si="2"/>
        <v>1005</v>
      </c>
      <c r="Q20" s="77">
        <f t="shared" si="3"/>
        <v>0</v>
      </c>
      <c r="R20" s="90">
        <f t="shared" si="5"/>
        <v>449927024.07504213</v>
      </c>
    </row>
    <row r="21" spans="1:18">
      <c r="A21" s="40" t="s">
        <v>277</v>
      </c>
      <c r="B21" s="11" t="s">
        <v>278</v>
      </c>
      <c r="C21" s="95">
        <v>74.2</v>
      </c>
      <c r="D21" s="92">
        <v>-1.19840213E-2</v>
      </c>
      <c r="E21" s="93">
        <v>71034274.226406783</v>
      </c>
      <c r="F21" s="35"/>
      <c r="G21" s="201" t="s">
        <v>36</v>
      </c>
      <c r="H21" s="202"/>
      <c r="I21" s="20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리플</v>
      </c>
      <c r="P21" s="45">
        <f t="shared" si="2"/>
        <v>1005</v>
      </c>
      <c r="Q21" s="80">
        <f t="shared" si="3"/>
        <v>0</v>
      </c>
      <c r="R21" s="99">
        <f t="shared" si="5"/>
        <v>449927024.07504213</v>
      </c>
    </row>
    <row r="22" spans="1:18" ht="17.25" thickBot="1">
      <c r="A22" s="40" t="s">
        <v>75</v>
      </c>
      <c r="B22" s="11" t="s">
        <v>76</v>
      </c>
      <c r="C22" s="95">
        <v>28150</v>
      </c>
      <c r="D22" s="92">
        <v>-1.43557423E-2</v>
      </c>
      <c r="E22" s="93">
        <v>1110282.8696737399</v>
      </c>
      <c r="F22" s="35"/>
      <c r="G22" s="207"/>
      <c r="H22" s="208"/>
      <c r="I22" s="209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트론</v>
      </c>
      <c r="P22" s="39">
        <f t="shared" si="2"/>
        <v>82.9</v>
      </c>
      <c r="Q22" s="77">
        <f t="shared" si="3"/>
        <v>-3.6057692000000001E-3</v>
      </c>
      <c r="R22" s="86">
        <f t="shared" si="5"/>
        <v>214705385.60435784</v>
      </c>
    </row>
    <row r="23" spans="1:18" ht="17.25" thickBot="1">
      <c r="A23" s="40" t="s">
        <v>50</v>
      </c>
      <c r="B23" s="11" t="s">
        <v>51</v>
      </c>
      <c r="C23" s="95">
        <v>397</v>
      </c>
      <c r="D23" s="92">
        <v>-1.4888337499999999E-2</v>
      </c>
      <c r="E23" s="93">
        <v>66069589.023580648</v>
      </c>
      <c r="F23" s="35"/>
      <c r="G23" s="9" t="s">
        <v>38</v>
      </c>
      <c r="H23" s="193" t="s">
        <v>37</v>
      </c>
      <c r="I23" s="194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코스모스</v>
      </c>
      <c r="P23" s="39">
        <f t="shared" si="2"/>
        <v>15580</v>
      </c>
      <c r="Q23" s="77">
        <f t="shared" si="3"/>
        <v>-4.4728435000000004E-3</v>
      </c>
      <c r="R23" s="86">
        <f t="shared" si="5"/>
        <v>284441.31844192999</v>
      </c>
    </row>
    <row r="24" spans="1:18">
      <c r="A24" s="40" t="s">
        <v>149</v>
      </c>
      <c r="B24" s="11" t="s">
        <v>150</v>
      </c>
      <c r="C24" s="95">
        <v>2205</v>
      </c>
      <c r="D24" s="92">
        <v>-1.5625E-2</v>
      </c>
      <c r="E24" s="93">
        <v>5315162.6613841103</v>
      </c>
      <c r="F24" s="35"/>
      <c r="G24" s="267">
        <f>_xlfn.IFNA(VLOOKUP(G21, $B$2:$D$200, 3, FALSE), "-")</f>
        <v>-1.9557649E-2</v>
      </c>
      <c r="H24" s="261">
        <f>_xlfn.IFNA(VLOOKUP(G21, $B$2:$D$200, 2, FALSE), "-")</f>
        <v>38300000</v>
      </c>
      <c r="I24" s="26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도지코인</v>
      </c>
      <c r="P24" s="39">
        <f t="shared" si="2"/>
        <v>384</v>
      </c>
      <c r="Q24" s="77">
        <f t="shared" si="3"/>
        <v>-7.7519379999999999E-3</v>
      </c>
      <c r="R24" s="86">
        <f t="shared" si="5"/>
        <v>938999288.15185058</v>
      </c>
    </row>
    <row r="25" spans="1:18" ht="17.25" thickBot="1">
      <c r="A25" s="40" t="s">
        <v>48</v>
      </c>
      <c r="B25" s="11" t="s">
        <v>49</v>
      </c>
      <c r="C25" s="95">
        <v>38300000</v>
      </c>
      <c r="D25" s="92">
        <v>-1.9557649E-2</v>
      </c>
      <c r="E25" s="93">
        <v>7316.1100171300004</v>
      </c>
      <c r="F25" s="35"/>
      <c r="G25" s="268"/>
      <c r="H25" s="263"/>
      <c r="I25" s="264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저스트</v>
      </c>
      <c r="P25" s="37">
        <f t="shared" si="2"/>
        <v>74.2</v>
      </c>
      <c r="Q25" s="79">
        <f t="shared" si="3"/>
        <v>-1.19840213E-2</v>
      </c>
      <c r="R25" s="87">
        <f t="shared" si="5"/>
        <v>71034274.226406783</v>
      </c>
    </row>
    <row r="26" spans="1:18">
      <c r="A26" s="40" t="s">
        <v>143</v>
      </c>
      <c r="B26" s="11" t="s">
        <v>144</v>
      </c>
      <c r="C26" s="95">
        <v>6120</v>
      </c>
      <c r="D26" s="92">
        <v>-2.0799999999999999E-2</v>
      </c>
      <c r="E26" s="93">
        <v>1882372.59745039</v>
      </c>
      <c r="F26" s="35"/>
    </row>
    <row r="27" spans="1:18" ht="17.25" thickBot="1">
      <c r="A27" s="40" t="s">
        <v>79</v>
      </c>
      <c r="B27" s="11" t="s">
        <v>80</v>
      </c>
      <c r="C27" s="95">
        <v>790</v>
      </c>
      <c r="D27" s="92">
        <v>-2.10656753E-2</v>
      </c>
      <c r="E27" s="93">
        <v>3886081.7660828698</v>
      </c>
      <c r="F27" s="35"/>
    </row>
    <row r="28" spans="1:18" ht="17.25" thickBot="1">
      <c r="A28" s="40" t="s">
        <v>77</v>
      </c>
      <c r="B28" s="11" t="s">
        <v>78</v>
      </c>
      <c r="C28" s="95">
        <v>678800</v>
      </c>
      <c r="D28" s="92">
        <v>-2.11968277E-2</v>
      </c>
      <c r="E28" s="93">
        <v>47858.574210879997</v>
      </c>
      <c r="F28" s="35"/>
      <c r="G28" s="192" t="s">
        <v>46</v>
      </c>
      <c r="H28" s="193"/>
      <c r="I28" s="193"/>
      <c r="J28" s="194"/>
      <c r="K28" s="192" t="s">
        <v>44</v>
      </c>
      <c r="L28" s="193"/>
      <c r="M28" s="193"/>
      <c r="N28" s="194"/>
      <c r="O28" s="192" t="s">
        <v>45</v>
      </c>
      <c r="P28" s="193"/>
      <c r="Q28" s="193"/>
      <c r="R28" s="194"/>
    </row>
    <row r="29" spans="1:18" ht="17.25" thickBot="1">
      <c r="A29" s="40" t="s">
        <v>83</v>
      </c>
      <c r="B29" s="11" t="s">
        <v>84</v>
      </c>
      <c r="C29" s="95">
        <v>1785</v>
      </c>
      <c r="D29" s="92">
        <v>-2.19178082E-2</v>
      </c>
      <c r="E29" s="93">
        <v>60572335.417520039</v>
      </c>
      <c r="F29" s="35"/>
      <c r="G29" s="257" t="s">
        <v>55</v>
      </c>
      <c r="H29" s="269">
        <f ca="1">NOW()</f>
        <v>44355.875786458331</v>
      </c>
      <c r="I29" s="270"/>
      <c r="J29" s="271"/>
      <c r="K29" s="260" t="s">
        <v>55</v>
      </c>
      <c r="L29" s="269">
        <f ca="1">NOW()</f>
        <v>44355.875786458331</v>
      </c>
      <c r="M29" s="270"/>
      <c r="N29" s="271"/>
      <c r="O29" s="260" t="s">
        <v>55</v>
      </c>
      <c r="P29" s="269">
        <f ca="1">NOW()</f>
        <v>44355.875786458331</v>
      </c>
      <c r="Q29" s="270"/>
      <c r="R29" s="271"/>
    </row>
    <row r="30" spans="1:18" ht="17.25" thickBot="1">
      <c r="A30" s="40" t="s">
        <v>97</v>
      </c>
      <c r="B30" s="11" t="s">
        <v>98</v>
      </c>
      <c r="C30" s="95">
        <v>3965</v>
      </c>
      <c r="D30" s="92">
        <v>-2.2194821199999999E-2</v>
      </c>
      <c r="E30" s="93">
        <v>2199011.4866093802</v>
      </c>
      <c r="F30" s="35"/>
      <c r="G30" s="254"/>
      <c r="H30" s="36" t="s">
        <v>58</v>
      </c>
      <c r="I30" s="73" t="s">
        <v>59</v>
      </c>
      <c r="J30" s="69" t="s">
        <v>294</v>
      </c>
      <c r="K30" s="254"/>
      <c r="L30" s="36" t="s">
        <v>58</v>
      </c>
      <c r="M30" s="73" t="s">
        <v>59</v>
      </c>
      <c r="N30" s="69" t="s">
        <v>294</v>
      </c>
      <c r="O30" s="254"/>
      <c r="P30" s="36" t="s">
        <v>58</v>
      </c>
      <c r="Q30" s="73" t="s">
        <v>59</v>
      </c>
      <c r="R30" s="69" t="s">
        <v>294</v>
      </c>
    </row>
    <row r="31" spans="1:18">
      <c r="A31" s="40" t="s">
        <v>129</v>
      </c>
      <c r="B31" s="11" t="s">
        <v>130</v>
      </c>
      <c r="C31" s="95">
        <v>184050</v>
      </c>
      <c r="D31" s="92">
        <v>-2.2310757000000001E-2</v>
      </c>
      <c r="E31" s="93">
        <v>90732.429639180002</v>
      </c>
      <c r="F31" s="35"/>
      <c r="G31" s="55" t="str">
        <f ca="1">IFERROR(OFFSET(INDIRECT($H$3 &amp; "!A98"), 0, 0), "")</f>
        <v>메탈</v>
      </c>
      <c r="H31" s="38">
        <f t="shared" ref="H31:H50" ca="1" si="7">_xlfn.IFNA(VLOOKUP(G31, $B$2:$D$200, 2, FALSE), "")</f>
        <v>2985</v>
      </c>
      <c r="I31" s="76">
        <f t="shared" ref="I31:I50" ca="1" si="8">_xlfn.IFNA(VLOOKUP(G31, $B$2:$D$200, 3, FALSE), "")</f>
        <v>-0.1207658321</v>
      </c>
      <c r="J31" s="85">
        <f ca="1">_xlfn.IFNA(VLOOKUP(G31, $B$2:$E$200, 4, FALSE), "")</f>
        <v>22811032.072851211</v>
      </c>
      <c r="K31" s="55" t="str">
        <f ca="1">IFERROR(OFFSET(INDIRECT($H$3 &amp; "!A44"), 0, 0), "")</f>
        <v>메인프레임</v>
      </c>
      <c r="L31" s="38">
        <f t="shared" ref="L31:L50" ca="1" si="9">_xlfn.IFNA(VLOOKUP(K31, $B$2:$D$200, 2, FALSE), "")</f>
        <v>11</v>
      </c>
      <c r="M31" s="76">
        <f t="shared" ref="M31:M50" ca="1" si="10">_xlfn.IFNA(VLOOKUP(K31, $B$2:$D$200, 3, FALSE), "")</f>
        <v>-9.8360655699999994E-2</v>
      </c>
      <c r="N31" s="85">
        <f ca="1">_xlfn.IFNA(VLOOKUP(K31, $B$2:$E$200, 4, FALSE), "")</f>
        <v>981963260.66892457</v>
      </c>
      <c r="O31" s="55" t="str">
        <f ca="1">IFERROR(OFFSET(INDIRECT($H$3 &amp; "!A71"), 0, 0), "")</f>
        <v>쎄타퓨엘</v>
      </c>
      <c r="P31" s="38">
        <f t="shared" ref="P31:P50" ca="1" si="11">_xlfn.IFNA(VLOOKUP(O31, $B$2:$D$200, 2, FALSE), "")</f>
        <v>673</v>
      </c>
      <c r="Q31" s="76">
        <f t="shared" ref="Q31:Q50" ca="1" si="12">_xlfn.IFNA(VLOOKUP(O31, $B$2:$D$200, 3, FALSE), "")</f>
        <v>0.26981132079999998</v>
      </c>
      <c r="R31" s="85">
        <f ca="1">_xlfn.IFNA(VLOOKUP(O31, $B$2:$E$200, 4, FALSE), "")</f>
        <v>1456574537.5237417</v>
      </c>
    </row>
    <row r="32" spans="1:18">
      <c r="A32" s="40" t="s">
        <v>159</v>
      </c>
      <c r="B32" s="11" t="s">
        <v>160</v>
      </c>
      <c r="C32" s="95">
        <v>1520</v>
      </c>
      <c r="D32" s="92">
        <v>-2.2508038599999999E-2</v>
      </c>
      <c r="E32" s="93">
        <v>4653372.61221998</v>
      </c>
      <c r="F32" s="35"/>
      <c r="G32" s="56" t="str">
        <f ca="1">IFERROR(OFFSET(INDIRECT($H$3 &amp; "!A98"), 1, 0), "")</f>
        <v>쎄타퓨엘</v>
      </c>
      <c r="H32" s="39">
        <f t="shared" ca="1" si="7"/>
        <v>673</v>
      </c>
      <c r="I32" s="77">
        <f t="shared" ca="1" si="8"/>
        <v>0.26981132079999998</v>
      </c>
      <c r="J32" s="86">
        <f t="shared" ref="J32:J50" ca="1" si="13">_xlfn.IFNA(VLOOKUP(G32, $B$2:$E$200, 4, FALSE), "")</f>
        <v>1456574537.5237417</v>
      </c>
      <c r="K32" s="56" t="str">
        <f ca="1">IFERROR(OFFSET(INDIRECT($H$3 &amp; "!A44"), 1, 0), "")</f>
        <v>엔도르</v>
      </c>
      <c r="L32" s="39">
        <f t="shared" ca="1" si="9"/>
        <v>54.5</v>
      </c>
      <c r="M32" s="77">
        <f t="shared" ca="1" si="10"/>
        <v>6.4453125E-2</v>
      </c>
      <c r="N32" s="86">
        <f t="shared" ref="N32:N50" ca="1" si="14">_xlfn.IFNA(VLOOKUP(K32, $B$2:$E$200, 4, FALSE), "")</f>
        <v>652666614.7968694</v>
      </c>
      <c r="O32" s="56" t="str">
        <f ca="1">IFERROR(OFFSET(INDIRECT($H$3 &amp; "!A71"), 1, 0), "")</f>
        <v>이그니스</v>
      </c>
      <c r="P32" s="39">
        <f t="shared" ca="1" si="11"/>
        <v>107</v>
      </c>
      <c r="Q32" s="77">
        <f t="shared" ca="1" si="12"/>
        <v>-6.9565217400000004E-2</v>
      </c>
      <c r="R32" s="86">
        <f t="shared" ref="R32:R50" ca="1" si="15">_xlfn.IFNA(VLOOKUP(O32, $B$2:$E$200, 4, FALSE), "")</f>
        <v>67648853.253364697</v>
      </c>
    </row>
    <row r="33" spans="1:18">
      <c r="A33" s="40" t="s">
        <v>135</v>
      </c>
      <c r="B33" s="11" t="s">
        <v>136</v>
      </c>
      <c r="C33" s="95">
        <v>126</v>
      </c>
      <c r="D33" s="92">
        <v>-2.3255814E-2</v>
      </c>
      <c r="E33" s="93">
        <v>33001690.316377722</v>
      </c>
      <c r="F33" s="35"/>
      <c r="G33" s="56" t="str">
        <f ca="1">IFERROR(OFFSET(INDIRECT($H$3 &amp; "!A98"), 2, 0), "")</f>
        <v>스트라티스</v>
      </c>
      <c r="H33" s="39">
        <f t="shared" ca="1" si="7"/>
        <v>2980</v>
      </c>
      <c r="I33" s="77">
        <f t="shared" ca="1" si="8"/>
        <v>-0.13119533529999999</v>
      </c>
      <c r="J33" s="86">
        <f t="shared" ca="1" si="13"/>
        <v>16172768.37277074</v>
      </c>
      <c r="K33" s="56" t="str">
        <f ca="1">IFERROR(OFFSET(INDIRECT($H$3 &amp; "!A44"), 2, 0), "")</f>
        <v>쿼크체인</v>
      </c>
      <c r="L33" s="39">
        <f t="shared" ca="1" si="9"/>
        <v>18.899999999999999</v>
      </c>
      <c r="M33" s="77">
        <f t="shared" ca="1" si="10"/>
        <v>-7.35294118E-2</v>
      </c>
      <c r="N33" s="86">
        <f t="shared" ca="1" si="14"/>
        <v>317338926.42990869</v>
      </c>
      <c r="O33" s="56" t="str">
        <f ca="1">IFERROR(OFFSET(INDIRECT($H$3 &amp; "!A71"), 2, 0), "")</f>
        <v>휴먼스케이프</v>
      </c>
      <c r="P33" s="39">
        <f t="shared" ca="1" si="11"/>
        <v>109</v>
      </c>
      <c r="Q33" s="77">
        <f t="shared" ca="1" si="12"/>
        <v>-6.8376068400000004E-2</v>
      </c>
      <c r="R33" s="86">
        <f t="shared" ca="1" si="15"/>
        <v>91958854.900104284</v>
      </c>
    </row>
    <row r="34" spans="1:18">
      <c r="A34" s="40" t="s">
        <v>139</v>
      </c>
      <c r="B34" s="11" t="s">
        <v>140</v>
      </c>
      <c r="C34" s="95">
        <v>2355</v>
      </c>
      <c r="D34" s="92">
        <v>-2.6859504100000001E-2</v>
      </c>
      <c r="E34" s="93">
        <v>1156550.4343230701</v>
      </c>
      <c r="F34" s="35"/>
      <c r="G34" s="56" t="str">
        <f ca="1">IFERROR(OFFSET(INDIRECT($H$3 &amp; "!A98"), 3, 0), "")</f>
        <v>이그니스</v>
      </c>
      <c r="H34" s="39">
        <f t="shared" ca="1" si="7"/>
        <v>107</v>
      </c>
      <c r="I34" s="77">
        <f t="shared" ca="1" si="8"/>
        <v>-6.9565217400000004E-2</v>
      </c>
      <c r="J34" s="86">
        <f t="shared" ca="1" si="13"/>
        <v>67648853.253364697</v>
      </c>
      <c r="K34" s="56" t="str">
        <f ca="1">IFERROR(OFFSET(INDIRECT($H$3 &amp; "!A44"), 3, 0), "")</f>
        <v>무비블록</v>
      </c>
      <c r="L34" s="39">
        <f t="shared" ca="1" si="9"/>
        <v>9.84</v>
      </c>
      <c r="M34" s="77">
        <f t="shared" ca="1" si="10"/>
        <v>-5.3846153799999998E-2</v>
      </c>
      <c r="N34" s="86">
        <f t="shared" ca="1" si="14"/>
        <v>2167114919.3907743</v>
      </c>
      <c r="O34" s="56" t="str">
        <f ca="1">IFERROR(OFFSET(INDIRECT($H$3 &amp; "!A71"), 3, 0), "")</f>
        <v>엘비알와이크레딧</v>
      </c>
      <c r="P34" s="39">
        <f t="shared" ca="1" si="11"/>
        <v>120</v>
      </c>
      <c r="Q34" s="77">
        <f t="shared" ca="1" si="12"/>
        <v>1.6949152499999998E-2</v>
      </c>
      <c r="R34" s="86">
        <f t="shared" ca="1" si="15"/>
        <v>262948803.44518512</v>
      </c>
    </row>
    <row r="35" spans="1:18">
      <c r="A35" s="40" t="s">
        <v>147</v>
      </c>
      <c r="B35" s="11" t="s">
        <v>148</v>
      </c>
      <c r="C35" s="95">
        <v>107</v>
      </c>
      <c r="D35" s="92">
        <v>-2.7272727300000001E-2</v>
      </c>
      <c r="E35" s="93">
        <v>32348118.51652135</v>
      </c>
      <c r="F35" s="35"/>
      <c r="G35" s="58" t="str">
        <f ca="1">IFERROR(OFFSET(INDIRECT($H$3 &amp; "!A98"), 4, 0), "")</f>
        <v>휴먼스케이프</v>
      </c>
      <c r="H35" s="44">
        <f t="shared" ca="1" si="7"/>
        <v>109</v>
      </c>
      <c r="I35" s="78">
        <f t="shared" ca="1" si="8"/>
        <v>-6.8376068400000004E-2</v>
      </c>
      <c r="J35" s="90">
        <f t="shared" ca="1" si="13"/>
        <v>91958854.900104284</v>
      </c>
      <c r="K35" s="58" t="str">
        <f ca="1">IFERROR(OFFSET(INDIRECT($H$3 &amp; "!A44"), 4, 0), "")</f>
        <v>썬더토큰</v>
      </c>
      <c r="L35" s="44">
        <f t="shared" ca="1" si="9"/>
        <v>11.6</v>
      </c>
      <c r="M35" s="78">
        <f t="shared" ca="1" si="10"/>
        <v>4.5045044999999999E-2</v>
      </c>
      <c r="N35" s="90">
        <f t="shared" ca="1" si="14"/>
        <v>1194179239.4282076</v>
      </c>
      <c r="O35" s="58" t="str">
        <f ca="1">IFERROR(OFFSET(INDIRECT($H$3 &amp; "!A71"), 4, 0), "")</f>
        <v>파워렛저</v>
      </c>
      <c r="P35" s="44">
        <f t="shared" ca="1" si="11"/>
        <v>279</v>
      </c>
      <c r="Q35" s="78">
        <f t="shared" ca="1" si="12"/>
        <v>-8.5245901600000007E-2</v>
      </c>
      <c r="R35" s="90">
        <f t="shared" ca="1" si="15"/>
        <v>16434033.733911449</v>
      </c>
    </row>
    <row r="36" spans="1:18">
      <c r="A36" s="40" t="s">
        <v>153</v>
      </c>
      <c r="B36" s="11" t="s">
        <v>154</v>
      </c>
      <c r="C36" s="95">
        <v>10.5</v>
      </c>
      <c r="D36" s="92">
        <v>-2.77777778E-2</v>
      </c>
      <c r="E36" s="93">
        <v>757778428.68851018</v>
      </c>
      <c r="F36" s="35"/>
      <c r="G36" s="56" t="str">
        <f ca="1">IFERROR(OFFSET(INDIRECT($H$3 &amp; "!A98"), 5, 0), "")</f>
        <v>메인프레임</v>
      </c>
      <c r="H36" s="39">
        <f t="shared" ca="1" si="7"/>
        <v>11</v>
      </c>
      <c r="I36" s="77">
        <f t="shared" ca="1" si="8"/>
        <v>-9.8360655699999994E-2</v>
      </c>
      <c r="J36" s="99">
        <f t="shared" ca="1" si="13"/>
        <v>981963260.66892457</v>
      </c>
      <c r="K36" s="56" t="str">
        <f ca="1">IFERROR(OFFSET(INDIRECT($H$3 &amp; "!A44"), 5, 0), "")</f>
        <v>에스티피</v>
      </c>
      <c r="L36" s="39">
        <f t="shared" ca="1" si="9"/>
        <v>51.9</v>
      </c>
      <c r="M36" s="77">
        <f t="shared" ca="1" si="10"/>
        <v>-6.1482821E-2</v>
      </c>
      <c r="N36" s="99">
        <f t="shared" ca="1" si="14"/>
        <v>50116376.278362907</v>
      </c>
      <c r="O36" s="56" t="str">
        <f ca="1">IFERROR(OFFSET(INDIRECT($H$3 &amp; "!A71"), 5, 0), "")</f>
        <v>아인스타이늄</v>
      </c>
      <c r="P36" s="39">
        <f t="shared" ca="1" si="11"/>
        <v>291</v>
      </c>
      <c r="Q36" s="77">
        <f t="shared" ca="1" si="12"/>
        <v>-7.0287539900000001E-2</v>
      </c>
      <c r="R36" s="99">
        <f t="shared" ca="1" si="15"/>
        <v>18794493.293750688</v>
      </c>
    </row>
    <row r="37" spans="1:18">
      <c r="A37" s="40" t="s">
        <v>175</v>
      </c>
      <c r="B37" s="11" t="s">
        <v>176</v>
      </c>
      <c r="C37" s="95">
        <v>1045</v>
      </c>
      <c r="D37" s="92">
        <v>-2.7906976699999999E-2</v>
      </c>
      <c r="E37" s="93">
        <v>5005819.1480334401</v>
      </c>
      <c r="F37" s="35"/>
      <c r="G37" s="56" t="str">
        <f ca="1">IFERROR(OFFSET(INDIRECT($H$3 &amp; "!A98"), 6, 0), "")</f>
        <v>쎄타토큰</v>
      </c>
      <c r="H37" s="39">
        <f t="shared" ca="1" si="7"/>
        <v>10900</v>
      </c>
      <c r="I37" s="77">
        <f t="shared" ca="1" si="8"/>
        <v>7.9207920799999998E-2</v>
      </c>
      <c r="J37" s="86">
        <f t="shared" ca="1" si="13"/>
        <v>15825911.020769199</v>
      </c>
      <c r="K37" s="56" t="str">
        <f ca="1">IFERROR(OFFSET(INDIRECT($H$3 &amp; "!A44"), 6, 0), "")</f>
        <v>룸네트워크</v>
      </c>
      <c r="L37" s="39">
        <f t="shared" ca="1" si="9"/>
        <v>76.8</v>
      </c>
      <c r="M37" s="77">
        <f t="shared" ca="1" si="10"/>
        <v>-5.8823529399999998E-2</v>
      </c>
      <c r="N37" s="86">
        <f t="shared" ca="1" si="14"/>
        <v>38158062.249556549</v>
      </c>
      <c r="O37" s="56" t="str">
        <f ca="1">IFERROR(OFFSET(INDIRECT($H$3 &amp; "!A71"), 6, 0), "")</f>
        <v>피르마체인</v>
      </c>
      <c r="P37" s="39">
        <f t="shared" ca="1" si="11"/>
        <v>115</v>
      </c>
      <c r="Q37" s="77">
        <f t="shared" ca="1" si="12"/>
        <v>-6.5040650399999997E-2</v>
      </c>
      <c r="R37" s="86">
        <f t="shared" ca="1" si="15"/>
        <v>58303805.009496622</v>
      </c>
    </row>
    <row r="38" spans="1:18">
      <c r="A38" s="40" t="s">
        <v>64</v>
      </c>
      <c r="B38" s="11" t="s">
        <v>65</v>
      </c>
      <c r="C38" s="95">
        <v>33.700000000000003</v>
      </c>
      <c r="D38" s="92">
        <v>-2.8818443799999999E-2</v>
      </c>
      <c r="E38" s="93">
        <v>69020150.158631325</v>
      </c>
      <c r="F38" s="35"/>
      <c r="G38" s="56" t="str">
        <f ca="1">IFERROR(OFFSET(INDIRECT($H$3 &amp; "!A98"), 7, 0), "")</f>
        <v>아크</v>
      </c>
      <c r="H38" s="39">
        <f t="shared" ca="1" si="7"/>
        <v>1290</v>
      </c>
      <c r="I38" s="77">
        <f t="shared" ca="1" si="8"/>
        <v>-6.8592057799999995E-2</v>
      </c>
      <c r="J38" s="86">
        <f t="shared" ca="1" si="13"/>
        <v>4494666.4815686103</v>
      </c>
      <c r="K38" s="56" t="str">
        <f ca="1">IFERROR(OFFSET(INDIRECT($H$3 &amp; "!A44"), 7, 0), "")</f>
        <v>아하토큰</v>
      </c>
      <c r="L38" s="39">
        <f t="shared" ca="1" si="9"/>
        <v>10.6</v>
      </c>
      <c r="M38" s="77">
        <f t="shared" ca="1" si="10"/>
        <v>-4.5045044999999999E-2</v>
      </c>
      <c r="N38" s="86">
        <f t="shared" ca="1" si="14"/>
        <v>310249708.01386791</v>
      </c>
      <c r="O38" s="56" t="str">
        <f ca="1">IFERROR(OFFSET(INDIRECT($H$3 &amp; "!A71"), 7, 0), "")</f>
        <v>플레이댑</v>
      </c>
      <c r="P38" s="39">
        <f t="shared" ca="1" si="11"/>
        <v>269</v>
      </c>
      <c r="Q38" s="77">
        <f t="shared" ca="1" si="12"/>
        <v>-6.2717770000000006E-2</v>
      </c>
      <c r="R38" s="86">
        <f t="shared" ca="1" si="15"/>
        <v>10443000.10070858</v>
      </c>
    </row>
    <row r="39" spans="1:18">
      <c r="A39" s="40" t="s">
        <v>95</v>
      </c>
      <c r="B39" s="11" t="s">
        <v>96</v>
      </c>
      <c r="C39" s="95">
        <v>2932000</v>
      </c>
      <c r="D39" s="92">
        <v>-2.94604436E-2</v>
      </c>
      <c r="E39" s="93">
        <v>181075.62554986001</v>
      </c>
      <c r="F39" s="35"/>
      <c r="G39" s="56" t="str">
        <f ca="1">IFERROR(OFFSET(INDIRECT($H$3 &amp; "!A98"), 8, 0), "")</f>
        <v>세럼</v>
      </c>
      <c r="H39" s="39">
        <f t="shared" ca="1" si="7"/>
        <v>4930</v>
      </c>
      <c r="I39" s="77">
        <f t="shared" ca="1" si="8"/>
        <v>-4.8262548299999999E-2</v>
      </c>
      <c r="J39" s="86">
        <f t="shared" ca="1" si="13"/>
        <v>1277550.9919170099</v>
      </c>
      <c r="K39" s="56" t="str">
        <f ca="1">IFERROR(OFFSET(INDIRECT($H$3 &amp; "!A44"), 8, 0), "")</f>
        <v>리퍼리움</v>
      </c>
      <c r="L39" s="39">
        <f t="shared" ca="1" si="9"/>
        <v>12.5</v>
      </c>
      <c r="M39" s="77">
        <f t="shared" ca="1" si="10"/>
        <v>-5.3030303000000001E-2</v>
      </c>
      <c r="N39" s="86">
        <f t="shared" ca="1" si="14"/>
        <v>295836657.56399912</v>
      </c>
      <c r="O39" s="56" t="str">
        <f ca="1">IFERROR(OFFSET(INDIRECT($H$3 &amp; "!A71"), 8, 0), "")</f>
        <v>디마켓</v>
      </c>
      <c r="P39" s="39">
        <f t="shared" ca="1" si="11"/>
        <v>733</v>
      </c>
      <c r="Q39" s="77">
        <f t="shared" ca="1" si="12"/>
        <v>-7.6826196499999999E-2</v>
      </c>
      <c r="R39" s="86">
        <f t="shared" ca="1" si="15"/>
        <v>6389807.0592625001</v>
      </c>
    </row>
    <row r="40" spans="1:18" ht="17.25" thickBot="1">
      <c r="A40" s="40" t="s">
        <v>85</v>
      </c>
      <c r="B40" s="11" t="s">
        <v>86</v>
      </c>
      <c r="C40" s="95">
        <v>5845</v>
      </c>
      <c r="D40" s="92">
        <v>-2.9875518699999999E-2</v>
      </c>
      <c r="E40" s="93">
        <v>16674201.161221189</v>
      </c>
      <c r="F40" s="35"/>
      <c r="G40" s="57" t="str">
        <f ca="1">IFERROR(OFFSET(INDIRECT($H$3 &amp; "!A98"), 9, 0), "")</f>
        <v>톤</v>
      </c>
      <c r="H40" s="37">
        <f t="shared" ca="1" si="7"/>
        <v>8100</v>
      </c>
      <c r="I40" s="79">
        <f t="shared" ca="1" si="8"/>
        <v>-8.6294416200000001E-2</v>
      </c>
      <c r="J40" s="87">
        <f t="shared" ca="1" si="13"/>
        <v>2392419.62167473</v>
      </c>
      <c r="K40" s="57" t="str">
        <f ca="1">IFERROR(OFFSET(INDIRECT($H$3 &amp; "!A44"), 9, 0), "")</f>
        <v>스톰엑스</v>
      </c>
      <c r="L40" s="37">
        <f t="shared" ca="1" si="9"/>
        <v>25.7</v>
      </c>
      <c r="M40" s="79">
        <f t="shared" ca="1" si="10"/>
        <v>-5.8608058599999999E-2</v>
      </c>
      <c r="N40" s="87">
        <f t="shared" ca="1" si="14"/>
        <v>179523276.7337985</v>
      </c>
      <c r="O40" s="57" t="str">
        <f ca="1">IFERROR(OFFSET(INDIRECT($H$3 &amp; "!A71"), 9, 0), "")</f>
        <v>아더</v>
      </c>
      <c r="P40" s="37">
        <f t="shared" ca="1" si="11"/>
        <v>227</v>
      </c>
      <c r="Q40" s="79">
        <f t="shared" ca="1" si="12"/>
        <v>-5.4166666699999998E-2</v>
      </c>
      <c r="R40" s="87">
        <f t="shared" ca="1" si="15"/>
        <v>12695921.396906961</v>
      </c>
    </row>
    <row r="41" spans="1:18">
      <c r="A41" s="40" t="s">
        <v>117</v>
      </c>
      <c r="B41" s="11" t="s">
        <v>118</v>
      </c>
      <c r="C41" s="95">
        <v>4680</v>
      </c>
      <c r="D41" s="92">
        <v>-3.00518135E-2</v>
      </c>
      <c r="E41" s="93">
        <v>942854.38919176999</v>
      </c>
      <c r="F41" s="35"/>
      <c r="G41" s="59" t="str">
        <f ca="1">IFERROR(OFFSET(INDIRECT($H$3 &amp; "!A98"), 10, 0), "")</f>
        <v>엘비알와이크레딧</v>
      </c>
      <c r="H41" s="38">
        <f t="shared" ca="1" si="7"/>
        <v>120</v>
      </c>
      <c r="I41" s="76">
        <f t="shared" ca="1" si="8"/>
        <v>1.6949152499999998E-2</v>
      </c>
      <c r="J41" s="85">
        <f t="shared" ca="1" si="13"/>
        <v>262948803.44518512</v>
      </c>
      <c r="K41" s="55" t="str">
        <f ca="1">IFERROR(OFFSET(INDIRECT($H$3 &amp; "!A44"), 10, 0), "")</f>
        <v>퀴즈톡</v>
      </c>
      <c r="L41" s="38">
        <f t="shared" ca="1" si="9"/>
        <v>44.8</v>
      </c>
      <c r="M41" s="76">
        <f t="shared" ca="1" si="10"/>
        <v>-6.8607068600000001E-2</v>
      </c>
      <c r="N41" s="85">
        <f t="shared" ca="1" si="14"/>
        <v>59090290.715352081</v>
      </c>
      <c r="O41" s="55" t="str">
        <f ca="1">IFERROR(OFFSET(INDIRECT($H$3 &amp; "!A71"), 10, 0), "")</f>
        <v>디카르고</v>
      </c>
      <c r="P41" s="38">
        <f t="shared" ca="1" si="11"/>
        <v>181</v>
      </c>
      <c r="Q41" s="76">
        <f t="shared" ca="1" si="12"/>
        <v>2.84090909E-2</v>
      </c>
      <c r="R41" s="85">
        <f t="shared" ca="1" si="15"/>
        <v>351369008.9338848</v>
      </c>
    </row>
    <row r="42" spans="1:18">
      <c r="A42" s="40" t="s">
        <v>163</v>
      </c>
      <c r="B42" s="11" t="s">
        <v>164</v>
      </c>
      <c r="C42" s="95">
        <v>16020</v>
      </c>
      <c r="D42" s="92">
        <v>-3.0266343800000001E-2</v>
      </c>
      <c r="E42" s="93">
        <v>583984.30099804001</v>
      </c>
      <c r="F42" s="35"/>
      <c r="G42" s="56" t="str">
        <f ca="1">IFERROR(OFFSET(INDIRECT($H$3 &amp; "!A98"), 11, 0), "")</f>
        <v>그로스톨코인</v>
      </c>
      <c r="H42" s="39">
        <f t="shared" ca="1" si="7"/>
        <v>947</v>
      </c>
      <c r="I42" s="77">
        <f t="shared" ca="1" si="8"/>
        <v>-7.6097560999999994E-2</v>
      </c>
      <c r="J42" s="86">
        <f t="shared" ca="1" si="13"/>
        <v>4923800.27323543</v>
      </c>
      <c r="K42" s="56" t="str">
        <f ca="1">IFERROR(OFFSET(INDIRECT($H$3 &amp; "!A44"), 11, 0), "")</f>
        <v>트웰브쉽스</v>
      </c>
      <c r="L42" s="39">
        <f t="shared" ca="1" si="9"/>
        <v>14.8</v>
      </c>
      <c r="M42" s="77">
        <f t="shared" ca="1" si="10"/>
        <v>4.2253521099999997E-2</v>
      </c>
      <c r="N42" s="86">
        <f t="shared" ca="1" si="14"/>
        <v>1041446596.0194943</v>
      </c>
      <c r="O42" s="56" t="str">
        <f ca="1">IFERROR(OFFSET(INDIRECT($H$3 &amp; "!A71"), 11, 0), "")</f>
        <v>스팀</v>
      </c>
      <c r="P42" s="39">
        <f t="shared" ca="1" si="11"/>
        <v>569</v>
      </c>
      <c r="Q42" s="77">
        <f t="shared" ca="1" si="12"/>
        <v>-5.7947019900000001E-2</v>
      </c>
      <c r="R42" s="86">
        <f t="shared" ca="1" si="15"/>
        <v>7625865.4025908196</v>
      </c>
    </row>
    <row r="43" spans="1:18">
      <c r="A43" s="40" t="s">
        <v>89</v>
      </c>
      <c r="B43" s="11" t="s">
        <v>90</v>
      </c>
      <c r="C43" s="95">
        <v>187000</v>
      </c>
      <c r="D43" s="92">
        <v>-3.0334456799999999E-2</v>
      </c>
      <c r="E43" s="93">
        <v>39959.67045387</v>
      </c>
      <c r="F43" s="35"/>
      <c r="G43" s="56" t="str">
        <f ca="1">IFERROR(OFFSET(INDIRECT($H$3 &amp; "!A98"), 12, 0), "")</f>
        <v>파워렛저</v>
      </c>
      <c r="H43" s="39">
        <f t="shared" ca="1" si="7"/>
        <v>279</v>
      </c>
      <c r="I43" s="77">
        <f t="shared" ca="1" si="8"/>
        <v>-8.5245901600000007E-2</v>
      </c>
      <c r="J43" s="86">
        <f t="shared" ca="1" si="13"/>
        <v>16434033.733911449</v>
      </c>
      <c r="K43" s="56" t="str">
        <f ca="1">IFERROR(OFFSET(INDIRECT($H$3 &amp; "!A44"), 12, 0), "")</f>
        <v>람다</v>
      </c>
      <c r="L43" s="39">
        <f t="shared" ca="1" si="9"/>
        <v>46.7</v>
      </c>
      <c r="M43" s="77">
        <f t="shared" ca="1" si="10"/>
        <v>-6.6000000000000003E-2</v>
      </c>
      <c r="N43" s="86">
        <f t="shared" ca="1" si="14"/>
        <v>46382873.574595302</v>
      </c>
      <c r="O43" s="56" t="str">
        <f ca="1">IFERROR(OFFSET(INDIRECT($H$3 &amp; "!A71"), 12, 0), "")</f>
        <v>솔브케어</v>
      </c>
      <c r="P43" s="39">
        <f t="shared" ca="1" si="11"/>
        <v>165</v>
      </c>
      <c r="Q43" s="77">
        <f t="shared" ca="1" si="12"/>
        <v>-5.71428571E-2</v>
      </c>
      <c r="R43" s="86">
        <f t="shared" ca="1" si="15"/>
        <v>35744958.679921873</v>
      </c>
    </row>
    <row r="44" spans="1:18">
      <c r="A44" s="40" t="s">
        <v>151</v>
      </c>
      <c r="B44" s="11" t="s">
        <v>152</v>
      </c>
      <c r="C44" s="95">
        <v>18.600000000000001</v>
      </c>
      <c r="D44" s="92">
        <v>-3.125E-2</v>
      </c>
      <c r="E44" s="93">
        <v>384746644.69631863</v>
      </c>
      <c r="F44" s="35"/>
      <c r="G44" s="56" t="str">
        <f ca="1">IFERROR(OFFSET(INDIRECT($H$3 &amp; "!A98"), 13, 0), "")</f>
        <v>코모도</v>
      </c>
      <c r="H44" s="39">
        <f t="shared" ca="1" si="7"/>
        <v>1620</v>
      </c>
      <c r="I44" s="77">
        <f t="shared" ca="1" si="8"/>
        <v>-7.6923076899999998E-2</v>
      </c>
      <c r="J44" s="86">
        <f t="shared" ca="1" si="13"/>
        <v>2852126.7783236899</v>
      </c>
      <c r="K44" s="56" t="str">
        <f ca="1">IFERROR(OFFSET(INDIRECT($H$3 &amp; "!A44"), 13, 0), "")</f>
        <v>엠블</v>
      </c>
      <c r="L44" s="39">
        <f t="shared" ca="1" si="9"/>
        <v>14.6</v>
      </c>
      <c r="M44" s="77">
        <f t="shared" ca="1" si="10"/>
        <v>-7.5949367099999998E-2</v>
      </c>
      <c r="N44" s="86">
        <f t="shared" ca="1" si="14"/>
        <v>449904039.72546154</v>
      </c>
      <c r="O44" s="56" t="str">
        <f ca="1">IFERROR(OFFSET(INDIRECT($H$3 &amp; "!A71"), 13, 0), "")</f>
        <v>아르고</v>
      </c>
      <c r="P44" s="39">
        <f t="shared" ca="1" si="11"/>
        <v>192</v>
      </c>
      <c r="Q44" s="77">
        <f t="shared" ca="1" si="12"/>
        <v>-4.9504950499999999E-2</v>
      </c>
      <c r="R44" s="86">
        <f t="shared" ca="1" si="15"/>
        <v>19255797.57219898</v>
      </c>
    </row>
    <row r="45" spans="1:18">
      <c r="A45" s="40" t="s">
        <v>87</v>
      </c>
      <c r="B45" s="11" t="s">
        <v>88</v>
      </c>
      <c r="C45" s="95">
        <v>271</v>
      </c>
      <c r="D45" s="92">
        <v>-3.2142857099999998E-2</v>
      </c>
      <c r="E45" s="93">
        <v>37831036.372935779</v>
      </c>
      <c r="F45" s="35"/>
      <c r="G45" s="58" t="str">
        <f ca="1">IFERROR(OFFSET(INDIRECT($H$3 &amp; "!A98"), 14, 0), "")</f>
        <v>스팀달러</v>
      </c>
      <c r="H45" s="44">
        <f t="shared" ca="1" si="7"/>
        <v>8530</v>
      </c>
      <c r="I45" s="78">
        <f t="shared" ca="1" si="8"/>
        <v>-0.11560393989999999</v>
      </c>
      <c r="J45" s="90">
        <f t="shared" ca="1" si="13"/>
        <v>3294138.2802808401</v>
      </c>
      <c r="K45" s="58" t="str">
        <f ca="1">IFERROR(OFFSET(INDIRECT($H$3 &amp; "!A44"), 14, 0), "")</f>
        <v>썸씽</v>
      </c>
      <c r="L45" s="44">
        <f t="shared" ca="1" si="9"/>
        <v>64.099999999999994</v>
      </c>
      <c r="M45" s="78">
        <f t="shared" ca="1" si="10"/>
        <v>-6.9666182899999998E-2</v>
      </c>
      <c r="N45" s="90">
        <f t="shared" ca="1" si="14"/>
        <v>94929331.237177506</v>
      </c>
      <c r="O45" s="58" t="str">
        <f ca="1">IFERROR(OFFSET(INDIRECT($H$3 &amp; "!A71"), 14, 0), "")</f>
        <v>메타디움</v>
      </c>
      <c r="P45" s="44">
        <f t="shared" ca="1" si="11"/>
        <v>108</v>
      </c>
      <c r="Q45" s="78">
        <f t="shared" ca="1" si="12"/>
        <v>-6.0869565200000003E-2</v>
      </c>
      <c r="R45" s="90">
        <f t="shared" ca="1" si="15"/>
        <v>97911722.712875471</v>
      </c>
    </row>
    <row r="46" spans="1:18">
      <c r="A46" s="40" t="s">
        <v>169</v>
      </c>
      <c r="B46" s="11" t="s">
        <v>170</v>
      </c>
      <c r="C46" s="95">
        <v>268</v>
      </c>
      <c r="D46" s="92">
        <v>-3.2490974700000001E-2</v>
      </c>
      <c r="E46" s="93">
        <v>8222654.7781459698</v>
      </c>
      <c r="F46" s="35"/>
      <c r="G46" s="56" t="str">
        <f ca="1">IFERROR(OFFSET(INDIRECT($H$3 &amp; "!A98"), 15, 0), "")</f>
        <v>테조스</v>
      </c>
      <c r="H46" s="39">
        <f t="shared" ca="1" si="7"/>
        <v>3965</v>
      </c>
      <c r="I46" s="77">
        <f t="shared" ca="1" si="8"/>
        <v>-2.2194821199999999E-2</v>
      </c>
      <c r="J46" s="99">
        <f t="shared" ca="1" si="13"/>
        <v>2199011.4866093802</v>
      </c>
      <c r="K46" s="56" t="str">
        <f ca="1">IFERROR(OFFSET(INDIRECT($H$3 &amp; "!A44"), 15, 0), "")</f>
        <v>메디블록</v>
      </c>
      <c r="L46" s="39">
        <f t="shared" ca="1" si="9"/>
        <v>67.2</v>
      </c>
      <c r="M46" s="77">
        <f t="shared" ca="1" si="10"/>
        <v>-6.9252077600000003E-2</v>
      </c>
      <c r="N46" s="99">
        <f t="shared" ca="1" si="14"/>
        <v>210026683.98638946</v>
      </c>
      <c r="O46" s="56" t="str">
        <f ca="1">IFERROR(OFFSET(INDIRECT($H$3 &amp; "!A71"), 15, 0), "")</f>
        <v>크립토닷컴체인</v>
      </c>
      <c r="P46" s="39">
        <f t="shared" ca="1" si="11"/>
        <v>133</v>
      </c>
      <c r="Q46" s="77">
        <f t="shared" ca="1" si="12"/>
        <v>0</v>
      </c>
      <c r="R46" s="99">
        <f t="shared" ca="1" si="15"/>
        <v>26587282.921489261</v>
      </c>
    </row>
    <row r="47" spans="1:18">
      <c r="A47" s="40" t="s">
        <v>103</v>
      </c>
      <c r="B47" s="11" t="s">
        <v>104</v>
      </c>
      <c r="C47" s="95">
        <v>1110</v>
      </c>
      <c r="D47" s="92">
        <v>-3.4782608700000002E-2</v>
      </c>
      <c r="E47" s="93">
        <v>7170593.6401303103</v>
      </c>
      <c r="F47" s="35"/>
      <c r="G47" s="56" t="str">
        <f ca="1">IFERROR(OFFSET(INDIRECT($H$3 &amp; "!A98"), 16, 0), "")</f>
        <v>엔도르</v>
      </c>
      <c r="H47" s="39">
        <f t="shared" ca="1" si="7"/>
        <v>54.5</v>
      </c>
      <c r="I47" s="77">
        <f t="shared" ca="1" si="8"/>
        <v>6.4453125E-2</v>
      </c>
      <c r="J47" s="86">
        <f t="shared" ca="1" si="13"/>
        <v>652666614.7968694</v>
      </c>
      <c r="K47" s="56" t="str">
        <f ca="1">IFERROR(OFFSET(INDIRECT($H$3 &amp; "!A44"), 16, 0), "")</f>
        <v>트론</v>
      </c>
      <c r="L47" s="39">
        <f t="shared" ca="1" si="9"/>
        <v>82.9</v>
      </c>
      <c r="M47" s="77">
        <f t="shared" ca="1" si="10"/>
        <v>-3.6057692000000001E-3</v>
      </c>
      <c r="N47" s="86">
        <f t="shared" ca="1" si="14"/>
        <v>214705385.60435784</v>
      </c>
      <c r="O47" s="56" t="str">
        <f ca="1">IFERROR(OFFSET(INDIRECT($H$3 &amp; "!A71"), 16, 0), "")</f>
        <v>질리카</v>
      </c>
      <c r="P47" s="39">
        <f t="shared" ca="1" si="11"/>
        <v>126</v>
      </c>
      <c r="Q47" s="77">
        <f t="shared" ca="1" si="12"/>
        <v>-2.3255814E-2</v>
      </c>
      <c r="R47" s="86">
        <f t="shared" ca="1" si="15"/>
        <v>33001690.316377722</v>
      </c>
    </row>
    <row r="48" spans="1:18">
      <c r="A48" s="40" t="s">
        <v>56</v>
      </c>
      <c r="B48" s="11" t="s">
        <v>57</v>
      </c>
      <c r="C48" s="95">
        <v>192</v>
      </c>
      <c r="D48" s="92">
        <v>-3.5175879399999999E-2</v>
      </c>
      <c r="E48" s="93">
        <v>51704737.979202583</v>
      </c>
      <c r="F48" s="35"/>
      <c r="G48" s="56" t="str">
        <f ca="1">IFERROR(OFFSET(INDIRECT($H$3 &amp; "!A98"), 17, 0), "")</f>
        <v>아인스타이늄</v>
      </c>
      <c r="H48" s="39">
        <f t="shared" ca="1" si="7"/>
        <v>291</v>
      </c>
      <c r="I48" s="77">
        <f t="shared" ca="1" si="8"/>
        <v>-7.0287539900000001E-2</v>
      </c>
      <c r="J48" s="86">
        <f t="shared" ca="1" si="13"/>
        <v>18794493.293750688</v>
      </c>
      <c r="K48" s="56" t="str">
        <f ca="1">IFERROR(OFFSET(INDIRECT($H$3 &amp; "!A44"), 17, 0), "")</f>
        <v>저스트</v>
      </c>
      <c r="L48" s="39">
        <f t="shared" ca="1" si="9"/>
        <v>74.2</v>
      </c>
      <c r="M48" s="77">
        <f t="shared" ca="1" si="10"/>
        <v>-1.19840213E-2</v>
      </c>
      <c r="N48" s="86">
        <f t="shared" ca="1" si="14"/>
        <v>71034274.226406783</v>
      </c>
      <c r="O48" s="56" t="str">
        <f ca="1">IFERROR(OFFSET(INDIRECT($H$3 &amp; "!A71"), 17, 0), "")</f>
        <v>왁스</v>
      </c>
      <c r="P48" s="39">
        <f t="shared" ca="1" si="11"/>
        <v>158</v>
      </c>
      <c r="Q48" s="77">
        <f t="shared" ca="1" si="12"/>
        <v>-7.6023391800000006E-2</v>
      </c>
      <c r="R48" s="86">
        <f t="shared" ca="1" si="15"/>
        <v>16788254.919228781</v>
      </c>
    </row>
    <row r="49" spans="1:18">
      <c r="A49" s="40" t="s">
        <v>231</v>
      </c>
      <c r="B49" s="11" t="s">
        <v>232</v>
      </c>
      <c r="C49" s="95">
        <v>109</v>
      </c>
      <c r="D49" s="92">
        <v>-3.5398230099999997E-2</v>
      </c>
      <c r="E49" s="93">
        <v>116014363.15031163</v>
      </c>
      <c r="F49" s="35"/>
      <c r="G49" s="56" t="str">
        <f ca="1">IFERROR(OFFSET(INDIRECT($H$3 &amp; "!A98"), 18, 0), "")</f>
        <v>리스크</v>
      </c>
      <c r="H49" s="39">
        <f t="shared" ca="1" si="7"/>
        <v>3585</v>
      </c>
      <c r="I49" s="77">
        <f t="shared" ca="1" si="8"/>
        <v>-4.7808764900000002E-2</v>
      </c>
      <c r="J49" s="86">
        <f t="shared" ca="1" si="13"/>
        <v>1429588.5337815499</v>
      </c>
      <c r="K49" s="56" t="str">
        <f ca="1">IFERROR(OFFSET(INDIRECT($H$3 &amp; "!A44"), 18, 0), "")</f>
        <v>캐리프로토콜</v>
      </c>
      <c r="L49" s="39">
        <f t="shared" ca="1" si="9"/>
        <v>10.5</v>
      </c>
      <c r="M49" s="77">
        <f t="shared" ca="1" si="10"/>
        <v>-2.77777778E-2</v>
      </c>
      <c r="N49" s="86">
        <f t="shared" ca="1" si="14"/>
        <v>757778428.68851018</v>
      </c>
      <c r="O49" s="56" t="str">
        <f ca="1">IFERROR(OFFSET(INDIRECT($H$3 &amp; "!A71"), 18, 0), "")</f>
        <v>베이직어텐션토큰</v>
      </c>
      <c r="P49" s="39">
        <f t="shared" ca="1" si="11"/>
        <v>790</v>
      </c>
      <c r="Q49" s="77">
        <f t="shared" ca="1" si="12"/>
        <v>-2.10656753E-2</v>
      </c>
      <c r="R49" s="86">
        <f t="shared" ca="1" si="15"/>
        <v>3886081.7660828698</v>
      </c>
    </row>
    <row r="50" spans="1:18" ht="17.25" thickBot="1">
      <c r="A50" s="40" t="s">
        <v>105</v>
      </c>
      <c r="B50" s="11" t="s">
        <v>106</v>
      </c>
      <c r="C50" s="95">
        <v>1070</v>
      </c>
      <c r="D50" s="92">
        <v>-3.6036036E-2</v>
      </c>
      <c r="E50" s="93">
        <v>1786874.8293155599</v>
      </c>
      <c r="F50" s="35"/>
      <c r="G50" s="57" t="str">
        <f ca="1">IFERROR(OFFSET(INDIRECT($H$3 &amp; "!A98"), 19, 0), "")</f>
        <v>피르마체인</v>
      </c>
      <c r="H50" s="37">
        <f t="shared" ca="1" si="7"/>
        <v>115</v>
      </c>
      <c r="I50" s="79">
        <f t="shared" ca="1" si="8"/>
        <v>-6.5040650399999997E-2</v>
      </c>
      <c r="J50" s="87">
        <f t="shared" ca="1" si="13"/>
        <v>58303805.009496622</v>
      </c>
      <c r="K50" s="57" t="str">
        <f ca="1">IFERROR(OFFSET(INDIRECT($H$3 &amp; "!A44"), 19, 0), "")</f>
        <v>시아코인</v>
      </c>
      <c r="L50" s="37">
        <f t="shared" ca="1" si="9"/>
        <v>18.600000000000001</v>
      </c>
      <c r="M50" s="79">
        <f t="shared" ca="1" si="10"/>
        <v>-3.125E-2</v>
      </c>
      <c r="N50" s="87">
        <f t="shared" ca="1" si="14"/>
        <v>384746644.69631863</v>
      </c>
      <c r="O50" s="57" t="str">
        <f ca="1">IFERROR(OFFSET(INDIRECT($H$3 &amp; "!A71"), 19, 0), "")</f>
        <v>스테이터스네트워크토큰</v>
      </c>
      <c r="P50" s="37">
        <f t="shared" ca="1" si="11"/>
        <v>94</v>
      </c>
      <c r="Q50" s="79">
        <f t="shared" ca="1" si="12"/>
        <v>-5.2419354799999998E-2</v>
      </c>
      <c r="R50" s="87">
        <f t="shared" ca="1" si="15"/>
        <v>160909126.75667223</v>
      </c>
    </row>
    <row r="51" spans="1:18">
      <c r="A51" s="40" t="s">
        <v>109</v>
      </c>
      <c r="B51" s="11" t="s">
        <v>110</v>
      </c>
      <c r="C51" s="95">
        <v>1165</v>
      </c>
      <c r="D51" s="92">
        <v>-3.71900826E-2</v>
      </c>
      <c r="E51" s="93">
        <v>2008373.6347094299</v>
      </c>
      <c r="F51" s="35"/>
    </row>
    <row r="52" spans="1:18" ht="17.25" thickBot="1">
      <c r="A52" s="40" t="s">
        <v>131</v>
      </c>
      <c r="B52" s="11" t="s">
        <v>132</v>
      </c>
      <c r="C52" s="95">
        <v>129</v>
      </c>
      <c r="D52" s="92">
        <v>-3.7313432799999997E-2</v>
      </c>
      <c r="E52" s="93">
        <v>1446909911.446661</v>
      </c>
      <c r="F52" s="35"/>
    </row>
    <row r="53" spans="1:18" ht="17.25" thickBot="1">
      <c r="A53" s="40" t="s">
        <v>243</v>
      </c>
      <c r="B53" s="11" t="s">
        <v>244</v>
      </c>
      <c r="C53" s="95">
        <v>1650</v>
      </c>
      <c r="D53" s="92">
        <v>-3.7900874600000002E-2</v>
      </c>
      <c r="E53" s="93">
        <v>4348561.3329651104</v>
      </c>
      <c r="F53" s="35"/>
      <c r="G53" s="192" t="s">
        <v>285</v>
      </c>
      <c r="H53" s="193"/>
      <c r="I53" s="193"/>
      <c r="J53" s="194"/>
      <c r="K53" s="192" t="s">
        <v>288</v>
      </c>
      <c r="L53" s="193"/>
      <c r="M53" s="193"/>
      <c r="N53" s="194"/>
      <c r="O53" s="192" t="s">
        <v>289</v>
      </c>
      <c r="P53" s="193"/>
      <c r="Q53" s="193"/>
      <c r="R53" s="194"/>
    </row>
    <row r="54" spans="1:18" ht="17.25" thickBot="1">
      <c r="A54" s="40" t="s">
        <v>101</v>
      </c>
      <c r="B54" s="11" t="s">
        <v>102</v>
      </c>
      <c r="C54" s="95">
        <v>64900</v>
      </c>
      <c r="D54" s="92">
        <v>-3.9656703199999997E-2</v>
      </c>
      <c r="E54" s="93">
        <v>3547421.5364012802</v>
      </c>
      <c r="F54" s="35"/>
      <c r="G54" s="257" t="s">
        <v>55</v>
      </c>
      <c r="H54" s="269">
        <f ca="1">NOW()</f>
        <v>44355.875786458331</v>
      </c>
      <c r="I54" s="270"/>
      <c r="J54" s="271"/>
      <c r="K54" s="260" t="s">
        <v>55</v>
      </c>
      <c r="L54" s="269">
        <f ca="1">NOW()</f>
        <v>44355.875786458331</v>
      </c>
      <c r="M54" s="270"/>
      <c r="N54" s="271"/>
      <c r="O54" s="260" t="s">
        <v>55</v>
      </c>
      <c r="P54" s="269">
        <f ca="1">NOW()</f>
        <v>44355.875786458331</v>
      </c>
      <c r="Q54" s="270"/>
      <c r="R54" s="271"/>
    </row>
    <row r="55" spans="1:18" ht="17.25" thickBot="1">
      <c r="A55" s="40" t="s">
        <v>187</v>
      </c>
      <c r="B55" s="11" t="s">
        <v>188</v>
      </c>
      <c r="C55" s="95">
        <v>10820</v>
      </c>
      <c r="D55" s="92">
        <v>-4.0780141800000003E-2</v>
      </c>
      <c r="E55" s="93">
        <v>3398426.6318455399</v>
      </c>
      <c r="F55" s="35"/>
      <c r="G55" s="254"/>
      <c r="H55" s="36" t="s">
        <v>58</v>
      </c>
      <c r="I55" s="73" t="s">
        <v>59</v>
      </c>
      <c r="J55" s="69" t="s">
        <v>294</v>
      </c>
      <c r="K55" s="254"/>
      <c r="L55" s="36" t="s">
        <v>58</v>
      </c>
      <c r="M55" s="73" t="s">
        <v>59</v>
      </c>
      <c r="N55" s="69" t="s">
        <v>294</v>
      </c>
      <c r="O55" s="254"/>
      <c r="P55" s="36" t="s">
        <v>58</v>
      </c>
      <c r="Q55" s="73" t="s">
        <v>59</v>
      </c>
      <c r="R55" s="69" t="s">
        <v>294</v>
      </c>
    </row>
    <row r="56" spans="1:18">
      <c r="A56" s="40" t="s">
        <v>269</v>
      </c>
      <c r="B56" s="11" t="s">
        <v>270</v>
      </c>
      <c r="C56" s="95">
        <v>324</v>
      </c>
      <c r="D56" s="92">
        <v>-4.1420118300000003E-2</v>
      </c>
      <c r="E56" s="93">
        <v>2843170.7922390602</v>
      </c>
      <c r="F56" s="35"/>
      <c r="G56" s="55" t="str">
        <f ca="1">IFERROR(OFFSET(INDIRECT($H$3 &amp; "!A179"), 0, 0), "")</f>
        <v>비트토렌트</v>
      </c>
      <c r="H56" s="38">
        <f t="shared" ref="H56:H65" ca="1" si="16">_xlfn.IFNA(VLOOKUP(G56, $B$2:$D$200, 2, FALSE), "")</f>
        <v>4.28</v>
      </c>
      <c r="I56" s="76">
        <f t="shared" ref="I56:I65" ca="1" si="17">_xlfn.IFNA(VLOOKUP(G56, $B$2:$D$200, 3, FALSE), "")</f>
        <v>1.42180095E-2</v>
      </c>
      <c r="J56" s="85">
        <f ca="1">_xlfn.IFNA(VLOOKUP(G56, $B$2:$E$200, 4, FALSE), "")</f>
        <v>24304805753.980038</v>
      </c>
      <c r="K56" s="55" t="str">
        <f ca="1">IFERROR(OFFSET(INDIRECT($H$3 &amp; "!A125"), 0, 0), "")</f>
        <v>룸네트워크</v>
      </c>
      <c r="L56" s="38">
        <f t="shared" ref="L56:L75" ca="1" si="18">_xlfn.IFNA(VLOOKUP(K56, $B$2:$D$200, 2, FALSE), "")</f>
        <v>76.8</v>
      </c>
      <c r="M56" s="76">
        <f t="shared" ref="M56:M75" ca="1" si="19">_xlfn.IFNA(VLOOKUP(K56, $B$2:$D$200, 3, FALSE), "")</f>
        <v>-5.8823529399999998E-2</v>
      </c>
      <c r="N56" s="85">
        <f ca="1">_xlfn.IFNA(VLOOKUP(K56, $B$2:$E$200, 4, FALSE), "")</f>
        <v>38158062.249556549</v>
      </c>
      <c r="O56" s="55" t="str">
        <f ca="1">IFERROR(OFFSET(INDIRECT($H$3 &amp; "!A152"), 0, 0), "")</f>
        <v>스테이터스네트워크토큰</v>
      </c>
      <c r="P56" s="38">
        <f t="shared" ref="P56:P75" ca="1" si="20">_xlfn.IFNA(VLOOKUP(O56, $B$2:$D$200, 2, FALSE), "")</f>
        <v>94</v>
      </c>
      <c r="Q56" s="76">
        <f t="shared" ref="Q56:Q75" ca="1" si="21">_xlfn.IFNA(VLOOKUP(O56, $B$2:$D$200, 3, FALSE), "")</f>
        <v>-5.2419354799999998E-2</v>
      </c>
      <c r="R56" s="85">
        <f ca="1">_xlfn.IFNA(VLOOKUP(O56, $B$2:$E$200, 4, FALSE), "")</f>
        <v>160909126.75667223</v>
      </c>
    </row>
    <row r="57" spans="1:18">
      <c r="A57" s="40" t="s">
        <v>165</v>
      </c>
      <c r="B57" s="11" t="s">
        <v>166</v>
      </c>
      <c r="C57" s="95">
        <v>1145</v>
      </c>
      <c r="D57" s="92">
        <v>-4.1841004199999997E-2</v>
      </c>
      <c r="E57" s="93">
        <v>1924446.7462842001</v>
      </c>
      <c r="F57" s="35"/>
      <c r="G57" s="56" t="str">
        <f ca="1">IFERROR(OFFSET(INDIRECT($H$3 &amp; "!A179"), 1, 0), "")</f>
        <v>비체인</v>
      </c>
      <c r="H57" s="39">
        <f t="shared" ca="1" si="16"/>
        <v>129</v>
      </c>
      <c r="I57" s="77">
        <f t="shared" ca="1" si="17"/>
        <v>-3.7313432799999997E-2</v>
      </c>
      <c r="J57" s="86">
        <f t="shared" ref="J57:J75" ca="1" si="22">_xlfn.IFNA(VLOOKUP(G57, $B$2:$E$200, 4, FALSE), "")</f>
        <v>1446909911.446661</v>
      </c>
      <c r="K57" s="56" t="str">
        <f ca="1">IFERROR(OFFSET(INDIRECT($H$3 &amp; "!A125"), 1, 0), "")</f>
        <v>아하토큰</v>
      </c>
      <c r="L57" s="39">
        <f t="shared" ca="1" si="18"/>
        <v>10.6</v>
      </c>
      <c r="M57" s="77">
        <f t="shared" ca="1" si="19"/>
        <v>-4.5045044999999999E-2</v>
      </c>
      <c r="N57" s="86">
        <f t="shared" ref="N57:N75" ca="1" si="23">_xlfn.IFNA(VLOOKUP(K57, $B$2:$E$200, 4, FALSE), "")</f>
        <v>310249708.01386791</v>
      </c>
      <c r="O57" s="56" t="str">
        <f ca="1">IFERROR(OFFSET(INDIRECT($H$3 &amp; "!A152"), 1, 0), "")</f>
        <v>시빅</v>
      </c>
      <c r="P57" s="39">
        <f t="shared" ca="1" si="20"/>
        <v>329</v>
      </c>
      <c r="Q57" s="77">
        <f t="shared" ca="1" si="21"/>
        <v>-4.3604651199999997E-2</v>
      </c>
      <c r="R57" s="86">
        <f t="shared" ref="R57:R75" ca="1" si="24">_xlfn.IFNA(VLOOKUP(O57, $B$2:$E$200, 4, FALSE), "")</f>
        <v>7344125.3611464696</v>
      </c>
    </row>
    <row r="58" spans="1:18">
      <c r="A58" s="40" t="s">
        <v>127</v>
      </c>
      <c r="B58" s="11" t="s">
        <v>128</v>
      </c>
      <c r="C58" s="95">
        <v>329</v>
      </c>
      <c r="D58" s="92">
        <v>-4.3604651199999997E-2</v>
      </c>
      <c r="E58" s="93">
        <v>7344125.3611464696</v>
      </c>
      <c r="F58" s="35"/>
      <c r="G58" s="56" t="str">
        <f ca="1">IFERROR(OFFSET(INDIRECT($H$3 &amp; "!A179"), 2, 0), "")</f>
        <v>이오스</v>
      </c>
      <c r="H58" s="39">
        <f t="shared" ca="1" si="16"/>
        <v>5845</v>
      </c>
      <c r="I58" s="77">
        <f t="shared" ca="1" si="17"/>
        <v>-2.9875518699999999E-2</v>
      </c>
      <c r="J58" s="86">
        <f t="shared" ca="1" si="22"/>
        <v>16674201.161221189</v>
      </c>
      <c r="K58" s="56" t="str">
        <f ca="1">IFERROR(OFFSET(INDIRECT($H$3 &amp; "!A125"), 2, 0), "")</f>
        <v>리퍼리움</v>
      </c>
      <c r="L58" s="39">
        <f t="shared" ca="1" si="18"/>
        <v>12.5</v>
      </c>
      <c r="M58" s="77">
        <f t="shared" ca="1" si="19"/>
        <v>-5.3030303000000001E-2</v>
      </c>
      <c r="N58" s="86">
        <f t="shared" ca="1" si="23"/>
        <v>295836657.56399912</v>
      </c>
      <c r="O58" s="56" t="str">
        <f ca="1">IFERROR(OFFSET(INDIRECT($H$3 &amp; "!A152"), 2, 0), "")</f>
        <v>센티넬프로토콜</v>
      </c>
      <c r="P58" s="39">
        <f t="shared" ca="1" si="20"/>
        <v>109</v>
      </c>
      <c r="Q58" s="77">
        <f t="shared" ca="1" si="21"/>
        <v>-3.5398230099999997E-2</v>
      </c>
      <c r="R58" s="86">
        <f t="shared" ca="1" si="24"/>
        <v>116014363.15031163</v>
      </c>
    </row>
    <row r="59" spans="1:18">
      <c r="A59" s="40" t="s">
        <v>115</v>
      </c>
      <c r="B59" s="11" t="s">
        <v>116</v>
      </c>
      <c r="C59" s="95">
        <v>328</v>
      </c>
      <c r="D59" s="92">
        <v>-4.3731778399999997E-2</v>
      </c>
      <c r="E59" s="93">
        <v>21463391.49753141</v>
      </c>
      <c r="F59" s="35"/>
      <c r="G59" s="56" t="str">
        <f ca="1">IFERROR(OFFSET(INDIRECT($H$3 &amp; "!A179"), 3, 0), "")</f>
        <v>샌드박스</v>
      </c>
      <c r="H59" s="39">
        <f t="shared" ca="1" si="16"/>
        <v>328</v>
      </c>
      <c r="I59" s="77">
        <f t="shared" ca="1" si="17"/>
        <v>-4.3731778399999997E-2</v>
      </c>
      <c r="J59" s="86">
        <f t="shared" ca="1" si="22"/>
        <v>21463391.49753141</v>
      </c>
      <c r="K59" s="56" t="str">
        <f ca="1">IFERROR(OFFSET(INDIRECT($H$3 &amp; "!A125"), 3, 0), "")</f>
        <v>스톰엑스</v>
      </c>
      <c r="L59" s="39">
        <f t="shared" ca="1" si="18"/>
        <v>25.7</v>
      </c>
      <c r="M59" s="77">
        <f t="shared" ca="1" si="19"/>
        <v>-5.8608058599999999E-2</v>
      </c>
      <c r="N59" s="86">
        <f t="shared" ca="1" si="23"/>
        <v>179523276.7337985</v>
      </c>
      <c r="O59" s="56" t="str">
        <f ca="1">IFERROR(OFFSET(INDIRECT($H$3 &amp; "!A152"), 3, 0), "")</f>
        <v>엘프</v>
      </c>
      <c r="P59" s="39">
        <f t="shared" ca="1" si="20"/>
        <v>268</v>
      </c>
      <c r="Q59" s="77">
        <f t="shared" ca="1" si="21"/>
        <v>-3.2490974700000001E-2</v>
      </c>
      <c r="R59" s="86">
        <f t="shared" ca="1" si="24"/>
        <v>8222654.7781459698</v>
      </c>
    </row>
    <row r="60" spans="1:18">
      <c r="A60" s="40" t="s">
        <v>177</v>
      </c>
      <c r="B60" s="11" t="s">
        <v>178</v>
      </c>
      <c r="C60" s="95">
        <v>24600</v>
      </c>
      <c r="D60" s="92">
        <v>-4.3917605899999997E-2</v>
      </c>
      <c r="E60" s="93">
        <v>179903.06422795</v>
      </c>
      <c r="F60" s="35"/>
      <c r="G60" s="56" t="str">
        <f ca="1">IFERROR(OFFSET(INDIRECT($H$3 &amp; "!A179"), 4, 0), "")</f>
        <v>픽셀</v>
      </c>
      <c r="H60" s="39">
        <f t="shared" ca="1" si="16"/>
        <v>58.2</v>
      </c>
      <c r="I60" s="77">
        <f t="shared" ca="1" si="17"/>
        <v>-7.1770334899999996E-2</v>
      </c>
      <c r="J60" s="90">
        <f t="shared" ca="1" si="22"/>
        <v>55874318.799938492</v>
      </c>
      <c r="K60" s="58" t="str">
        <f ca="1">IFERROR(OFFSET(INDIRECT($H$3 &amp; "!A125"), 4, 0), "")</f>
        <v>퀴즈톡</v>
      </c>
      <c r="L60" s="44">
        <f t="shared" ca="1" si="18"/>
        <v>44.8</v>
      </c>
      <c r="M60" s="78">
        <f t="shared" ca="1" si="19"/>
        <v>-6.8607068600000001E-2</v>
      </c>
      <c r="N60" s="90">
        <f t="shared" ca="1" si="23"/>
        <v>59090290.715352081</v>
      </c>
      <c r="O60" s="58" t="str">
        <f ca="1">IFERROR(OFFSET(INDIRECT($H$3 &amp; "!A152"), 4, 0), "")</f>
        <v>헌트</v>
      </c>
      <c r="P60" s="44">
        <f t="shared" ca="1" si="20"/>
        <v>274</v>
      </c>
      <c r="Q60" s="78">
        <f t="shared" ca="1" si="21"/>
        <v>-8.0536912799999999E-2</v>
      </c>
      <c r="R60" s="90">
        <f t="shared" ca="1" si="24"/>
        <v>19754500.732805539</v>
      </c>
    </row>
    <row r="61" spans="1:18">
      <c r="A61" s="40" t="s">
        <v>60</v>
      </c>
      <c r="B61" s="11" t="s">
        <v>61</v>
      </c>
      <c r="C61" s="95">
        <v>825</v>
      </c>
      <c r="D61" s="92">
        <v>-4.4032445000000003E-2</v>
      </c>
      <c r="E61" s="93">
        <v>23755070.792865299</v>
      </c>
      <c r="F61" s="35"/>
      <c r="G61" s="60" t="str">
        <f ca="1">IFERROR(OFFSET(INDIRECT($H$3 &amp; "!A179"), 5, 0), "")</f>
        <v>애드엑스</v>
      </c>
      <c r="H61" s="45">
        <f t="shared" ca="1" si="16"/>
        <v>949</v>
      </c>
      <c r="I61" s="80">
        <f t="shared" ca="1" si="17"/>
        <v>-5.5721393000000001E-2</v>
      </c>
      <c r="J61" s="99">
        <f t="shared" ca="1" si="22"/>
        <v>4254836.5747307697</v>
      </c>
      <c r="K61" s="56" t="str">
        <f ca="1">IFERROR(OFFSET(INDIRECT($H$3 &amp; "!A125"), 5, 0), "")</f>
        <v>트웰브쉽스</v>
      </c>
      <c r="L61" s="39">
        <f t="shared" ca="1" si="18"/>
        <v>14.8</v>
      </c>
      <c r="M61" s="77">
        <f t="shared" ca="1" si="19"/>
        <v>4.2253521099999997E-2</v>
      </c>
      <c r="N61" s="99">
        <f t="shared" ca="1" si="23"/>
        <v>1041446596.0194943</v>
      </c>
      <c r="O61" s="56" t="str">
        <f ca="1">IFERROR(OFFSET(INDIRECT($H$3 &amp; "!A152"), 5, 0), "")</f>
        <v>넴</v>
      </c>
      <c r="P61" s="39">
        <f t="shared" ca="1" si="20"/>
        <v>192</v>
      </c>
      <c r="Q61" s="77">
        <f t="shared" ca="1" si="21"/>
        <v>-3.5175879399999999E-2</v>
      </c>
      <c r="R61" s="99">
        <f t="shared" ca="1" si="24"/>
        <v>51704737.979202583</v>
      </c>
    </row>
    <row r="62" spans="1:18">
      <c r="A62" s="40" t="s">
        <v>62</v>
      </c>
      <c r="B62" s="11" t="s">
        <v>63</v>
      </c>
      <c r="C62" s="95">
        <v>56850</v>
      </c>
      <c r="D62" s="92">
        <v>-4.4216543400000002E-2</v>
      </c>
      <c r="E62" s="93">
        <v>452886.84662457998</v>
      </c>
      <c r="F62" s="35"/>
      <c r="G62" s="56" t="str">
        <f ca="1">IFERROR(OFFSET(INDIRECT($H$3 &amp; "!A179"), 6, 0), "")</f>
        <v>디센트럴랜드</v>
      </c>
      <c r="H62" s="39">
        <f t="shared" ca="1" si="16"/>
        <v>825</v>
      </c>
      <c r="I62" s="77">
        <f t="shared" ca="1" si="17"/>
        <v>-4.4032445000000003E-2</v>
      </c>
      <c r="J62" s="86">
        <f t="shared" ca="1" si="22"/>
        <v>23755070.792865299</v>
      </c>
      <c r="K62" s="56" t="str">
        <f ca="1">IFERROR(OFFSET(INDIRECT($H$3 &amp; "!A125"), 6, 0), "")</f>
        <v>람다</v>
      </c>
      <c r="L62" s="39">
        <f t="shared" ca="1" si="18"/>
        <v>46.7</v>
      </c>
      <c r="M62" s="77">
        <f t="shared" ca="1" si="19"/>
        <v>-6.6000000000000003E-2</v>
      </c>
      <c r="N62" s="86">
        <f t="shared" ca="1" si="23"/>
        <v>46382873.574595302</v>
      </c>
      <c r="O62" s="56" t="str">
        <f ca="1">IFERROR(OFFSET(INDIRECT($H$3 &amp; "!A152"), 6, 0), "")</f>
        <v>하이브</v>
      </c>
      <c r="P62" s="39">
        <f t="shared" ca="1" si="20"/>
        <v>432</v>
      </c>
      <c r="Q62" s="77">
        <f t="shared" ca="1" si="21"/>
        <v>-6.0869565200000003E-2</v>
      </c>
      <c r="R62" s="86">
        <f t="shared" ca="1" si="24"/>
        <v>6035459.0462828698</v>
      </c>
    </row>
    <row r="63" spans="1:18">
      <c r="A63" s="40" t="s">
        <v>157</v>
      </c>
      <c r="B63" s="11" t="s">
        <v>158</v>
      </c>
      <c r="C63" s="95">
        <v>4480</v>
      </c>
      <c r="D63" s="92">
        <v>-4.4776119400000002E-2</v>
      </c>
      <c r="E63" s="93">
        <v>791493.07109096996</v>
      </c>
      <c r="F63" s="35"/>
      <c r="G63" s="56" t="str">
        <f ca="1">IFERROR(OFFSET(INDIRECT($H$3 &amp; "!A179"), 7, 0), "")</f>
        <v>이더리움클래식</v>
      </c>
      <c r="H63" s="39">
        <f t="shared" ca="1" si="16"/>
        <v>64900</v>
      </c>
      <c r="I63" s="77">
        <f t="shared" ca="1" si="17"/>
        <v>-3.9656703199999997E-2</v>
      </c>
      <c r="J63" s="86">
        <f t="shared" ca="1" si="22"/>
        <v>3547421.5364012802</v>
      </c>
      <c r="K63" s="56" t="str">
        <f ca="1">IFERROR(OFFSET(INDIRECT($H$3 &amp; "!A125"), 7, 0), "")</f>
        <v>엠블</v>
      </c>
      <c r="L63" s="39">
        <f t="shared" ca="1" si="18"/>
        <v>14.6</v>
      </c>
      <c r="M63" s="77">
        <f t="shared" ca="1" si="19"/>
        <v>-7.5949367099999998E-2</v>
      </c>
      <c r="N63" s="86">
        <f t="shared" ca="1" si="23"/>
        <v>449904039.72546154</v>
      </c>
      <c r="O63" s="56" t="str">
        <f ca="1">IFERROR(OFFSET(INDIRECT($H$3 &amp; "!A152"), 7, 0), "")</f>
        <v>마로</v>
      </c>
      <c r="P63" s="39">
        <f t="shared" ca="1" si="20"/>
        <v>274</v>
      </c>
      <c r="Q63" s="77">
        <f t="shared" ca="1" si="21"/>
        <v>-8.0536912799999999E-2</v>
      </c>
      <c r="R63" s="86">
        <f t="shared" ca="1" si="24"/>
        <v>41339390.692333519</v>
      </c>
    </row>
    <row r="64" spans="1:18">
      <c r="A64" s="40" t="s">
        <v>221</v>
      </c>
      <c r="B64" s="11" t="s">
        <v>222</v>
      </c>
      <c r="C64" s="95">
        <v>10.6</v>
      </c>
      <c r="D64" s="92">
        <v>-4.5045044999999999E-2</v>
      </c>
      <c r="E64" s="93">
        <v>310249708.01386791</v>
      </c>
      <c r="F64" s="35"/>
      <c r="G64" s="56" t="str">
        <f ca="1">IFERROR(OFFSET(INDIRECT($H$3 &amp; "!A179"), 8, 0), "")</f>
        <v>헤데라해시그래프</v>
      </c>
      <c r="H64" s="39">
        <f t="shared" ca="1" si="16"/>
        <v>247</v>
      </c>
      <c r="I64" s="77">
        <f t="shared" ca="1" si="17"/>
        <v>2.0661156999999999E-2</v>
      </c>
      <c r="J64" s="86">
        <f t="shared" ca="1" si="22"/>
        <v>45549881.753477141</v>
      </c>
      <c r="K64" s="56" t="str">
        <f ca="1">IFERROR(OFFSET(INDIRECT($H$3 &amp; "!A125"), 8, 0), "")</f>
        <v>썸씽</v>
      </c>
      <c r="L64" s="39">
        <f t="shared" ca="1" si="18"/>
        <v>64.099999999999994</v>
      </c>
      <c r="M64" s="77">
        <f t="shared" ca="1" si="19"/>
        <v>-6.9666182899999998E-2</v>
      </c>
      <c r="N64" s="86">
        <f t="shared" ca="1" si="23"/>
        <v>94929331.237177506</v>
      </c>
      <c r="O64" s="56" t="str">
        <f ca="1">IFERROR(OFFSET(INDIRECT($H$3 &amp; "!A152"), 8, 0), "")</f>
        <v>칠리즈</v>
      </c>
      <c r="P64" s="39">
        <f t="shared" ca="1" si="20"/>
        <v>271</v>
      </c>
      <c r="Q64" s="77">
        <f t="shared" ca="1" si="21"/>
        <v>-3.2142857099999998E-2</v>
      </c>
      <c r="R64" s="86">
        <f t="shared" ca="1" si="24"/>
        <v>37831036.372935779</v>
      </c>
    </row>
    <row r="65" spans="1:18" ht="17.25" thickBot="1">
      <c r="A65" s="40" t="s">
        <v>241</v>
      </c>
      <c r="B65" s="11" t="s">
        <v>242</v>
      </c>
      <c r="C65" s="95">
        <v>3585</v>
      </c>
      <c r="D65" s="92">
        <v>-4.7808764900000002E-2</v>
      </c>
      <c r="E65" s="93">
        <v>1429588.5337815499</v>
      </c>
      <c r="F65" s="35"/>
      <c r="G65" s="57" t="str">
        <f ca="1">IFERROR(OFFSET(INDIRECT($H$3 &amp; "!A179"), 9, 0), "")</f>
        <v>비트코인에스브이</v>
      </c>
      <c r="H65" s="37">
        <f t="shared" ca="1" si="16"/>
        <v>187000</v>
      </c>
      <c r="I65" s="79">
        <f t="shared" ca="1" si="17"/>
        <v>-3.0334456799999999E-2</v>
      </c>
      <c r="J65" s="87">
        <f t="shared" ca="1" si="22"/>
        <v>39959.67045387</v>
      </c>
      <c r="K65" s="57" t="str">
        <f ca="1">IFERROR(OFFSET(INDIRECT($H$3 &amp; "!A125"), 9, 0), "")</f>
        <v>메디블록</v>
      </c>
      <c r="L65" s="37">
        <f t="shared" ca="1" si="18"/>
        <v>67.2</v>
      </c>
      <c r="M65" s="79">
        <f t="shared" ca="1" si="19"/>
        <v>-6.9252077600000003E-2</v>
      </c>
      <c r="N65" s="87">
        <f t="shared" ca="1" si="23"/>
        <v>210026683.98638946</v>
      </c>
      <c r="O65" s="57" t="str">
        <f ca="1">IFERROR(OFFSET(INDIRECT($H$3 &amp; "!A152"), 9, 0), "")</f>
        <v>스텔라루멘</v>
      </c>
      <c r="P65" s="37">
        <f t="shared" ca="1" si="20"/>
        <v>397</v>
      </c>
      <c r="Q65" s="79">
        <f t="shared" ca="1" si="21"/>
        <v>-1.4888337499999999E-2</v>
      </c>
      <c r="R65" s="87">
        <f t="shared" ca="1" si="24"/>
        <v>66069589.023580648</v>
      </c>
    </row>
    <row r="66" spans="1:18">
      <c r="A66" s="40" t="s">
        <v>68</v>
      </c>
      <c r="B66" s="11" t="s">
        <v>69</v>
      </c>
      <c r="C66" s="95">
        <v>4930</v>
      </c>
      <c r="D66" s="92">
        <v>-4.8262548299999999E-2</v>
      </c>
      <c r="E66" s="93">
        <v>1277550.9919170099</v>
      </c>
      <c r="F66" s="35"/>
      <c r="G66" s="56" t="str">
        <f ca="1">IFERROR(OFFSET(INDIRECT($H$3 &amp; "!A179"), 10, 0), "")</f>
        <v>퀀텀</v>
      </c>
      <c r="H66" s="38">
        <f t="shared" ref="H66:H75" ca="1" si="25">_xlfn.IFNA(VLOOKUP(G66, $B$2:$D$200, 2, FALSE), "")</f>
        <v>10820</v>
      </c>
      <c r="I66" s="76">
        <f t="shared" ref="I66:I75" ca="1" si="26">_xlfn.IFNA(VLOOKUP(G66, $B$2:$D$200, 3, FALSE), "")</f>
        <v>-4.0780141800000003E-2</v>
      </c>
      <c r="J66" s="85">
        <f t="shared" ca="1" si="22"/>
        <v>3398426.6318455399</v>
      </c>
      <c r="K66" s="55" t="str">
        <f ca="1">IFERROR(OFFSET(INDIRECT($H$3 &amp; "!A125"), 10, 0), "")</f>
        <v>트론</v>
      </c>
      <c r="L66" s="38">
        <f t="shared" ca="1" si="18"/>
        <v>82.9</v>
      </c>
      <c r="M66" s="76">
        <f t="shared" ca="1" si="19"/>
        <v>-3.6057692000000001E-3</v>
      </c>
      <c r="N66" s="85">
        <f t="shared" ca="1" si="23"/>
        <v>214705385.60435784</v>
      </c>
      <c r="O66" s="55" t="str">
        <f ca="1">IFERROR(OFFSET(INDIRECT($H$3 &amp; "!A152"), 10, 0), "")</f>
        <v>모스코인</v>
      </c>
      <c r="P66" s="38">
        <f t="shared" ca="1" si="20"/>
        <v>117</v>
      </c>
      <c r="Q66" s="76">
        <f t="shared" ca="1" si="21"/>
        <v>-4.8780487800000001E-2</v>
      </c>
      <c r="R66" s="85">
        <f t="shared" ca="1" si="24"/>
        <v>585334535.7814734</v>
      </c>
    </row>
    <row r="67" spans="1:18">
      <c r="A67" s="40" t="s">
        <v>239</v>
      </c>
      <c r="B67" s="11" t="s">
        <v>240</v>
      </c>
      <c r="C67" s="95">
        <v>117</v>
      </c>
      <c r="D67" s="92">
        <v>-4.8780487800000001E-2</v>
      </c>
      <c r="E67" s="93">
        <v>585334535.7814734</v>
      </c>
      <c r="F67" s="35"/>
      <c r="G67" s="56" t="str">
        <f ca="1">IFERROR(OFFSET(INDIRECT($H$3 &amp; "!A179"), 11, 0), "")</f>
        <v>온톨로지</v>
      </c>
      <c r="H67" s="39">
        <f t="shared" ca="1" si="25"/>
        <v>1110</v>
      </c>
      <c r="I67" s="77">
        <f t="shared" ca="1" si="26"/>
        <v>-3.4782608700000002E-2</v>
      </c>
      <c r="J67" s="86">
        <f t="shared" ca="1" si="22"/>
        <v>7170593.6401303103</v>
      </c>
      <c r="K67" s="56" t="str">
        <f ca="1">IFERROR(OFFSET(INDIRECT($H$3 &amp; "!A125"), 11, 0), "")</f>
        <v>저스트</v>
      </c>
      <c r="L67" s="39">
        <f t="shared" ca="1" si="18"/>
        <v>74.2</v>
      </c>
      <c r="M67" s="77">
        <f t="shared" ca="1" si="19"/>
        <v>-1.19840213E-2</v>
      </c>
      <c r="N67" s="86">
        <f t="shared" ca="1" si="23"/>
        <v>71034274.226406783</v>
      </c>
      <c r="O67" s="56" t="str">
        <f ca="1">IFERROR(OFFSET(INDIRECT($H$3 &amp; "!A152"), 11, 0), "")</f>
        <v>골렘</v>
      </c>
      <c r="P67" s="39">
        <f t="shared" ca="1" si="20"/>
        <v>324</v>
      </c>
      <c r="Q67" s="77">
        <f t="shared" ca="1" si="21"/>
        <v>-4.1420118300000003E-2</v>
      </c>
      <c r="R67" s="86">
        <f t="shared" ca="1" si="24"/>
        <v>2843170.7922390602</v>
      </c>
    </row>
    <row r="68" spans="1:18">
      <c r="A68" s="40" t="s">
        <v>199</v>
      </c>
      <c r="B68" s="11" t="s">
        <v>200</v>
      </c>
      <c r="C68" s="95">
        <v>192</v>
      </c>
      <c r="D68" s="92">
        <v>-4.9504950499999999E-2</v>
      </c>
      <c r="E68" s="93">
        <v>19255797.57219898</v>
      </c>
      <c r="F68" s="35"/>
      <c r="G68" s="56" t="str">
        <f ca="1">IFERROR(OFFSET(INDIRECT($H$3 &amp; "!A179"), 12, 0), "")</f>
        <v>아이오에스티</v>
      </c>
      <c r="H68" s="39">
        <f t="shared" ca="1" si="25"/>
        <v>33.700000000000003</v>
      </c>
      <c r="I68" s="77">
        <f t="shared" ca="1" si="26"/>
        <v>-2.8818443799999999E-2</v>
      </c>
      <c r="J68" s="86">
        <f t="shared" ca="1" si="22"/>
        <v>69020150.158631325</v>
      </c>
      <c r="K68" s="56" t="str">
        <f ca="1">IFERROR(OFFSET(INDIRECT($H$3 &amp; "!A125"), 12, 0), "")</f>
        <v>캐리프로토콜</v>
      </c>
      <c r="L68" s="39">
        <f t="shared" ca="1" si="18"/>
        <v>10.5</v>
      </c>
      <c r="M68" s="77">
        <f t="shared" ca="1" si="19"/>
        <v>-2.77777778E-2</v>
      </c>
      <c r="N68" s="86">
        <f t="shared" ca="1" si="23"/>
        <v>757778428.68851018</v>
      </c>
      <c r="O68" s="56" t="str">
        <f ca="1">IFERROR(OFFSET(INDIRECT($H$3 &amp; "!A152"), 12, 0), "")</f>
        <v>앵커</v>
      </c>
      <c r="P68" s="39">
        <f t="shared" ca="1" si="20"/>
        <v>107</v>
      </c>
      <c r="Q68" s="77">
        <f t="shared" ca="1" si="21"/>
        <v>-2.7272727300000001E-2</v>
      </c>
      <c r="R68" s="86">
        <f t="shared" ca="1" si="24"/>
        <v>32348118.51652135</v>
      </c>
    </row>
    <row r="69" spans="1:18">
      <c r="A69" s="40" t="s">
        <v>145</v>
      </c>
      <c r="B69" s="11" t="s">
        <v>146</v>
      </c>
      <c r="C69" s="95">
        <v>9640</v>
      </c>
      <c r="D69" s="92">
        <v>-5.0246305400000003E-2</v>
      </c>
      <c r="E69" s="93">
        <v>493612.62510196998</v>
      </c>
      <c r="F69" s="35"/>
      <c r="G69" s="56" t="str">
        <f ca="1">IFERROR(OFFSET(INDIRECT($H$3 &amp; "!A179"), 13, 0), "")</f>
        <v>도지코인</v>
      </c>
      <c r="H69" s="39">
        <f t="shared" ca="1" si="25"/>
        <v>384</v>
      </c>
      <c r="I69" s="77">
        <f t="shared" ca="1" si="26"/>
        <v>-7.7519379999999999E-3</v>
      </c>
      <c r="J69" s="86">
        <f t="shared" ca="1" si="22"/>
        <v>938999288.15185058</v>
      </c>
      <c r="K69" s="56" t="str">
        <f ca="1">IFERROR(OFFSET(INDIRECT($H$3 &amp; "!A125"), 13, 0), "")</f>
        <v>시아코인</v>
      </c>
      <c r="L69" s="39">
        <f t="shared" ca="1" si="18"/>
        <v>18.600000000000001</v>
      </c>
      <c r="M69" s="77">
        <f t="shared" ca="1" si="19"/>
        <v>-3.125E-2</v>
      </c>
      <c r="N69" s="86">
        <f t="shared" ca="1" si="23"/>
        <v>384746644.69631863</v>
      </c>
      <c r="O69" s="56" t="str">
        <f ca="1">IFERROR(OFFSET(INDIRECT($H$3 &amp; "!A152"), 13, 0), "")</f>
        <v>폴리매쓰</v>
      </c>
      <c r="P69" s="39">
        <f t="shared" ca="1" si="20"/>
        <v>281</v>
      </c>
      <c r="Q69" s="77">
        <f t="shared" ca="1" si="21"/>
        <v>9.3385213999999994E-2</v>
      </c>
      <c r="R69" s="86">
        <f t="shared" ca="1" si="24"/>
        <v>242713036.65895849</v>
      </c>
    </row>
    <row r="70" spans="1:18">
      <c r="A70" s="40" t="s">
        <v>161</v>
      </c>
      <c r="B70" s="11" t="s">
        <v>162</v>
      </c>
      <c r="C70" s="95">
        <v>1115</v>
      </c>
      <c r="D70" s="92">
        <v>-5.1063829800000002E-2</v>
      </c>
      <c r="E70" s="93">
        <v>4238679.87395644</v>
      </c>
      <c r="F70" s="35"/>
      <c r="G70" s="56" t="str">
        <f ca="1">IFERROR(OFFSET(INDIRECT($H$3 &amp; "!A179"), 14, 0), "")</f>
        <v>스토리지</v>
      </c>
      <c r="H70" s="39">
        <f t="shared" ca="1" si="25"/>
        <v>1145</v>
      </c>
      <c r="I70" s="77">
        <f t="shared" ca="1" si="26"/>
        <v>-4.1841004199999997E-2</v>
      </c>
      <c r="J70" s="90">
        <f t="shared" ca="1" si="22"/>
        <v>1924446.7462842001</v>
      </c>
      <c r="K70" s="58" t="str">
        <f ca="1">IFERROR(OFFSET(INDIRECT($H$3 &amp; "!A125"), 14, 0), "")</f>
        <v>옵저버</v>
      </c>
      <c r="L70" s="44">
        <f t="shared" ca="1" si="18"/>
        <v>15.1</v>
      </c>
      <c r="M70" s="78">
        <f t="shared" ca="1" si="19"/>
        <v>-5.6250000000000001E-2</v>
      </c>
      <c r="N70" s="90">
        <f t="shared" ca="1" si="23"/>
        <v>250083008.54317197</v>
      </c>
      <c r="O70" s="58" t="str">
        <f ca="1">IFERROR(OFFSET(INDIRECT($H$3 &amp; "!A152"), 14, 0), "")</f>
        <v>보라</v>
      </c>
      <c r="P70" s="44">
        <f t="shared" ca="1" si="20"/>
        <v>161</v>
      </c>
      <c r="Q70" s="78">
        <f t="shared" ca="1" si="21"/>
        <v>-7.4712643699999998E-2</v>
      </c>
      <c r="R70" s="90">
        <f t="shared" ca="1" si="24"/>
        <v>55308126.361612417</v>
      </c>
    </row>
    <row r="71" spans="1:18">
      <c r="A71" s="40" t="s">
        <v>167</v>
      </c>
      <c r="B71" s="11" t="s">
        <v>168</v>
      </c>
      <c r="C71" s="95">
        <v>94</v>
      </c>
      <c r="D71" s="92">
        <v>-5.2419354799999998E-2</v>
      </c>
      <c r="E71" s="93">
        <v>160909126.75667223</v>
      </c>
      <c r="F71" s="35"/>
      <c r="G71" s="60" t="str">
        <f ca="1">IFERROR(OFFSET(INDIRECT($H$3 &amp; "!A179"), 15, 0), "")</f>
        <v>오브스</v>
      </c>
      <c r="H71" s="45">
        <f t="shared" ca="1" si="25"/>
        <v>86.5</v>
      </c>
      <c r="I71" s="80">
        <f t="shared" ca="1" si="26"/>
        <v>-6.6882416400000005E-2</v>
      </c>
      <c r="J71" s="99">
        <f t="shared" ca="1" si="22"/>
        <v>96208340.170873657</v>
      </c>
      <c r="K71" s="56" t="str">
        <f ca="1">IFERROR(OFFSET(INDIRECT($H$3 &amp; "!A125"), 15, 0), "")</f>
        <v>비트토렌트</v>
      </c>
      <c r="L71" s="39">
        <f t="shared" ca="1" si="18"/>
        <v>4.28</v>
      </c>
      <c r="M71" s="77">
        <f t="shared" ca="1" si="19"/>
        <v>1.42180095E-2</v>
      </c>
      <c r="N71" s="99">
        <f t="shared" ca="1" si="23"/>
        <v>24304805753.980038</v>
      </c>
      <c r="O71" s="56" t="str">
        <f ca="1">IFERROR(OFFSET(INDIRECT($H$3 &amp; "!A152"), 15, 0), "")</f>
        <v>비체인</v>
      </c>
      <c r="P71" s="39">
        <f t="shared" ca="1" si="20"/>
        <v>129</v>
      </c>
      <c r="Q71" s="77">
        <f t="shared" ca="1" si="21"/>
        <v>-3.7313432799999997E-2</v>
      </c>
      <c r="R71" s="99">
        <f t="shared" ca="1" si="24"/>
        <v>1446909911.446661</v>
      </c>
    </row>
    <row r="72" spans="1:18">
      <c r="A72" s="40" t="s">
        <v>213</v>
      </c>
      <c r="B72" s="11" t="s">
        <v>214</v>
      </c>
      <c r="C72" s="95">
        <v>12.5</v>
      </c>
      <c r="D72" s="92">
        <v>-5.3030303000000001E-2</v>
      </c>
      <c r="E72" s="93">
        <v>295836657.56399912</v>
      </c>
      <c r="F72" s="35"/>
      <c r="G72" s="56" t="str">
        <f ca="1">IFERROR(OFFSET(INDIRECT($H$3 &amp; "!A179"), 16, 0), "")</f>
        <v>카이버네트워크</v>
      </c>
      <c r="H72" s="39">
        <f t="shared" ca="1" si="25"/>
        <v>2355</v>
      </c>
      <c r="I72" s="77">
        <f t="shared" ca="1" si="26"/>
        <v>-2.6859504100000001E-2</v>
      </c>
      <c r="J72" s="86">
        <f t="shared" ca="1" si="22"/>
        <v>1156550.4343230701</v>
      </c>
      <c r="K72" s="56" t="str">
        <f ca="1">IFERROR(OFFSET(INDIRECT($H$3 &amp; "!A125"), 16, 0), "")</f>
        <v>픽셀</v>
      </c>
      <c r="L72" s="39">
        <f t="shared" ca="1" si="18"/>
        <v>58.2</v>
      </c>
      <c r="M72" s="77">
        <f t="shared" ca="1" si="19"/>
        <v>-7.1770334899999996E-2</v>
      </c>
      <c r="N72" s="86">
        <f t="shared" ca="1" si="23"/>
        <v>55874318.799938492</v>
      </c>
      <c r="O72" s="56" t="str">
        <f ca="1">IFERROR(OFFSET(INDIRECT($H$3 &amp; "!A152"), 16, 0), "")</f>
        <v>샌드박스</v>
      </c>
      <c r="P72" s="39">
        <f t="shared" ca="1" si="20"/>
        <v>328</v>
      </c>
      <c r="Q72" s="77">
        <f t="shared" ca="1" si="21"/>
        <v>-4.3731778399999997E-2</v>
      </c>
      <c r="R72" s="86">
        <f t="shared" ca="1" si="24"/>
        <v>21463391.49753141</v>
      </c>
    </row>
    <row r="73" spans="1:18">
      <c r="A73" s="40" t="s">
        <v>227</v>
      </c>
      <c r="B73" s="11" t="s">
        <v>228</v>
      </c>
      <c r="C73" s="95">
        <v>9.84</v>
      </c>
      <c r="D73" s="92">
        <v>-5.3846153799999998E-2</v>
      </c>
      <c r="E73" s="93">
        <v>2167114919.3907743</v>
      </c>
      <c r="F73" s="35"/>
      <c r="G73" s="56" t="str">
        <f ca="1">IFERROR(OFFSET(INDIRECT($H$3 &amp; "!A179"), 17, 0), "")</f>
        <v>웨이브</v>
      </c>
      <c r="H73" s="39">
        <f t="shared" ca="1" si="25"/>
        <v>16020</v>
      </c>
      <c r="I73" s="77">
        <f t="shared" ca="1" si="26"/>
        <v>-3.0266343800000001E-2</v>
      </c>
      <c r="J73" s="86">
        <f t="shared" ca="1" si="22"/>
        <v>583984.30099804001</v>
      </c>
      <c r="K73" s="56" t="str">
        <f ca="1">IFERROR(OFFSET(INDIRECT($H$3 &amp; "!A125"), 17, 0), "")</f>
        <v>아이오에스티</v>
      </c>
      <c r="L73" s="39">
        <f t="shared" ca="1" si="18"/>
        <v>33.700000000000003</v>
      </c>
      <c r="M73" s="77">
        <f t="shared" ca="1" si="19"/>
        <v>-2.8818443799999999E-2</v>
      </c>
      <c r="N73" s="86">
        <f t="shared" ca="1" si="23"/>
        <v>69020150.158631325</v>
      </c>
      <c r="O73" s="56" t="str">
        <f ca="1">IFERROR(OFFSET(INDIRECT($H$3 &amp; "!A152"), 17, 0), "")</f>
        <v>디센트럴랜드</v>
      </c>
      <c r="P73" s="39">
        <f t="shared" ca="1" si="20"/>
        <v>825</v>
      </c>
      <c r="Q73" s="77">
        <f t="shared" ca="1" si="21"/>
        <v>-4.4032445000000003E-2</v>
      </c>
      <c r="R73" s="86">
        <f t="shared" ca="1" si="24"/>
        <v>23755070.792865299</v>
      </c>
    </row>
    <row r="74" spans="1:18">
      <c r="A74" s="40" t="s">
        <v>283</v>
      </c>
      <c r="B74" s="11" t="s">
        <v>284</v>
      </c>
      <c r="C74" s="95">
        <v>227</v>
      </c>
      <c r="D74" s="92">
        <v>-5.4166666699999998E-2</v>
      </c>
      <c r="E74" s="93">
        <v>12695921.396906961</v>
      </c>
      <c r="F74" s="35"/>
      <c r="G74" s="56" t="str">
        <f ca="1">IFERROR(OFFSET(INDIRECT($H$3 &amp; "!A179"), 18, 0), "")</f>
        <v>에브리피디아</v>
      </c>
      <c r="H74" s="39">
        <f t="shared" ca="1" si="25"/>
        <v>15.5</v>
      </c>
      <c r="I74" s="77">
        <f t="shared" ca="1" si="26"/>
        <v>-9.3567251500000004E-2</v>
      </c>
      <c r="J74" s="86">
        <f t="shared" ca="1" si="22"/>
        <v>959237367.28897989</v>
      </c>
      <c r="K74" s="56" t="str">
        <f ca="1">IFERROR(OFFSET(INDIRECT($H$3 &amp; "!A125"), 18, 0), "")</f>
        <v>오브스</v>
      </c>
      <c r="L74" s="39">
        <f t="shared" ca="1" si="18"/>
        <v>86.5</v>
      </c>
      <c r="M74" s="77">
        <f t="shared" ca="1" si="19"/>
        <v>-6.6882416400000005E-2</v>
      </c>
      <c r="N74" s="86">
        <f t="shared" ca="1" si="23"/>
        <v>96208340.170873657</v>
      </c>
      <c r="O74" s="56" t="str">
        <f ca="1">IFERROR(OFFSET(INDIRECT($H$3 &amp; "!A152"), 18, 0), "")</f>
        <v>헤데라해시그래프</v>
      </c>
      <c r="P74" s="39">
        <f t="shared" ca="1" si="20"/>
        <v>247</v>
      </c>
      <c r="Q74" s="77">
        <f t="shared" ca="1" si="21"/>
        <v>2.0661156999999999E-2</v>
      </c>
      <c r="R74" s="86">
        <f t="shared" ca="1" si="24"/>
        <v>45549881.753477141</v>
      </c>
    </row>
    <row r="75" spans="1:18" ht="17.25" thickBot="1">
      <c r="A75" s="40" t="s">
        <v>81</v>
      </c>
      <c r="B75" s="11" t="s">
        <v>82</v>
      </c>
      <c r="C75" s="95">
        <v>949</v>
      </c>
      <c r="D75" s="92">
        <v>-5.5721393000000001E-2</v>
      </c>
      <c r="E75" s="93">
        <v>4254836.5747307697</v>
      </c>
      <c r="F75" s="35"/>
      <c r="G75" s="57" t="str">
        <f ca="1">IFERROR(OFFSET(INDIRECT($H$3 &amp; "!A179"), 19, 0), "")</f>
        <v>스트라이크</v>
      </c>
      <c r="H75" s="37">
        <f t="shared" ca="1" si="25"/>
        <v>53030</v>
      </c>
      <c r="I75" s="79">
        <f t="shared" ca="1" si="26"/>
        <v>-0.11321070229999999</v>
      </c>
      <c r="J75" s="87">
        <f t="shared" ca="1" si="22"/>
        <v>3617065.3424736601</v>
      </c>
      <c r="K75" s="57" t="str">
        <f ca="1">IFERROR(OFFSET(INDIRECT($H$3 &amp; "!A125"), 19, 0), "")</f>
        <v>에브리피디아</v>
      </c>
      <c r="L75" s="37">
        <f t="shared" ca="1" si="18"/>
        <v>15.5</v>
      </c>
      <c r="M75" s="79">
        <f t="shared" ca="1" si="19"/>
        <v>-9.3567251500000004E-2</v>
      </c>
      <c r="N75" s="87">
        <f t="shared" ca="1" si="23"/>
        <v>959237367.28897989</v>
      </c>
      <c r="O75" s="57" t="str">
        <f ca="1">IFERROR(OFFSET(INDIRECT($H$3 &amp; "!A152"), 19, 0), "")</f>
        <v>도지코인</v>
      </c>
      <c r="P75" s="37">
        <f t="shared" ca="1" si="20"/>
        <v>384</v>
      </c>
      <c r="Q75" s="79">
        <f t="shared" ca="1" si="21"/>
        <v>-7.7519379999999999E-3</v>
      </c>
      <c r="R75" s="87">
        <f t="shared" ca="1" si="24"/>
        <v>938999288.15185058</v>
      </c>
    </row>
    <row r="76" spans="1:18">
      <c r="A76" s="40" t="s">
        <v>217</v>
      </c>
      <c r="B76" s="11" t="s">
        <v>218</v>
      </c>
      <c r="C76" s="95">
        <v>15.1</v>
      </c>
      <c r="D76" s="92">
        <v>-5.6250000000000001E-2</v>
      </c>
      <c r="E76" s="93">
        <v>250083008.54317197</v>
      </c>
      <c r="F76" s="35"/>
      <c r="G76" s="35"/>
      <c r="H76" s="35"/>
      <c r="I76" s="35"/>
    </row>
    <row r="77" spans="1:18">
      <c r="A77" s="40" t="s">
        <v>237</v>
      </c>
      <c r="B77" s="11" t="s">
        <v>238</v>
      </c>
      <c r="C77" s="95">
        <v>165</v>
      </c>
      <c r="D77" s="92">
        <v>-5.71428571E-2</v>
      </c>
      <c r="E77" s="93">
        <v>35744958.679921873</v>
      </c>
      <c r="F77" s="35"/>
      <c r="G77" s="35"/>
      <c r="H77" s="35"/>
      <c r="I77" s="35"/>
    </row>
    <row r="78" spans="1:18">
      <c r="A78" s="40" t="s">
        <v>261</v>
      </c>
      <c r="B78" s="11" t="s">
        <v>262</v>
      </c>
      <c r="C78" s="95">
        <v>569</v>
      </c>
      <c r="D78" s="92">
        <v>-5.7947019900000001E-2</v>
      </c>
      <c r="E78" s="93">
        <v>7625865.4025908196</v>
      </c>
      <c r="F78" s="35"/>
      <c r="G78" s="35"/>
      <c r="H78" s="35"/>
      <c r="I78" s="35"/>
    </row>
    <row r="79" spans="1:18">
      <c r="A79" s="40" t="s">
        <v>125</v>
      </c>
      <c r="B79" s="11" t="s">
        <v>126</v>
      </c>
      <c r="C79" s="95">
        <v>25.7</v>
      </c>
      <c r="D79" s="92">
        <v>-5.8608058599999999E-2</v>
      </c>
      <c r="E79" s="93">
        <v>179523276.7337985</v>
      </c>
      <c r="F79" s="35"/>
      <c r="G79" s="35"/>
      <c r="H79" s="35"/>
      <c r="I79" s="35"/>
    </row>
    <row r="80" spans="1:18">
      <c r="A80" s="40" t="s">
        <v>263</v>
      </c>
      <c r="B80" s="11" t="s">
        <v>264</v>
      </c>
      <c r="C80" s="95">
        <v>76.8</v>
      </c>
      <c r="D80" s="92">
        <v>-5.8823529399999998E-2</v>
      </c>
      <c r="E80" s="93">
        <v>38158062.249556549</v>
      </c>
      <c r="F80" s="35"/>
      <c r="G80" s="35"/>
      <c r="H80" s="35"/>
      <c r="I80" s="35"/>
    </row>
    <row r="81" spans="1:9">
      <c r="A81" s="40" t="s">
        <v>257</v>
      </c>
      <c r="B81" s="11" t="s">
        <v>258</v>
      </c>
      <c r="C81" s="95">
        <v>432</v>
      </c>
      <c r="D81" s="92">
        <v>-6.0869565200000003E-2</v>
      </c>
      <c r="E81" s="93">
        <v>6035459.0462828698</v>
      </c>
      <c r="F81" s="35"/>
      <c r="G81" s="35"/>
      <c r="H81" s="35"/>
      <c r="I81" s="35"/>
    </row>
    <row r="82" spans="1:9">
      <c r="A82" s="40" t="s">
        <v>201</v>
      </c>
      <c r="B82" s="11" t="s">
        <v>202</v>
      </c>
      <c r="C82" s="95">
        <v>108</v>
      </c>
      <c r="D82" s="92">
        <v>-6.0869565200000003E-2</v>
      </c>
      <c r="E82" s="93">
        <v>97911722.712875471</v>
      </c>
      <c r="F82" s="35"/>
      <c r="G82" s="35"/>
      <c r="H82" s="35"/>
      <c r="I82" s="35"/>
    </row>
    <row r="83" spans="1:9">
      <c r="A83" s="40" t="s">
        <v>66</v>
      </c>
      <c r="B83" s="11" t="s">
        <v>67</v>
      </c>
      <c r="C83" s="95">
        <v>4850</v>
      </c>
      <c r="D83" s="92">
        <v>-6.09874153E-2</v>
      </c>
      <c r="E83" s="93">
        <v>1555446.2836189901</v>
      </c>
      <c r="F83" s="35"/>
      <c r="G83" s="35"/>
      <c r="H83" s="35"/>
      <c r="I83" s="35"/>
    </row>
    <row r="84" spans="1:9">
      <c r="A84" s="40" t="s">
        <v>265</v>
      </c>
      <c r="B84" s="11" t="s">
        <v>266</v>
      </c>
      <c r="C84" s="95">
        <v>51.9</v>
      </c>
      <c r="D84" s="92">
        <v>-6.1482821E-2</v>
      </c>
      <c r="E84" s="93">
        <v>50116376.278362907</v>
      </c>
      <c r="F84" s="35"/>
      <c r="G84" s="35"/>
      <c r="H84" s="35"/>
      <c r="I84" s="35"/>
    </row>
    <row r="85" spans="1:9">
      <c r="A85" s="40" t="s">
        <v>225</v>
      </c>
      <c r="B85" s="11" t="s">
        <v>226</v>
      </c>
      <c r="C85" s="95">
        <v>269</v>
      </c>
      <c r="D85" s="92">
        <v>-6.2717770000000006E-2</v>
      </c>
      <c r="E85" s="93">
        <v>10443000.10070858</v>
      </c>
      <c r="F85" s="35"/>
      <c r="G85" s="35"/>
      <c r="H85" s="35"/>
      <c r="I85" s="35"/>
    </row>
    <row r="86" spans="1:9">
      <c r="A86" s="40" t="s">
        <v>205</v>
      </c>
      <c r="B86" s="11" t="s">
        <v>206</v>
      </c>
      <c r="C86" s="95">
        <v>14250</v>
      </c>
      <c r="D86" s="92">
        <v>-6.3116370800000002E-2</v>
      </c>
      <c r="E86" s="93">
        <v>503257.06110122998</v>
      </c>
      <c r="F86" s="35"/>
      <c r="G86" s="35"/>
      <c r="H86" s="35"/>
      <c r="I86" s="35"/>
    </row>
    <row r="87" spans="1:9">
      <c r="A87" s="40" t="s">
        <v>209</v>
      </c>
      <c r="B87" s="11" t="s">
        <v>210</v>
      </c>
      <c r="C87" s="95">
        <v>115</v>
      </c>
      <c r="D87" s="92">
        <v>-6.5040650399999997E-2</v>
      </c>
      <c r="E87" s="93">
        <v>58303805.009496622</v>
      </c>
      <c r="F87" s="35"/>
      <c r="G87" s="35"/>
      <c r="H87" s="35"/>
      <c r="I87" s="35"/>
    </row>
    <row r="88" spans="1:9">
      <c r="A88" s="40" t="s">
        <v>267</v>
      </c>
      <c r="B88" s="11" t="s">
        <v>268</v>
      </c>
      <c r="C88" s="95">
        <v>46.7</v>
      </c>
      <c r="D88" s="92">
        <v>-6.6000000000000003E-2</v>
      </c>
      <c r="E88" s="93">
        <v>46382873.574595302</v>
      </c>
      <c r="F88" s="35"/>
      <c r="G88" s="35"/>
      <c r="H88" s="35"/>
      <c r="I88" s="35"/>
    </row>
    <row r="89" spans="1:9">
      <c r="A89" s="40" t="s">
        <v>203</v>
      </c>
      <c r="B89" s="11" t="s">
        <v>204</v>
      </c>
      <c r="C89" s="95">
        <v>3435</v>
      </c>
      <c r="D89" s="92">
        <v>-6.6576087000000006E-2</v>
      </c>
      <c r="E89" s="93">
        <v>3414018.40352304</v>
      </c>
      <c r="F89" s="35"/>
      <c r="G89" s="35"/>
      <c r="H89" s="35"/>
      <c r="I89" s="35"/>
    </row>
    <row r="90" spans="1:9">
      <c r="A90" s="40" t="s">
        <v>133</v>
      </c>
      <c r="B90" s="11" t="s">
        <v>134</v>
      </c>
      <c r="C90" s="95">
        <v>86.5</v>
      </c>
      <c r="D90" s="92">
        <v>-6.6882416400000005E-2</v>
      </c>
      <c r="E90" s="93">
        <v>96208340.170873657</v>
      </c>
      <c r="F90" s="35"/>
      <c r="G90" s="35"/>
      <c r="H90" s="35"/>
      <c r="I90" s="35"/>
    </row>
    <row r="91" spans="1:9">
      <c r="A91" s="40" t="s">
        <v>229</v>
      </c>
      <c r="B91" s="11" t="s">
        <v>230</v>
      </c>
      <c r="C91" s="95">
        <v>109</v>
      </c>
      <c r="D91" s="92">
        <v>-6.8376068400000004E-2</v>
      </c>
      <c r="E91" s="93">
        <v>91958854.900104284</v>
      </c>
      <c r="F91" s="35"/>
      <c r="G91" s="35"/>
      <c r="H91" s="35"/>
      <c r="I91" s="35"/>
    </row>
    <row r="92" spans="1:9">
      <c r="A92" s="40" t="s">
        <v>271</v>
      </c>
      <c r="B92" s="11" t="s">
        <v>272</v>
      </c>
      <c r="C92" s="95">
        <v>1290</v>
      </c>
      <c r="D92" s="92">
        <v>-6.8592057799999995E-2</v>
      </c>
      <c r="E92" s="93">
        <v>4494666.4815686103</v>
      </c>
      <c r="F92" s="35"/>
      <c r="G92" s="35"/>
      <c r="H92" s="35"/>
      <c r="I92" s="35"/>
    </row>
    <row r="93" spans="1:9">
      <c r="A93" s="40" t="s">
        <v>253</v>
      </c>
      <c r="B93" s="11" t="s">
        <v>254</v>
      </c>
      <c r="C93" s="95">
        <v>44.8</v>
      </c>
      <c r="D93" s="92">
        <v>-6.8607068600000001E-2</v>
      </c>
      <c r="E93" s="93">
        <v>59090290.715352081</v>
      </c>
      <c r="F93" s="35"/>
      <c r="G93" s="35"/>
      <c r="H93" s="35"/>
      <c r="I93" s="35"/>
    </row>
    <row r="94" spans="1:9">
      <c r="A94" s="40" t="s">
        <v>211</v>
      </c>
      <c r="B94" s="11" t="s">
        <v>212</v>
      </c>
      <c r="C94" s="95">
        <v>67.2</v>
      </c>
      <c r="D94" s="92">
        <v>-6.9252077600000003E-2</v>
      </c>
      <c r="E94" s="93">
        <v>210026683.98638946</v>
      </c>
      <c r="F94" s="35"/>
      <c r="G94" s="35"/>
      <c r="H94" s="35"/>
      <c r="I94" s="35"/>
    </row>
    <row r="95" spans="1:9">
      <c r="A95" s="40" t="s">
        <v>281</v>
      </c>
      <c r="B95" s="11" t="s">
        <v>282</v>
      </c>
      <c r="C95" s="95">
        <v>107</v>
      </c>
      <c r="D95" s="92">
        <v>-6.9565217400000004E-2</v>
      </c>
      <c r="E95" s="93">
        <v>67648853.253364697</v>
      </c>
      <c r="F95" s="35"/>
      <c r="G95" s="35"/>
      <c r="H95" s="35"/>
      <c r="I95" s="35"/>
    </row>
    <row r="96" spans="1:9">
      <c r="A96" s="40" t="s">
        <v>259</v>
      </c>
      <c r="B96" s="11" t="s">
        <v>260</v>
      </c>
      <c r="C96" s="95">
        <v>64.099999999999994</v>
      </c>
      <c r="D96" s="92">
        <v>-6.9666182899999998E-2</v>
      </c>
      <c r="E96" s="93">
        <v>94929331.237177506</v>
      </c>
      <c r="F96" s="35"/>
      <c r="G96" s="35"/>
      <c r="H96" s="35"/>
      <c r="I96" s="35"/>
    </row>
    <row r="97" spans="1:9">
      <c r="A97" s="40" t="s">
        <v>251</v>
      </c>
      <c r="B97" s="11" t="s">
        <v>252</v>
      </c>
      <c r="C97" s="95">
        <v>291</v>
      </c>
      <c r="D97" s="92">
        <v>-7.0287539900000001E-2</v>
      </c>
      <c r="E97" s="93">
        <v>18794493.293750688</v>
      </c>
      <c r="F97" s="35"/>
      <c r="G97" s="35"/>
      <c r="H97" s="35"/>
      <c r="I97" s="35"/>
    </row>
    <row r="98" spans="1:9">
      <c r="A98" s="40" t="s">
        <v>121</v>
      </c>
      <c r="B98" s="11" t="s">
        <v>122</v>
      </c>
      <c r="C98" s="95">
        <v>58.2</v>
      </c>
      <c r="D98" s="92">
        <v>-7.1770334899999996E-2</v>
      </c>
      <c r="E98" s="93">
        <v>55874318.799938492</v>
      </c>
      <c r="F98" s="35"/>
      <c r="G98" s="35"/>
      <c r="H98" s="35"/>
      <c r="I98" s="35"/>
    </row>
    <row r="99" spans="1:9">
      <c r="A99" s="40" t="s">
        <v>191</v>
      </c>
      <c r="B99" s="11" t="s">
        <v>192</v>
      </c>
      <c r="C99" s="95">
        <v>1015</v>
      </c>
      <c r="D99" s="92">
        <v>-7.3059360700000006E-2</v>
      </c>
      <c r="E99" s="93">
        <v>17768677.37087084</v>
      </c>
      <c r="F99" s="35"/>
      <c r="G99" s="35"/>
      <c r="H99" s="35"/>
      <c r="I99" s="35"/>
    </row>
    <row r="100" spans="1:9">
      <c r="A100" s="40" t="s">
        <v>71</v>
      </c>
      <c r="B100" s="11" t="s">
        <v>72</v>
      </c>
      <c r="C100" s="95">
        <v>18.899999999999999</v>
      </c>
      <c r="D100" s="92">
        <v>-7.35294118E-2</v>
      </c>
      <c r="E100" s="93">
        <v>317338926.42990869</v>
      </c>
      <c r="F100" s="35"/>
      <c r="G100" s="35"/>
      <c r="H100" s="35"/>
      <c r="I100" s="35"/>
    </row>
    <row r="101" spans="1:9">
      <c r="A101" s="40" t="s">
        <v>123</v>
      </c>
      <c r="B101" s="11" t="s">
        <v>124</v>
      </c>
      <c r="C101" s="95">
        <v>3310</v>
      </c>
      <c r="D101" s="92">
        <v>-7.4125874100000003E-2</v>
      </c>
      <c r="E101" s="93">
        <v>2520047.5565586798</v>
      </c>
      <c r="F101" s="35"/>
      <c r="G101" s="35"/>
      <c r="H101" s="35"/>
      <c r="I101" s="35"/>
    </row>
    <row r="102" spans="1:9">
      <c r="A102" s="40" t="s">
        <v>173</v>
      </c>
      <c r="B102" s="11" t="s">
        <v>174</v>
      </c>
      <c r="C102" s="95">
        <v>161</v>
      </c>
      <c r="D102" s="92">
        <v>-7.4712643699999998E-2</v>
      </c>
      <c r="E102" s="93">
        <v>55308126.361612417</v>
      </c>
      <c r="F102" s="35"/>
      <c r="G102" s="35"/>
      <c r="H102" s="35"/>
      <c r="I102" s="35"/>
    </row>
    <row r="103" spans="1:9">
      <c r="A103" s="40" t="s">
        <v>197</v>
      </c>
      <c r="B103" s="11" t="s">
        <v>198</v>
      </c>
      <c r="C103" s="95">
        <v>14.6</v>
      </c>
      <c r="D103" s="92">
        <v>-7.5949367099999998E-2</v>
      </c>
      <c r="E103" s="93">
        <v>449904039.72546154</v>
      </c>
      <c r="F103" s="35"/>
      <c r="G103" s="35"/>
      <c r="H103" s="35"/>
      <c r="I103" s="35"/>
    </row>
    <row r="104" spans="1:9">
      <c r="A104" s="40" t="s">
        <v>255</v>
      </c>
      <c r="B104" s="11" t="s">
        <v>256</v>
      </c>
      <c r="C104" s="95">
        <v>158</v>
      </c>
      <c r="D104" s="92">
        <v>-7.6023391800000006E-2</v>
      </c>
      <c r="E104" s="93">
        <v>16788254.919228781</v>
      </c>
      <c r="F104" s="35"/>
      <c r="G104" s="35"/>
      <c r="H104" s="35"/>
      <c r="I104" s="35"/>
    </row>
    <row r="105" spans="1:9">
      <c r="A105" s="40" t="s">
        <v>279</v>
      </c>
      <c r="B105" s="11" t="s">
        <v>280</v>
      </c>
      <c r="C105" s="95">
        <v>947</v>
      </c>
      <c r="D105" s="92">
        <v>-7.6097560999999994E-2</v>
      </c>
      <c r="E105" s="93">
        <v>4923800.27323543</v>
      </c>
      <c r="F105" s="35"/>
      <c r="G105" s="35"/>
      <c r="H105" s="35"/>
      <c r="I105" s="35"/>
    </row>
    <row r="106" spans="1:9">
      <c r="A106" s="40" t="s">
        <v>233</v>
      </c>
      <c r="B106" s="11" t="s">
        <v>234</v>
      </c>
      <c r="C106" s="95">
        <v>733</v>
      </c>
      <c r="D106" s="92">
        <v>-7.6826196499999999E-2</v>
      </c>
      <c r="E106" s="93">
        <v>6389807.0592625001</v>
      </c>
      <c r="F106" s="35"/>
      <c r="G106" s="35"/>
      <c r="H106" s="35"/>
      <c r="I106" s="35"/>
    </row>
    <row r="107" spans="1:9">
      <c r="A107" s="40" t="s">
        <v>247</v>
      </c>
      <c r="B107" s="11" t="s">
        <v>248</v>
      </c>
      <c r="C107" s="95">
        <v>1620</v>
      </c>
      <c r="D107" s="92">
        <v>-7.6923076899999998E-2</v>
      </c>
      <c r="E107" s="93">
        <v>2852126.7783236899</v>
      </c>
      <c r="F107" s="35"/>
      <c r="G107" s="35"/>
      <c r="H107" s="35"/>
      <c r="I107" s="35"/>
    </row>
    <row r="108" spans="1:9">
      <c r="A108" s="40" t="s">
        <v>245</v>
      </c>
      <c r="B108" s="11" t="s">
        <v>246</v>
      </c>
      <c r="C108" s="95">
        <v>274</v>
      </c>
      <c r="D108" s="92">
        <v>-8.0536912799999999E-2</v>
      </c>
      <c r="E108" s="93">
        <v>19754500.732805539</v>
      </c>
      <c r="F108" s="35"/>
      <c r="G108" s="35"/>
      <c r="H108" s="35"/>
      <c r="I108" s="35"/>
    </row>
    <row r="109" spans="1:9">
      <c r="A109" s="40" t="s">
        <v>207</v>
      </c>
      <c r="B109" s="11" t="s">
        <v>208</v>
      </c>
      <c r="C109" s="95">
        <v>274</v>
      </c>
      <c r="D109" s="92">
        <v>-8.0536912799999999E-2</v>
      </c>
      <c r="E109" s="41">
        <v>41339390.692333519</v>
      </c>
    </row>
    <row r="110" spans="1:9">
      <c r="A110" s="40" t="s">
        <v>181</v>
      </c>
      <c r="B110" s="11" t="s">
        <v>182</v>
      </c>
      <c r="C110" s="95">
        <v>279</v>
      </c>
      <c r="D110" s="92">
        <v>-8.5245901600000007E-2</v>
      </c>
      <c r="E110" s="41">
        <v>16434033.733911449</v>
      </c>
    </row>
    <row r="111" spans="1:9">
      <c r="A111" s="40" t="s">
        <v>193</v>
      </c>
      <c r="B111" s="11" t="s">
        <v>194</v>
      </c>
      <c r="C111" s="95">
        <v>8100</v>
      </c>
      <c r="D111" s="92">
        <v>-8.6294416200000001E-2</v>
      </c>
      <c r="E111" s="41">
        <v>2392419.62167473</v>
      </c>
    </row>
    <row r="112" spans="1:9">
      <c r="A112" s="40" t="s">
        <v>185</v>
      </c>
      <c r="B112" s="11" t="s">
        <v>186</v>
      </c>
      <c r="C112" s="95">
        <v>15.5</v>
      </c>
      <c r="D112" s="92">
        <v>-9.3567251500000004E-2</v>
      </c>
      <c r="E112" s="41">
        <v>959237367.28897989</v>
      </c>
    </row>
    <row r="113" spans="1:5">
      <c r="A113" s="40" t="s">
        <v>219</v>
      </c>
      <c r="B113" s="11" t="s">
        <v>220</v>
      </c>
      <c r="C113" s="95">
        <v>11</v>
      </c>
      <c r="D113" s="92">
        <v>-9.8360655699999994E-2</v>
      </c>
      <c r="E113" s="41">
        <v>981963260.66892457</v>
      </c>
    </row>
    <row r="114" spans="1:5">
      <c r="A114" s="40" t="s">
        <v>223</v>
      </c>
      <c r="B114" s="11" t="s">
        <v>224</v>
      </c>
      <c r="C114" s="95">
        <v>1310</v>
      </c>
      <c r="D114" s="92">
        <v>-0.10580204779999999</v>
      </c>
      <c r="E114" s="41">
        <v>16407513.90434281</v>
      </c>
    </row>
    <row r="115" spans="1:5">
      <c r="A115" s="40" t="s">
        <v>189</v>
      </c>
      <c r="B115" s="11" t="s">
        <v>190</v>
      </c>
      <c r="C115" s="95">
        <v>53030</v>
      </c>
      <c r="D115" s="92">
        <v>-0.11321070229999999</v>
      </c>
      <c r="E115" s="41">
        <v>3617065.3424736601</v>
      </c>
    </row>
    <row r="116" spans="1:5">
      <c r="A116" s="40" t="s">
        <v>273</v>
      </c>
      <c r="B116" s="11" t="s">
        <v>274</v>
      </c>
      <c r="C116" s="95">
        <v>8530</v>
      </c>
      <c r="D116" s="92">
        <v>-0.11560393989999999</v>
      </c>
      <c r="E116" s="41">
        <v>3294138.2802808401</v>
      </c>
    </row>
    <row r="117" spans="1:5">
      <c r="A117" s="40" t="s">
        <v>179</v>
      </c>
      <c r="B117" s="11" t="s">
        <v>180</v>
      </c>
      <c r="C117" s="95">
        <v>2985</v>
      </c>
      <c r="D117" s="92">
        <v>-0.1207658321</v>
      </c>
      <c r="E117" s="41">
        <v>22811032.072851211</v>
      </c>
    </row>
    <row r="118" spans="1:5">
      <c r="A118" s="40" t="s">
        <v>275</v>
      </c>
      <c r="B118" s="11" t="s">
        <v>276</v>
      </c>
      <c r="C118" s="95">
        <v>2980</v>
      </c>
      <c r="D118" s="92">
        <v>-0.13119533529999999</v>
      </c>
      <c r="E118" s="41">
        <v>16172768.37277074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141</v>
      </c>
      <c r="B2" s="11" t="s">
        <v>142</v>
      </c>
      <c r="C2" s="95">
        <v>673</v>
      </c>
      <c r="D2" s="92">
        <v>0.26981132079999998</v>
      </c>
      <c r="E2" s="93">
        <v>1456574537.5237417</v>
      </c>
      <c r="F2" s="35"/>
      <c r="G2" s="54"/>
      <c r="H2" s="35"/>
      <c r="I2" s="35"/>
    </row>
    <row r="3" spans="1:18" ht="17.25" thickBot="1">
      <c r="A3" s="40" t="s">
        <v>107</v>
      </c>
      <c r="B3" s="11" t="s">
        <v>108</v>
      </c>
      <c r="C3" s="95">
        <v>32810</v>
      </c>
      <c r="D3" s="92">
        <v>0.16223875309999999</v>
      </c>
      <c r="E3" s="93">
        <v>2629871.4191744998</v>
      </c>
      <c r="F3" s="35"/>
      <c r="G3" s="253" t="s">
        <v>290</v>
      </c>
      <c r="H3" s="265" t="s">
        <v>365</v>
      </c>
      <c r="I3" s="265"/>
      <c r="K3" s="192" t="s">
        <v>34</v>
      </c>
      <c r="L3" s="193"/>
      <c r="M3" s="193"/>
      <c r="N3" s="194"/>
      <c r="O3" s="192" t="s">
        <v>291</v>
      </c>
      <c r="P3" s="193"/>
      <c r="Q3" s="193"/>
      <c r="R3" s="194"/>
    </row>
    <row r="4" spans="1:18" ht="17.25" thickBot="1">
      <c r="A4" s="40" t="s">
        <v>215</v>
      </c>
      <c r="B4" s="11" t="s">
        <v>216</v>
      </c>
      <c r="C4" s="95">
        <v>281</v>
      </c>
      <c r="D4" s="92">
        <v>9.3385213999999994E-2</v>
      </c>
      <c r="E4" s="93">
        <v>242713036.65895849</v>
      </c>
      <c r="F4" s="35"/>
      <c r="G4" s="254"/>
      <c r="H4" s="266"/>
      <c r="I4" s="266"/>
      <c r="K4" s="257" t="s">
        <v>55</v>
      </c>
      <c r="L4" s="269">
        <f ca="1">NOW()</f>
        <v>44355.875786458331</v>
      </c>
      <c r="M4" s="270"/>
      <c r="N4" s="271"/>
      <c r="O4" s="260" t="s">
        <v>55</v>
      </c>
      <c r="P4" s="269">
        <f ca="1">NOW()</f>
        <v>44355.875786458331</v>
      </c>
      <c r="Q4" s="270"/>
      <c r="R4" s="271"/>
    </row>
    <row r="5" spans="1:18" ht="17.25" thickBot="1">
      <c r="A5" s="40" t="s">
        <v>113</v>
      </c>
      <c r="B5" s="11" t="s">
        <v>114</v>
      </c>
      <c r="C5" s="95">
        <v>10900</v>
      </c>
      <c r="D5" s="92">
        <v>7.9207920799999998E-2</v>
      </c>
      <c r="E5" s="93">
        <v>15825911.020769199</v>
      </c>
      <c r="F5" s="35"/>
      <c r="K5" s="254"/>
      <c r="L5" s="51" t="s">
        <v>58</v>
      </c>
      <c r="M5" s="73" t="s">
        <v>59</v>
      </c>
      <c r="N5" s="69" t="s">
        <v>294</v>
      </c>
      <c r="O5" s="209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235</v>
      </c>
      <c r="B6" s="11" t="s">
        <v>236</v>
      </c>
      <c r="C6" s="95">
        <v>54.5</v>
      </c>
      <c r="D6" s="92">
        <v>6.4453125E-2</v>
      </c>
      <c r="E6" s="93">
        <v>652666614.7968694</v>
      </c>
      <c r="F6" s="35"/>
      <c r="G6" s="192" t="s">
        <v>52</v>
      </c>
      <c r="H6" s="193"/>
      <c r="I6" s="194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86.5</v>
      </c>
      <c r="M6" s="76">
        <f t="shared" ref="M6:M25" ca="1" si="1">_xlfn.IFNA(VLOOKUP(K6, $B$2:$D$200, 3, FALSE), "")</f>
        <v>-6.6882416400000005E-2</v>
      </c>
      <c r="N6" s="85">
        <f ca="1">_xlfn.IFNA(VLOOKUP(K6, $B$2:$E$200, 4, FALSE), "")</f>
        <v>96208340.170873657</v>
      </c>
      <c r="O6" s="72" t="s">
        <v>142</v>
      </c>
      <c r="P6" s="38">
        <f t="shared" ref="P6:P25" si="2">_xlfn.IFNA(VLOOKUP(O6, $B$2:$D$200, 2, FALSE), "")</f>
        <v>673</v>
      </c>
      <c r="Q6" s="76">
        <f t="shared" ref="Q6:Q25" si="3">_xlfn.IFNA(VLOOKUP(O6, $B$2:$D$200, 3, FALSE), "")</f>
        <v>0.26981132079999998</v>
      </c>
      <c r="R6" s="85">
        <f>_xlfn.IFNA(VLOOKUP(O6, $B$2:$E$200, 4, FALSE), "")</f>
        <v>1456574537.5237417</v>
      </c>
    </row>
    <row r="7" spans="1:18">
      <c r="A7" s="40" t="s">
        <v>93</v>
      </c>
      <c r="B7" s="11" t="s">
        <v>94</v>
      </c>
      <c r="C7" s="95">
        <v>62430</v>
      </c>
      <c r="D7" s="92">
        <v>5.2604957000000001E-2</v>
      </c>
      <c r="E7" s="93">
        <v>642154.84679161001</v>
      </c>
      <c r="F7" s="35"/>
      <c r="G7" s="201" t="s">
        <v>36</v>
      </c>
      <c r="H7" s="202"/>
      <c r="I7" s="203"/>
      <c r="K7" s="56" t="str">
        <f ca="1">IFERROR(OFFSET(INDIRECT($H$3 &amp; "!A17"), 1, 0), "")</f>
        <v>메디블록</v>
      </c>
      <c r="L7" s="39">
        <f t="shared" ca="1" si="0"/>
        <v>67.2</v>
      </c>
      <c r="M7" s="77">
        <f t="shared" ca="1" si="1"/>
        <v>-6.9252077600000003E-2</v>
      </c>
      <c r="N7" s="86">
        <f t="shared" ref="N7:N25" ca="1" si="4">_xlfn.IFNA(VLOOKUP(K7, $B$2:$E$200, 4, FALSE), "")</f>
        <v>210026683.98638946</v>
      </c>
      <c r="O7" s="88" t="s">
        <v>108</v>
      </c>
      <c r="P7" s="39">
        <f t="shared" si="2"/>
        <v>32810</v>
      </c>
      <c r="Q7" s="77">
        <f t="shared" si="3"/>
        <v>0.16223875309999999</v>
      </c>
      <c r="R7" s="86">
        <f t="shared" ref="R7:R25" si="5">_xlfn.IFNA(VLOOKUP(O7, $B$2:$E$200, 4, FALSE), "")</f>
        <v>2629871.4191744998</v>
      </c>
    </row>
    <row r="8" spans="1:18" ht="17.25" thickBot="1">
      <c r="A8" s="40" t="s">
        <v>195</v>
      </c>
      <c r="B8" s="11" t="s">
        <v>196</v>
      </c>
      <c r="C8" s="95">
        <v>11.6</v>
      </c>
      <c r="D8" s="92">
        <v>4.5045044999999999E-2</v>
      </c>
      <c r="E8" s="93">
        <v>1194179239.4282076</v>
      </c>
      <c r="F8" s="35"/>
      <c r="G8" s="207"/>
      <c r="H8" s="208"/>
      <c r="I8" s="209"/>
      <c r="K8" s="56" t="str">
        <f ca="1">IFERROR(OFFSET(INDIRECT($H$3 &amp; "!A17"), 2, 0), "")</f>
        <v>메타디움</v>
      </c>
      <c r="L8" s="39">
        <f t="shared" ca="1" si="0"/>
        <v>108</v>
      </c>
      <c r="M8" s="77">
        <f t="shared" ca="1" si="1"/>
        <v>-6.0869565200000003E-2</v>
      </c>
      <c r="N8" s="86">
        <f t="shared" ca="1" si="4"/>
        <v>97911722.712875471</v>
      </c>
      <c r="O8" s="88" t="s">
        <v>216</v>
      </c>
      <c r="P8" s="39">
        <f t="shared" si="2"/>
        <v>281</v>
      </c>
      <c r="Q8" s="77">
        <f t="shared" si="3"/>
        <v>9.3385213999999994E-2</v>
      </c>
      <c r="R8" s="86">
        <f t="shared" si="5"/>
        <v>242713036.65895849</v>
      </c>
    </row>
    <row r="9" spans="1:18" ht="17.25" thickBot="1">
      <c r="A9" s="40" t="s">
        <v>171</v>
      </c>
      <c r="B9" s="11" t="s">
        <v>172</v>
      </c>
      <c r="C9" s="95">
        <v>14.8</v>
      </c>
      <c r="D9" s="92">
        <v>4.2253521099999997E-2</v>
      </c>
      <c r="E9" s="93">
        <v>1041446596.0194943</v>
      </c>
      <c r="F9" s="35"/>
      <c r="G9" s="50" t="s">
        <v>38</v>
      </c>
      <c r="H9" s="193" t="s">
        <v>37</v>
      </c>
      <c r="I9" s="194"/>
      <c r="K9" s="56" t="str">
        <f ca="1">IFERROR(OFFSET(INDIRECT($H$3 &amp; "!A17"), 3, 0), "")</f>
        <v>크립토닷컴체인</v>
      </c>
      <c r="L9" s="39">
        <f t="shared" ca="1" si="0"/>
        <v>133</v>
      </c>
      <c r="M9" s="77">
        <f t="shared" ca="1" si="1"/>
        <v>0</v>
      </c>
      <c r="N9" s="86">
        <f t="shared" ca="1" si="4"/>
        <v>26587282.921489261</v>
      </c>
      <c r="O9" s="88" t="s">
        <v>114</v>
      </c>
      <c r="P9" s="39">
        <f t="shared" si="2"/>
        <v>10900</v>
      </c>
      <c r="Q9" s="77">
        <f t="shared" si="3"/>
        <v>7.9207920799999998E-2</v>
      </c>
      <c r="R9" s="86">
        <f t="shared" si="5"/>
        <v>15825911.020769199</v>
      </c>
    </row>
    <row r="10" spans="1:18">
      <c r="A10" s="40" t="s">
        <v>111</v>
      </c>
      <c r="B10" s="11" t="s">
        <v>112</v>
      </c>
      <c r="C10" s="95">
        <v>181</v>
      </c>
      <c r="D10" s="92">
        <v>2.84090909E-2</v>
      </c>
      <c r="E10" s="93">
        <v>351369008.9338848</v>
      </c>
      <c r="F10" s="35"/>
      <c r="G10" s="267">
        <f>_xlfn.IFNA(VLOOKUP(G7, $B$2:$D$200, 3, FALSE), "-")</f>
        <v>-1.9557649E-2</v>
      </c>
      <c r="H10" s="261">
        <f>_xlfn.IFNA(VLOOKUP(G7, $B$2:$D$200, 2, FALSE), "-")</f>
        <v>38300000</v>
      </c>
      <c r="I10" s="262"/>
      <c r="K10" s="58" t="str">
        <f ca="1">IFERROR(OFFSET(INDIRECT($H$3 &amp; "!A17"), 4, 0), "")</f>
        <v>헌트</v>
      </c>
      <c r="L10" s="44">
        <f t="shared" ca="1" si="0"/>
        <v>274</v>
      </c>
      <c r="M10" s="78">
        <f t="shared" ca="1" si="1"/>
        <v>-8.0536912799999999E-2</v>
      </c>
      <c r="N10" s="90">
        <f t="shared" ca="1" si="4"/>
        <v>19754500.732805539</v>
      </c>
      <c r="O10" s="88" t="s">
        <v>236</v>
      </c>
      <c r="P10" s="39">
        <f t="shared" si="2"/>
        <v>54.5</v>
      </c>
      <c r="Q10" s="77">
        <f t="shared" si="3"/>
        <v>6.4453125E-2</v>
      </c>
      <c r="R10" s="90">
        <f t="shared" si="5"/>
        <v>652666614.7968694</v>
      </c>
    </row>
    <row r="11" spans="1:18" ht="17.25" thickBot="1">
      <c r="A11" s="40" t="s">
        <v>53</v>
      </c>
      <c r="B11" s="11" t="s">
        <v>54</v>
      </c>
      <c r="C11" s="95">
        <v>247</v>
      </c>
      <c r="D11" s="92">
        <v>2.0661156999999999E-2</v>
      </c>
      <c r="E11" s="93">
        <v>45549881.753477141</v>
      </c>
      <c r="F11" s="35"/>
      <c r="G11" s="268"/>
      <c r="H11" s="263"/>
      <c r="I11" s="26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94</v>
      </c>
      <c r="P11" s="45">
        <f t="shared" si="2"/>
        <v>62430</v>
      </c>
      <c r="Q11" s="80">
        <f t="shared" si="3"/>
        <v>5.2604957000000001E-2</v>
      </c>
      <c r="R11" s="99">
        <f t="shared" si="5"/>
        <v>642154.84679161001</v>
      </c>
    </row>
    <row r="12" spans="1:18" ht="17.25" thickBot="1">
      <c r="A12" s="40" t="s">
        <v>249</v>
      </c>
      <c r="B12" s="11" t="s">
        <v>250</v>
      </c>
      <c r="C12" s="95">
        <v>120</v>
      </c>
      <c r="D12" s="92">
        <v>1.6949152499999998E-2</v>
      </c>
      <c r="E12" s="93">
        <v>262948803.44518512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196</v>
      </c>
      <c r="P12" s="39">
        <f t="shared" si="2"/>
        <v>11.6</v>
      </c>
      <c r="Q12" s="77">
        <f t="shared" si="3"/>
        <v>4.5045044999999999E-2</v>
      </c>
      <c r="R12" s="86">
        <f t="shared" si="5"/>
        <v>1194179239.4282076</v>
      </c>
    </row>
    <row r="13" spans="1:18" ht="17.25" thickBot="1">
      <c r="A13" s="40" t="s">
        <v>99</v>
      </c>
      <c r="B13" s="11" t="s">
        <v>100</v>
      </c>
      <c r="C13" s="95">
        <v>4.28</v>
      </c>
      <c r="D13" s="92">
        <v>1.42180095E-2</v>
      </c>
      <c r="E13" s="93">
        <v>24304805753.980038</v>
      </c>
      <c r="F13" s="35"/>
      <c r="G13" s="192" t="s">
        <v>70</v>
      </c>
      <c r="H13" s="193"/>
      <c r="I13" s="194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172</v>
      </c>
      <c r="P13" s="39">
        <f t="shared" si="2"/>
        <v>14.8</v>
      </c>
      <c r="Q13" s="77">
        <f t="shared" si="3"/>
        <v>4.2253521099999997E-2</v>
      </c>
      <c r="R13" s="86">
        <f t="shared" si="5"/>
        <v>1041446596.0194943</v>
      </c>
    </row>
    <row r="14" spans="1:18">
      <c r="A14" s="40" t="s">
        <v>183</v>
      </c>
      <c r="B14" s="11" t="s">
        <v>184</v>
      </c>
      <c r="C14" s="95">
        <v>1400</v>
      </c>
      <c r="D14" s="92">
        <v>1.08303249E-2</v>
      </c>
      <c r="E14" s="93">
        <v>5686377.24382478</v>
      </c>
      <c r="F14" s="35"/>
      <c r="G14" s="201" t="s">
        <v>36</v>
      </c>
      <c r="H14" s="202"/>
      <c r="I14" s="20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112</v>
      </c>
      <c r="P14" s="39">
        <f t="shared" si="2"/>
        <v>181</v>
      </c>
      <c r="Q14" s="77">
        <f t="shared" si="3"/>
        <v>2.84090909E-2</v>
      </c>
      <c r="R14" s="86">
        <f t="shared" si="5"/>
        <v>351369008.9338848</v>
      </c>
    </row>
    <row r="15" spans="1:18" ht="17.25" thickBot="1">
      <c r="A15" s="40" t="s">
        <v>137</v>
      </c>
      <c r="B15" s="11" t="s">
        <v>138</v>
      </c>
      <c r="C15" s="95">
        <v>25320</v>
      </c>
      <c r="D15" s="92">
        <v>4.3633478999999999E-3</v>
      </c>
      <c r="E15" s="93">
        <v>1254680.3112520699</v>
      </c>
      <c r="F15" s="35"/>
      <c r="G15" s="207"/>
      <c r="H15" s="208"/>
      <c r="I15" s="209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54</v>
      </c>
      <c r="P15" s="37">
        <f t="shared" si="2"/>
        <v>247</v>
      </c>
      <c r="Q15" s="79">
        <f t="shared" si="3"/>
        <v>2.0661156999999999E-2</v>
      </c>
      <c r="R15" s="87">
        <f t="shared" si="5"/>
        <v>45549881.753477141</v>
      </c>
    </row>
    <row r="16" spans="1:18" ht="17.25" thickBot="1">
      <c r="A16" s="40" t="s">
        <v>91</v>
      </c>
      <c r="B16" s="11" t="s">
        <v>92</v>
      </c>
      <c r="C16" s="95">
        <v>1005</v>
      </c>
      <c r="D16" s="92">
        <v>0</v>
      </c>
      <c r="E16" s="93">
        <v>449927024.07504213</v>
      </c>
      <c r="F16" s="35"/>
      <c r="G16" s="50" t="s">
        <v>38</v>
      </c>
      <c r="H16" s="193" t="s">
        <v>37</v>
      </c>
      <c r="I16" s="194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250</v>
      </c>
      <c r="P16" s="38">
        <f t="shared" si="2"/>
        <v>120</v>
      </c>
      <c r="Q16" s="76">
        <f t="shared" si="3"/>
        <v>1.6949152499999998E-2</v>
      </c>
      <c r="R16" s="85">
        <f t="shared" si="5"/>
        <v>262948803.44518512</v>
      </c>
    </row>
    <row r="17" spans="1:18">
      <c r="A17" s="40" t="s">
        <v>119</v>
      </c>
      <c r="B17" s="11" t="s">
        <v>120</v>
      </c>
      <c r="C17" s="95">
        <v>133</v>
      </c>
      <c r="D17" s="92">
        <v>0</v>
      </c>
      <c r="E17" s="93">
        <v>26587282.921489261</v>
      </c>
      <c r="F17" s="35"/>
      <c r="G17" s="267">
        <f>_xlfn.IFNA(VLOOKUP(G14, $B$2:$D$200, 3, FALSE), "-")</f>
        <v>-1.9557649E-2</v>
      </c>
      <c r="H17" s="261">
        <f>_xlfn.IFNA(VLOOKUP(G14, $B$2:$D$200, 2, FALSE), "-")</f>
        <v>38300000</v>
      </c>
      <c r="I17" s="26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100</v>
      </c>
      <c r="P17" s="39">
        <f t="shared" si="2"/>
        <v>4.28</v>
      </c>
      <c r="Q17" s="77">
        <f t="shared" si="3"/>
        <v>1.42180095E-2</v>
      </c>
      <c r="R17" s="86">
        <f t="shared" si="5"/>
        <v>24304805753.980038</v>
      </c>
    </row>
    <row r="18" spans="1:18" ht="17.25" thickBot="1">
      <c r="A18" s="40" t="s">
        <v>155</v>
      </c>
      <c r="B18" s="11" t="s">
        <v>156</v>
      </c>
      <c r="C18" s="95">
        <v>82.9</v>
      </c>
      <c r="D18" s="92">
        <v>-3.6057692000000001E-3</v>
      </c>
      <c r="E18" s="93">
        <v>214705385.60435784</v>
      </c>
      <c r="F18" s="35"/>
      <c r="G18" s="268"/>
      <c r="H18" s="263"/>
      <c r="I18" s="26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184</v>
      </c>
      <c r="P18" s="39">
        <f t="shared" si="2"/>
        <v>1400</v>
      </c>
      <c r="Q18" s="77">
        <f t="shared" si="3"/>
        <v>1.08303249E-2</v>
      </c>
      <c r="R18" s="86">
        <f t="shared" si="5"/>
        <v>5686377.24382478</v>
      </c>
    </row>
    <row r="19" spans="1:18" ht="17.25" thickBot="1">
      <c r="A19" s="40" t="s">
        <v>73</v>
      </c>
      <c r="B19" s="11" t="s">
        <v>74</v>
      </c>
      <c r="C19" s="95">
        <v>15580</v>
      </c>
      <c r="D19" s="92">
        <v>-4.4728435000000004E-3</v>
      </c>
      <c r="E19" s="93">
        <v>284441.31844192999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138</v>
      </c>
      <c r="P19" s="39">
        <f t="shared" si="2"/>
        <v>25320</v>
      </c>
      <c r="Q19" s="77">
        <f t="shared" si="3"/>
        <v>4.3633478999999999E-3</v>
      </c>
      <c r="R19" s="86">
        <f t="shared" si="5"/>
        <v>1254680.3112520699</v>
      </c>
    </row>
    <row r="20" spans="1:18" ht="17.25" thickBot="1">
      <c r="A20" s="40" t="s">
        <v>295</v>
      </c>
      <c r="B20" s="11" t="s">
        <v>296</v>
      </c>
      <c r="C20" s="95">
        <v>384</v>
      </c>
      <c r="D20" s="92">
        <v>-7.7519379999999999E-3</v>
      </c>
      <c r="E20" s="93">
        <v>938999288.15185058</v>
      </c>
      <c r="F20" s="35"/>
      <c r="G20" s="192" t="s">
        <v>286</v>
      </c>
      <c r="H20" s="193"/>
      <c r="I20" s="194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92</v>
      </c>
      <c r="P20" s="39">
        <f t="shared" si="2"/>
        <v>1005</v>
      </c>
      <c r="Q20" s="77">
        <f t="shared" si="3"/>
        <v>0</v>
      </c>
      <c r="R20" s="90">
        <f t="shared" si="5"/>
        <v>449927024.07504213</v>
      </c>
    </row>
    <row r="21" spans="1:18">
      <c r="A21" s="40" t="s">
        <v>277</v>
      </c>
      <c r="B21" s="11" t="s">
        <v>278</v>
      </c>
      <c r="C21" s="95">
        <v>74.2</v>
      </c>
      <c r="D21" s="92">
        <v>-1.19840213E-2</v>
      </c>
      <c r="E21" s="93">
        <v>71034274.226406783</v>
      </c>
      <c r="F21" s="35"/>
      <c r="G21" s="201" t="s">
        <v>36</v>
      </c>
      <c r="H21" s="202"/>
      <c r="I21" s="20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120</v>
      </c>
      <c r="P21" s="45">
        <f t="shared" si="2"/>
        <v>133</v>
      </c>
      <c r="Q21" s="80">
        <f t="shared" si="3"/>
        <v>0</v>
      </c>
      <c r="R21" s="99">
        <f t="shared" si="5"/>
        <v>26587282.921489261</v>
      </c>
    </row>
    <row r="22" spans="1:18" ht="17.25" thickBot="1">
      <c r="A22" s="40" t="s">
        <v>75</v>
      </c>
      <c r="B22" s="11" t="s">
        <v>76</v>
      </c>
      <c r="C22" s="95">
        <v>28150</v>
      </c>
      <c r="D22" s="92">
        <v>-1.43557423E-2</v>
      </c>
      <c r="E22" s="93">
        <v>1110282.8696737399</v>
      </c>
      <c r="F22" s="35"/>
      <c r="G22" s="207"/>
      <c r="H22" s="208"/>
      <c r="I22" s="209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156</v>
      </c>
      <c r="P22" s="39">
        <f t="shared" si="2"/>
        <v>82.9</v>
      </c>
      <c r="Q22" s="77">
        <f t="shared" si="3"/>
        <v>-3.6057692000000001E-3</v>
      </c>
      <c r="R22" s="86">
        <f t="shared" si="5"/>
        <v>214705385.60435784</v>
      </c>
    </row>
    <row r="23" spans="1:18" ht="17.25" thickBot="1">
      <c r="A23" s="40" t="s">
        <v>50</v>
      </c>
      <c r="B23" s="11" t="s">
        <v>51</v>
      </c>
      <c r="C23" s="95">
        <v>397</v>
      </c>
      <c r="D23" s="92">
        <v>-1.4888337499999999E-2</v>
      </c>
      <c r="E23" s="93">
        <v>66069589.023580648</v>
      </c>
      <c r="F23" s="35"/>
      <c r="G23" s="50" t="s">
        <v>38</v>
      </c>
      <c r="H23" s="193" t="s">
        <v>37</v>
      </c>
      <c r="I23" s="194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74</v>
      </c>
      <c r="P23" s="39">
        <f t="shared" si="2"/>
        <v>15580</v>
      </c>
      <c r="Q23" s="77">
        <f t="shared" si="3"/>
        <v>-4.4728435000000004E-3</v>
      </c>
      <c r="R23" s="86">
        <f t="shared" si="5"/>
        <v>284441.31844192999</v>
      </c>
    </row>
    <row r="24" spans="1:18">
      <c r="A24" s="40" t="s">
        <v>149</v>
      </c>
      <c r="B24" s="11" t="s">
        <v>150</v>
      </c>
      <c r="C24" s="95">
        <v>2205</v>
      </c>
      <c r="D24" s="92">
        <v>-1.5625E-2</v>
      </c>
      <c r="E24" s="93">
        <v>5315162.6613841103</v>
      </c>
      <c r="F24" s="35"/>
      <c r="G24" s="267">
        <f>_xlfn.IFNA(VLOOKUP(G21, $B$2:$D$200, 3, FALSE), "-")</f>
        <v>-1.9557649E-2</v>
      </c>
      <c r="H24" s="261">
        <f>_xlfn.IFNA(VLOOKUP(G21, $B$2:$D$200, 2, FALSE), "-")</f>
        <v>38300000</v>
      </c>
      <c r="I24" s="26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296</v>
      </c>
      <c r="P24" s="39">
        <f t="shared" si="2"/>
        <v>384</v>
      </c>
      <c r="Q24" s="77">
        <f t="shared" si="3"/>
        <v>-7.7519379999999999E-3</v>
      </c>
      <c r="R24" s="86">
        <f t="shared" si="5"/>
        <v>938999288.15185058</v>
      </c>
    </row>
    <row r="25" spans="1:18" ht="17.25" thickBot="1">
      <c r="A25" s="40" t="s">
        <v>48</v>
      </c>
      <c r="B25" s="11" t="s">
        <v>49</v>
      </c>
      <c r="C25" s="95">
        <v>38300000</v>
      </c>
      <c r="D25" s="92">
        <v>-1.9557649E-2</v>
      </c>
      <c r="E25" s="93">
        <v>7316.1100171300004</v>
      </c>
      <c r="F25" s="35"/>
      <c r="G25" s="268"/>
      <c r="H25" s="263"/>
      <c r="I25" s="264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278</v>
      </c>
      <c r="P25" s="37">
        <f t="shared" si="2"/>
        <v>74.2</v>
      </c>
      <c r="Q25" s="79">
        <f t="shared" si="3"/>
        <v>-1.19840213E-2</v>
      </c>
      <c r="R25" s="87">
        <f t="shared" si="5"/>
        <v>71034274.226406783</v>
      </c>
    </row>
    <row r="26" spans="1:18">
      <c r="A26" s="40" t="s">
        <v>143</v>
      </c>
      <c r="B26" s="11" t="s">
        <v>144</v>
      </c>
      <c r="C26" s="95">
        <v>6120</v>
      </c>
      <c r="D26" s="92">
        <v>-2.0799999999999999E-2</v>
      </c>
      <c r="E26" s="93">
        <v>1882372.59745039</v>
      </c>
      <c r="F26" s="35"/>
    </row>
    <row r="27" spans="1:18" ht="17.25" thickBot="1">
      <c r="A27" s="40" t="s">
        <v>79</v>
      </c>
      <c r="B27" s="11" t="s">
        <v>80</v>
      </c>
      <c r="C27" s="95">
        <v>790</v>
      </c>
      <c r="D27" s="92">
        <v>-2.10656753E-2</v>
      </c>
      <c r="E27" s="93">
        <v>3886081.7660828698</v>
      </c>
      <c r="F27" s="35"/>
    </row>
    <row r="28" spans="1:18" ht="17.25" thickBot="1">
      <c r="A28" s="40" t="s">
        <v>77</v>
      </c>
      <c r="B28" s="11" t="s">
        <v>78</v>
      </c>
      <c r="C28" s="95">
        <v>678800</v>
      </c>
      <c r="D28" s="92">
        <v>-2.11968277E-2</v>
      </c>
      <c r="E28" s="93">
        <v>47858.574210879997</v>
      </c>
      <c r="F28" s="35"/>
      <c r="G28" s="192" t="s">
        <v>46</v>
      </c>
      <c r="H28" s="193"/>
      <c r="I28" s="193"/>
      <c r="J28" s="194"/>
      <c r="K28" s="192" t="s">
        <v>44</v>
      </c>
      <c r="L28" s="193"/>
      <c r="M28" s="193"/>
      <c r="N28" s="194"/>
      <c r="O28" s="192" t="s">
        <v>45</v>
      </c>
      <c r="P28" s="193"/>
      <c r="Q28" s="193"/>
      <c r="R28" s="194"/>
    </row>
    <row r="29" spans="1:18" ht="17.25" thickBot="1">
      <c r="A29" s="40" t="s">
        <v>83</v>
      </c>
      <c r="B29" s="11" t="s">
        <v>84</v>
      </c>
      <c r="C29" s="95">
        <v>1785</v>
      </c>
      <c r="D29" s="92">
        <v>-2.19178082E-2</v>
      </c>
      <c r="E29" s="93">
        <v>60572335.417520039</v>
      </c>
      <c r="F29" s="35"/>
      <c r="G29" s="257" t="s">
        <v>55</v>
      </c>
      <c r="H29" s="269">
        <f ca="1">NOW()</f>
        <v>44355.875786458331</v>
      </c>
      <c r="I29" s="270"/>
      <c r="J29" s="271"/>
      <c r="K29" s="260" t="s">
        <v>55</v>
      </c>
      <c r="L29" s="269">
        <f ca="1">NOW()</f>
        <v>44355.875786458331</v>
      </c>
      <c r="M29" s="270"/>
      <c r="N29" s="271"/>
      <c r="O29" s="260" t="s">
        <v>55</v>
      </c>
      <c r="P29" s="269">
        <f ca="1">NOW()</f>
        <v>44355.875786458331</v>
      </c>
      <c r="Q29" s="270"/>
      <c r="R29" s="271"/>
    </row>
    <row r="30" spans="1:18" ht="17.25" thickBot="1">
      <c r="A30" s="40" t="s">
        <v>97</v>
      </c>
      <c r="B30" s="11" t="s">
        <v>98</v>
      </c>
      <c r="C30" s="95">
        <v>3965</v>
      </c>
      <c r="D30" s="92">
        <v>-2.2194821199999999E-2</v>
      </c>
      <c r="E30" s="93">
        <v>2199011.4866093802</v>
      </c>
      <c r="F30" s="35"/>
      <c r="G30" s="254"/>
      <c r="H30" s="51" t="s">
        <v>58</v>
      </c>
      <c r="I30" s="73" t="s">
        <v>59</v>
      </c>
      <c r="J30" s="69" t="s">
        <v>294</v>
      </c>
      <c r="K30" s="209"/>
      <c r="L30" s="51" t="s">
        <v>58</v>
      </c>
      <c r="M30" s="73" t="s">
        <v>59</v>
      </c>
      <c r="N30" s="91" t="s">
        <v>294</v>
      </c>
      <c r="O30" s="209"/>
      <c r="P30" s="51" t="s">
        <v>58</v>
      </c>
      <c r="Q30" s="73" t="s">
        <v>59</v>
      </c>
      <c r="R30" s="91" t="s">
        <v>294</v>
      </c>
    </row>
    <row r="31" spans="1:18">
      <c r="A31" s="40" t="s">
        <v>129</v>
      </c>
      <c r="B31" s="11" t="s">
        <v>130</v>
      </c>
      <c r="C31" s="95">
        <v>184050</v>
      </c>
      <c r="D31" s="92">
        <v>-2.2310757000000001E-2</v>
      </c>
      <c r="E31" s="93">
        <v>90732.429639180002</v>
      </c>
      <c r="F31" s="35"/>
      <c r="G31" s="52" t="s">
        <v>142</v>
      </c>
      <c r="H31" s="38">
        <f t="shared" ref="H31:H50" si="6">_xlfn.IFNA(VLOOKUP(G31, $B$2:$D$200, 2, FALSE), "")</f>
        <v>673</v>
      </c>
      <c r="I31" s="76">
        <f t="shared" ref="I31:I50" si="7">_xlfn.IFNA(VLOOKUP(G31, $B$2:$D$200, 3, FALSE), "")</f>
        <v>0.26981132079999998</v>
      </c>
      <c r="J31" s="85">
        <f>_xlfn.IFNA(VLOOKUP(G31, $B$2:$E$200, 4, FALSE), "")</f>
        <v>1456574537.5237417</v>
      </c>
      <c r="K31" s="81" t="s">
        <v>236</v>
      </c>
      <c r="L31" s="38">
        <f t="shared" ref="L31:L50" si="8">_xlfn.IFNA(VLOOKUP(K31, $B$2:$D$200, 2, FALSE), "")</f>
        <v>54.5</v>
      </c>
      <c r="M31" s="76">
        <f t="shared" ref="M31:M50" si="9">_xlfn.IFNA(VLOOKUP(K31, $B$2:$D$200, 3, FALSE), "")</f>
        <v>6.4453125E-2</v>
      </c>
      <c r="N31" s="85">
        <f>_xlfn.IFNA(VLOOKUP(K31, $B$2:$E$200, 4, FALSE), "")</f>
        <v>652666614.7968694</v>
      </c>
      <c r="O31" s="81" t="s">
        <v>142</v>
      </c>
      <c r="P31" s="38">
        <f t="shared" ref="P31:P50" si="10">_xlfn.IFNA(VLOOKUP(O31, $B$2:$D$200, 2, FALSE), "")</f>
        <v>673</v>
      </c>
      <c r="Q31" s="76">
        <f t="shared" ref="Q31:Q50" si="11">_xlfn.IFNA(VLOOKUP(O31, $B$2:$D$200, 3, FALSE), "")</f>
        <v>0.26981132079999998</v>
      </c>
      <c r="R31" s="85">
        <f>_xlfn.IFNA(VLOOKUP(O31, $B$2:$E$200, 4, FALSE), "")</f>
        <v>1456574537.5237417</v>
      </c>
    </row>
    <row r="32" spans="1:18">
      <c r="A32" s="40" t="s">
        <v>159</v>
      </c>
      <c r="B32" s="11" t="s">
        <v>160</v>
      </c>
      <c r="C32" s="95">
        <v>1520</v>
      </c>
      <c r="D32" s="92">
        <v>-2.2508038599999999E-2</v>
      </c>
      <c r="E32" s="93">
        <v>4653372.61221998</v>
      </c>
      <c r="F32" s="35"/>
      <c r="G32" s="47" t="s">
        <v>108</v>
      </c>
      <c r="H32" s="39">
        <f t="shared" si="6"/>
        <v>32810</v>
      </c>
      <c r="I32" s="77">
        <f t="shared" si="7"/>
        <v>0.16223875309999999</v>
      </c>
      <c r="J32" s="86">
        <f t="shared" ref="J32:J50" si="12">_xlfn.IFNA(VLOOKUP(G32, $B$2:$E$200, 4, FALSE), "")</f>
        <v>2629871.4191744998</v>
      </c>
      <c r="K32" s="82" t="s">
        <v>196</v>
      </c>
      <c r="L32" s="39">
        <f t="shared" si="8"/>
        <v>11.6</v>
      </c>
      <c r="M32" s="77">
        <f t="shared" si="9"/>
        <v>4.5045044999999999E-2</v>
      </c>
      <c r="N32" s="86">
        <f t="shared" ref="N32:N50" si="13">_xlfn.IFNA(VLOOKUP(K32, $B$2:$E$200, 4, FALSE), "")</f>
        <v>1194179239.4282076</v>
      </c>
      <c r="O32" s="82" t="s">
        <v>216</v>
      </c>
      <c r="P32" s="39">
        <f t="shared" si="10"/>
        <v>281</v>
      </c>
      <c r="Q32" s="77">
        <f t="shared" si="11"/>
        <v>9.3385213999999994E-2</v>
      </c>
      <c r="R32" s="86">
        <f t="shared" ref="R32:R50" si="14">_xlfn.IFNA(VLOOKUP(O32, $B$2:$E$200, 4, FALSE), "")</f>
        <v>242713036.65895849</v>
      </c>
    </row>
    <row r="33" spans="1:18">
      <c r="A33" s="40" t="s">
        <v>135</v>
      </c>
      <c r="B33" s="11" t="s">
        <v>136</v>
      </c>
      <c r="C33" s="95">
        <v>126</v>
      </c>
      <c r="D33" s="92">
        <v>-2.3255814E-2</v>
      </c>
      <c r="E33" s="93">
        <v>33001690.316377722</v>
      </c>
      <c r="F33" s="35"/>
      <c r="G33" s="47" t="s">
        <v>216</v>
      </c>
      <c r="H33" s="39">
        <f t="shared" si="6"/>
        <v>281</v>
      </c>
      <c r="I33" s="77">
        <f t="shared" si="7"/>
        <v>9.3385213999999994E-2</v>
      </c>
      <c r="J33" s="86">
        <f t="shared" si="12"/>
        <v>242713036.65895849</v>
      </c>
      <c r="K33" s="82" t="s">
        <v>172</v>
      </c>
      <c r="L33" s="39">
        <f t="shared" si="8"/>
        <v>14.8</v>
      </c>
      <c r="M33" s="77">
        <f t="shared" si="9"/>
        <v>4.2253521099999997E-2</v>
      </c>
      <c r="N33" s="86">
        <f t="shared" si="13"/>
        <v>1041446596.0194943</v>
      </c>
      <c r="O33" s="82" t="s">
        <v>112</v>
      </c>
      <c r="P33" s="39">
        <f t="shared" si="10"/>
        <v>181</v>
      </c>
      <c r="Q33" s="77">
        <f t="shared" si="11"/>
        <v>2.84090909E-2</v>
      </c>
      <c r="R33" s="86">
        <f t="shared" si="14"/>
        <v>351369008.9338848</v>
      </c>
    </row>
    <row r="34" spans="1:18">
      <c r="A34" s="40" t="s">
        <v>139</v>
      </c>
      <c r="B34" s="11" t="s">
        <v>140</v>
      </c>
      <c r="C34" s="95">
        <v>2355</v>
      </c>
      <c r="D34" s="92">
        <v>-2.6859504100000001E-2</v>
      </c>
      <c r="E34" s="93">
        <v>1156550.4343230701</v>
      </c>
      <c r="F34" s="35"/>
      <c r="G34" s="47" t="s">
        <v>114</v>
      </c>
      <c r="H34" s="39">
        <f t="shared" si="6"/>
        <v>10900</v>
      </c>
      <c r="I34" s="77">
        <f t="shared" si="7"/>
        <v>7.9207920799999998E-2</v>
      </c>
      <c r="J34" s="86">
        <f t="shared" si="12"/>
        <v>15825911.020769199</v>
      </c>
      <c r="K34" s="82" t="s">
        <v>100</v>
      </c>
      <c r="L34" s="39">
        <f t="shared" si="8"/>
        <v>4.28</v>
      </c>
      <c r="M34" s="77">
        <f t="shared" si="9"/>
        <v>1.42180095E-2</v>
      </c>
      <c r="N34" s="86">
        <f t="shared" si="13"/>
        <v>24304805753.980038</v>
      </c>
      <c r="O34" s="82" t="s">
        <v>54</v>
      </c>
      <c r="P34" s="39">
        <f t="shared" si="10"/>
        <v>247</v>
      </c>
      <c r="Q34" s="77">
        <f t="shared" si="11"/>
        <v>2.0661156999999999E-2</v>
      </c>
      <c r="R34" s="86">
        <f t="shared" si="14"/>
        <v>45549881.753477141</v>
      </c>
    </row>
    <row r="35" spans="1:18">
      <c r="A35" s="40" t="s">
        <v>147</v>
      </c>
      <c r="B35" s="11" t="s">
        <v>148</v>
      </c>
      <c r="C35" s="95">
        <v>107</v>
      </c>
      <c r="D35" s="92">
        <v>-2.7272727300000001E-2</v>
      </c>
      <c r="E35" s="93">
        <v>32348118.51652135</v>
      </c>
      <c r="F35" s="35"/>
      <c r="G35" s="47" t="s">
        <v>236</v>
      </c>
      <c r="H35" s="44">
        <f t="shared" si="6"/>
        <v>54.5</v>
      </c>
      <c r="I35" s="78">
        <f t="shared" si="7"/>
        <v>6.4453125E-2</v>
      </c>
      <c r="J35" s="90">
        <f t="shared" si="12"/>
        <v>652666614.7968694</v>
      </c>
      <c r="K35" s="83" t="s">
        <v>156</v>
      </c>
      <c r="L35" s="44">
        <f t="shared" si="8"/>
        <v>82.9</v>
      </c>
      <c r="M35" s="78">
        <f t="shared" si="9"/>
        <v>-3.6057692000000001E-3</v>
      </c>
      <c r="N35" s="90">
        <f t="shared" si="13"/>
        <v>214705385.60435784</v>
      </c>
      <c r="O35" s="83" t="s">
        <v>250</v>
      </c>
      <c r="P35" s="44">
        <f t="shared" si="10"/>
        <v>120</v>
      </c>
      <c r="Q35" s="78">
        <f t="shared" si="11"/>
        <v>1.6949152499999998E-2</v>
      </c>
      <c r="R35" s="90">
        <f t="shared" si="14"/>
        <v>262948803.44518512</v>
      </c>
    </row>
    <row r="36" spans="1:18">
      <c r="A36" s="40" t="s">
        <v>153</v>
      </c>
      <c r="B36" s="11" t="s">
        <v>154</v>
      </c>
      <c r="C36" s="95">
        <v>10.5</v>
      </c>
      <c r="D36" s="92">
        <v>-2.77777778E-2</v>
      </c>
      <c r="E36" s="93">
        <v>757778428.68851018</v>
      </c>
      <c r="F36" s="35"/>
      <c r="G36" s="49" t="s">
        <v>94</v>
      </c>
      <c r="H36" s="39">
        <f t="shared" si="6"/>
        <v>62430</v>
      </c>
      <c r="I36" s="77">
        <f t="shared" si="7"/>
        <v>5.2604957000000001E-2</v>
      </c>
      <c r="J36" s="99">
        <f t="shared" si="12"/>
        <v>642154.84679161001</v>
      </c>
      <c r="K36" s="82" t="s">
        <v>278</v>
      </c>
      <c r="L36" s="39">
        <f t="shared" si="8"/>
        <v>74.2</v>
      </c>
      <c r="M36" s="77">
        <f t="shared" si="9"/>
        <v>-1.19840213E-2</v>
      </c>
      <c r="N36" s="99">
        <f t="shared" si="13"/>
        <v>71034274.226406783</v>
      </c>
      <c r="O36" s="82" t="s">
        <v>120</v>
      </c>
      <c r="P36" s="39">
        <f t="shared" si="10"/>
        <v>133</v>
      </c>
      <c r="Q36" s="77">
        <f t="shared" si="11"/>
        <v>0</v>
      </c>
      <c r="R36" s="99">
        <f t="shared" si="14"/>
        <v>26587282.921489261</v>
      </c>
    </row>
    <row r="37" spans="1:18">
      <c r="A37" s="40" t="s">
        <v>175</v>
      </c>
      <c r="B37" s="11" t="s">
        <v>176</v>
      </c>
      <c r="C37" s="95">
        <v>1045</v>
      </c>
      <c r="D37" s="92">
        <v>-2.7906976699999999E-2</v>
      </c>
      <c r="E37" s="93">
        <v>5005819.1480334401</v>
      </c>
      <c r="F37" s="35"/>
      <c r="G37" s="47" t="s">
        <v>196</v>
      </c>
      <c r="H37" s="39">
        <f t="shared" si="6"/>
        <v>11.6</v>
      </c>
      <c r="I37" s="77">
        <f t="shared" si="7"/>
        <v>4.5045044999999999E-2</v>
      </c>
      <c r="J37" s="86">
        <f t="shared" si="12"/>
        <v>1194179239.4282076</v>
      </c>
      <c r="K37" s="82" t="s">
        <v>154</v>
      </c>
      <c r="L37" s="39">
        <f t="shared" si="8"/>
        <v>10.5</v>
      </c>
      <c r="M37" s="77">
        <f t="shared" si="9"/>
        <v>-2.77777778E-2</v>
      </c>
      <c r="N37" s="86">
        <f t="shared" si="13"/>
        <v>757778428.68851018</v>
      </c>
      <c r="O37" s="82" t="s">
        <v>296</v>
      </c>
      <c r="P37" s="39">
        <f t="shared" si="10"/>
        <v>384</v>
      </c>
      <c r="Q37" s="77">
        <f t="shared" si="11"/>
        <v>-7.7519379999999999E-3</v>
      </c>
      <c r="R37" s="86">
        <f t="shared" si="14"/>
        <v>938999288.15185058</v>
      </c>
    </row>
    <row r="38" spans="1:18">
      <c r="A38" s="40" t="s">
        <v>64</v>
      </c>
      <c r="B38" s="11" t="s">
        <v>65</v>
      </c>
      <c r="C38" s="95">
        <v>33.700000000000003</v>
      </c>
      <c r="D38" s="92">
        <v>-2.8818443799999999E-2</v>
      </c>
      <c r="E38" s="93">
        <v>69020150.158631325</v>
      </c>
      <c r="F38" s="35"/>
      <c r="G38" s="47" t="s">
        <v>172</v>
      </c>
      <c r="H38" s="39">
        <f t="shared" si="6"/>
        <v>14.8</v>
      </c>
      <c r="I38" s="77">
        <f t="shared" si="7"/>
        <v>4.2253521099999997E-2</v>
      </c>
      <c r="J38" s="86">
        <f t="shared" si="12"/>
        <v>1041446596.0194943</v>
      </c>
      <c r="K38" s="82" t="s">
        <v>65</v>
      </c>
      <c r="L38" s="39">
        <f t="shared" si="8"/>
        <v>33.700000000000003</v>
      </c>
      <c r="M38" s="77">
        <f t="shared" si="9"/>
        <v>-2.8818443799999999E-2</v>
      </c>
      <c r="N38" s="86">
        <f t="shared" si="13"/>
        <v>69020150.158631325</v>
      </c>
      <c r="O38" s="82" t="s">
        <v>51</v>
      </c>
      <c r="P38" s="39">
        <f t="shared" si="10"/>
        <v>397</v>
      </c>
      <c r="Q38" s="77">
        <f t="shared" si="11"/>
        <v>-1.4888337499999999E-2</v>
      </c>
      <c r="R38" s="86">
        <f t="shared" si="14"/>
        <v>66069589.023580648</v>
      </c>
    </row>
    <row r="39" spans="1:18">
      <c r="A39" s="40" t="s">
        <v>95</v>
      </c>
      <c r="B39" s="11" t="s">
        <v>96</v>
      </c>
      <c r="C39" s="95">
        <v>2932000</v>
      </c>
      <c r="D39" s="92">
        <v>-2.94604436E-2</v>
      </c>
      <c r="E39" s="93">
        <v>181075.62554986001</v>
      </c>
      <c r="F39" s="35"/>
      <c r="G39" s="47" t="s">
        <v>112</v>
      </c>
      <c r="H39" s="39">
        <f t="shared" si="6"/>
        <v>181</v>
      </c>
      <c r="I39" s="77">
        <f t="shared" si="7"/>
        <v>2.84090909E-2</v>
      </c>
      <c r="J39" s="86">
        <f t="shared" si="12"/>
        <v>351369008.9338848</v>
      </c>
      <c r="K39" s="82" t="s">
        <v>152</v>
      </c>
      <c r="L39" s="39">
        <f t="shared" si="8"/>
        <v>18.600000000000001</v>
      </c>
      <c r="M39" s="77">
        <f t="shared" si="9"/>
        <v>-3.125E-2</v>
      </c>
      <c r="N39" s="86">
        <f t="shared" si="13"/>
        <v>384746644.69631863</v>
      </c>
      <c r="O39" s="82" t="s">
        <v>80</v>
      </c>
      <c r="P39" s="39">
        <f t="shared" si="10"/>
        <v>790</v>
      </c>
      <c r="Q39" s="77">
        <f t="shared" si="11"/>
        <v>-2.10656753E-2</v>
      </c>
      <c r="R39" s="86">
        <f t="shared" si="14"/>
        <v>3886081.7660828698</v>
      </c>
    </row>
    <row r="40" spans="1:18" ht="17.25" thickBot="1">
      <c r="A40" s="40" t="s">
        <v>85</v>
      </c>
      <c r="B40" s="11" t="s">
        <v>86</v>
      </c>
      <c r="C40" s="95">
        <v>5845</v>
      </c>
      <c r="D40" s="92">
        <v>-2.9875518699999999E-2</v>
      </c>
      <c r="E40" s="93">
        <v>16674201.161221189</v>
      </c>
      <c r="F40" s="35"/>
      <c r="G40" s="53" t="s">
        <v>54</v>
      </c>
      <c r="H40" s="37">
        <f t="shared" si="6"/>
        <v>247</v>
      </c>
      <c r="I40" s="79">
        <f t="shared" si="7"/>
        <v>2.0661156999999999E-2</v>
      </c>
      <c r="J40" s="87">
        <f t="shared" si="12"/>
        <v>45549881.753477141</v>
      </c>
      <c r="K40" s="84" t="s">
        <v>222</v>
      </c>
      <c r="L40" s="37">
        <f t="shared" si="8"/>
        <v>10.6</v>
      </c>
      <c r="M40" s="79">
        <f t="shared" si="9"/>
        <v>-4.5045044999999999E-2</v>
      </c>
      <c r="N40" s="87">
        <f t="shared" si="13"/>
        <v>310249708.01386791</v>
      </c>
      <c r="O40" s="84" t="s">
        <v>136</v>
      </c>
      <c r="P40" s="37">
        <f t="shared" si="10"/>
        <v>126</v>
      </c>
      <c r="Q40" s="79">
        <f t="shared" si="11"/>
        <v>-2.3255814E-2</v>
      </c>
      <c r="R40" s="87">
        <f t="shared" si="14"/>
        <v>33001690.316377722</v>
      </c>
    </row>
    <row r="41" spans="1:18">
      <c r="A41" s="40" t="s">
        <v>117</v>
      </c>
      <c r="B41" s="11" t="s">
        <v>118</v>
      </c>
      <c r="C41" s="95">
        <v>4680</v>
      </c>
      <c r="D41" s="92">
        <v>-3.00518135E-2</v>
      </c>
      <c r="E41" s="93">
        <v>942854.38919176999</v>
      </c>
      <c r="F41" s="35"/>
      <c r="G41" s="52" t="s">
        <v>250</v>
      </c>
      <c r="H41" s="38">
        <f t="shared" si="6"/>
        <v>120</v>
      </c>
      <c r="I41" s="76">
        <f t="shared" si="7"/>
        <v>1.6949152499999998E-2</v>
      </c>
      <c r="J41" s="85">
        <f t="shared" si="12"/>
        <v>262948803.44518512</v>
      </c>
      <c r="K41" s="81" t="s">
        <v>168</v>
      </c>
      <c r="L41" s="38">
        <f t="shared" si="8"/>
        <v>94</v>
      </c>
      <c r="M41" s="76">
        <f t="shared" si="9"/>
        <v>-5.2419354799999998E-2</v>
      </c>
      <c r="N41" s="85">
        <f t="shared" si="13"/>
        <v>160909126.75667223</v>
      </c>
      <c r="O41" s="81" t="s">
        <v>148</v>
      </c>
      <c r="P41" s="38">
        <f t="shared" si="10"/>
        <v>107</v>
      </c>
      <c r="Q41" s="76">
        <f t="shared" si="11"/>
        <v>-2.7272727300000001E-2</v>
      </c>
      <c r="R41" s="85">
        <f t="shared" si="14"/>
        <v>32348118.51652135</v>
      </c>
    </row>
    <row r="42" spans="1:18">
      <c r="A42" s="40" t="s">
        <v>163</v>
      </c>
      <c r="B42" s="11" t="s">
        <v>164</v>
      </c>
      <c r="C42" s="95">
        <v>16020</v>
      </c>
      <c r="D42" s="92">
        <v>-3.0266343800000001E-2</v>
      </c>
      <c r="E42" s="93">
        <v>583984.30099804001</v>
      </c>
      <c r="F42" s="35"/>
      <c r="G42" s="47" t="s">
        <v>100</v>
      </c>
      <c r="H42" s="39">
        <f t="shared" si="6"/>
        <v>4.28</v>
      </c>
      <c r="I42" s="77">
        <f t="shared" si="7"/>
        <v>1.42180095E-2</v>
      </c>
      <c r="J42" s="86">
        <f t="shared" si="12"/>
        <v>24304805753.980038</v>
      </c>
      <c r="K42" s="82" t="s">
        <v>214</v>
      </c>
      <c r="L42" s="39">
        <f t="shared" si="8"/>
        <v>12.5</v>
      </c>
      <c r="M42" s="77">
        <f t="shared" si="9"/>
        <v>-5.3030303000000001E-2</v>
      </c>
      <c r="N42" s="86">
        <f t="shared" si="13"/>
        <v>295836657.56399912</v>
      </c>
      <c r="O42" s="82" t="s">
        <v>88</v>
      </c>
      <c r="P42" s="39">
        <f t="shared" si="10"/>
        <v>271</v>
      </c>
      <c r="Q42" s="77">
        <f t="shared" si="11"/>
        <v>-3.2142857099999998E-2</v>
      </c>
      <c r="R42" s="86">
        <f t="shared" si="14"/>
        <v>37831036.372935779</v>
      </c>
    </row>
    <row r="43" spans="1:18">
      <c r="A43" s="40" t="s">
        <v>89</v>
      </c>
      <c r="B43" s="11" t="s">
        <v>90</v>
      </c>
      <c r="C43" s="95">
        <v>187000</v>
      </c>
      <c r="D43" s="92">
        <v>-3.0334456799999999E-2</v>
      </c>
      <c r="E43" s="93">
        <v>39959.67045387</v>
      </c>
      <c r="F43" s="35"/>
      <c r="G43" s="47" t="s">
        <v>184</v>
      </c>
      <c r="H43" s="39">
        <f t="shared" si="6"/>
        <v>1400</v>
      </c>
      <c r="I43" s="77">
        <f t="shared" si="7"/>
        <v>1.08303249E-2</v>
      </c>
      <c r="J43" s="86">
        <f t="shared" si="12"/>
        <v>5686377.24382478</v>
      </c>
      <c r="K43" s="82" t="s">
        <v>228</v>
      </c>
      <c r="L43" s="39">
        <f t="shared" si="8"/>
        <v>9.84</v>
      </c>
      <c r="M43" s="77">
        <f t="shared" si="9"/>
        <v>-5.3846153799999998E-2</v>
      </c>
      <c r="N43" s="86">
        <f t="shared" si="13"/>
        <v>2167114919.3907743</v>
      </c>
      <c r="O43" s="82" t="s">
        <v>170</v>
      </c>
      <c r="P43" s="39">
        <f t="shared" si="10"/>
        <v>268</v>
      </c>
      <c r="Q43" s="77">
        <f t="shared" si="11"/>
        <v>-3.2490974700000001E-2</v>
      </c>
      <c r="R43" s="86">
        <f t="shared" si="14"/>
        <v>8222654.7781459698</v>
      </c>
    </row>
    <row r="44" spans="1:18">
      <c r="A44" s="40" t="s">
        <v>151</v>
      </c>
      <c r="B44" s="11" t="s">
        <v>152</v>
      </c>
      <c r="C44" s="95">
        <v>18.600000000000001</v>
      </c>
      <c r="D44" s="92">
        <v>-3.125E-2</v>
      </c>
      <c r="E44" s="93">
        <v>384746644.69631863</v>
      </c>
      <c r="F44" s="35"/>
      <c r="G44" s="47" t="s">
        <v>138</v>
      </c>
      <c r="H44" s="39">
        <f t="shared" si="6"/>
        <v>25320</v>
      </c>
      <c r="I44" s="77">
        <f t="shared" si="7"/>
        <v>4.3633478999999999E-3</v>
      </c>
      <c r="J44" s="86">
        <f t="shared" si="12"/>
        <v>1254680.3112520699</v>
      </c>
      <c r="K44" s="82" t="s">
        <v>218</v>
      </c>
      <c r="L44" s="39">
        <f t="shared" si="8"/>
        <v>15.1</v>
      </c>
      <c r="M44" s="77">
        <f t="shared" si="9"/>
        <v>-5.6250000000000001E-2</v>
      </c>
      <c r="N44" s="86">
        <f t="shared" si="13"/>
        <v>250083008.54317197</v>
      </c>
      <c r="O44" s="82" t="s">
        <v>57</v>
      </c>
      <c r="P44" s="39">
        <f t="shared" si="10"/>
        <v>192</v>
      </c>
      <c r="Q44" s="77">
        <f t="shared" si="11"/>
        <v>-3.5175879399999999E-2</v>
      </c>
      <c r="R44" s="86">
        <f t="shared" si="14"/>
        <v>51704737.979202583</v>
      </c>
    </row>
    <row r="45" spans="1:18">
      <c r="A45" s="40" t="s">
        <v>87</v>
      </c>
      <c r="B45" s="11" t="s">
        <v>88</v>
      </c>
      <c r="C45" s="95">
        <v>271</v>
      </c>
      <c r="D45" s="92">
        <v>-3.2142857099999998E-2</v>
      </c>
      <c r="E45" s="93">
        <v>37831036.372935779</v>
      </c>
      <c r="F45" s="35"/>
      <c r="G45" s="47" t="s">
        <v>92</v>
      </c>
      <c r="H45" s="44">
        <f t="shared" si="6"/>
        <v>1005</v>
      </c>
      <c r="I45" s="78">
        <f t="shared" si="7"/>
        <v>0</v>
      </c>
      <c r="J45" s="90">
        <f t="shared" si="12"/>
        <v>449927024.07504213</v>
      </c>
      <c r="K45" s="83" t="s">
        <v>126</v>
      </c>
      <c r="L45" s="44">
        <f t="shared" si="8"/>
        <v>25.7</v>
      </c>
      <c r="M45" s="78">
        <f t="shared" si="9"/>
        <v>-5.8608058599999999E-2</v>
      </c>
      <c r="N45" s="90">
        <f t="shared" si="13"/>
        <v>179523276.7337985</v>
      </c>
      <c r="O45" s="83" t="s">
        <v>232</v>
      </c>
      <c r="P45" s="44">
        <f t="shared" si="10"/>
        <v>109</v>
      </c>
      <c r="Q45" s="78">
        <f t="shared" si="11"/>
        <v>-3.5398230099999997E-2</v>
      </c>
      <c r="R45" s="90">
        <f t="shared" si="14"/>
        <v>116014363.15031163</v>
      </c>
    </row>
    <row r="46" spans="1:18">
      <c r="A46" s="40" t="s">
        <v>169</v>
      </c>
      <c r="B46" s="11" t="s">
        <v>170</v>
      </c>
      <c r="C46" s="95">
        <v>268</v>
      </c>
      <c r="D46" s="92">
        <v>-3.2490974700000001E-2</v>
      </c>
      <c r="E46" s="93">
        <v>8222654.7781459698</v>
      </c>
      <c r="F46" s="35"/>
      <c r="G46" s="49" t="s">
        <v>120</v>
      </c>
      <c r="H46" s="39">
        <f t="shared" si="6"/>
        <v>133</v>
      </c>
      <c r="I46" s="77">
        <f t="shared" si="7"/>
        <v>0</v>
      </c>
      <c r="J46" s="99">
        <f t="shared" si="12"/>
        <v>26587282.921489261</v>
      </c>
      <c r="K46" s="82" t="s">
        <v>264</v>
      </c>
      <c r="L46" s="39">
        <f t="shared" si="8"/>
        <v>76.8</v>
      </c>
      <c r="M46" s="77">
        <f t="shared" si="9"/>
        <v>-5.8823529399999998E-2</v>
      </c>
      <c r="N46" s="99">
        <f t="shared" si="13"/>
        <v>38158062.249556549</v>
      </c>
      <c r="O46" s="82" t="s">
        <v>132</v>
      </c>
      <c r="P46" s="39">
        <f t="shared" si="10"/>
        <v>129</v>
      </c>
      <c r="Q46" s="77">
        <f t="shared" si="11"/>
        <v>-3.7313432799999997E-2</v>
      </c>
      <c r="R46" s="99">
        <f t="shared" si="14"/>
        <v>1446909911.446661</v>
      </c>
    </row>
    <row r="47" spans="1:18">
      <c r="A47" s="40" t="s">
        <v>103</v>
      </c>
      <c r="B47" s="11" t="s">
        <v>104</v>
      </c>
      <c r="C47" s="95">
        <v>1110</v>
      </c>
      <c r="D47" s="92">
        <v>-3.4782608700000002E-2</v>
      </c>
      <c r="E47" s="93">
        <v>7170593.6401303103</v>
      </c>
      <c r="F47" s="35"/>
      <c r="G47" s="47" t="s">
        <v>156</v>
      </c>
      <c r="H47" s="39">
        <f t="shared" si="6"/>
        <v>82.9</v>
      </c>
      <c r="I47" s="77">
        <f t="shared" si="7"/>
        <v>-3.6057692000000001E-3</v>
      </c>
      <c r="J47" s="86">
        <f t="shared" si="12"/>
        <v>214705385.60435784</v>
      </c>
      <c r="K47" s="82" t="s">
        <v>266</v>
      </c>
      <c r="L47" s="39">
        <f t="shared" si="8"/>
        <v>51.9</v>
      </c>
      <c r="M47" s="77">
        <f t="shared" si="9"/>
        <v>-6.1482821E-2</v>
      </c>
      <c r="N47" s="86">
        <f t="shared" si="13"/>
        <v>50116376.278362907</v>
      </c>
      <c r="O47" s="82" t="s">
        <v>270</v>
      </c>
      <c r="P47" s="39">
        <f t="shared" si="10"/>
        <v>324</v>
      </c>
      <c r="Q47" s="77">
        <f t="shared" si="11"/>
        <v>-4.1420118300000003E-2</v>
      </c>
      <c r="R47" s="86">
        <f t="shared" si="14"/>
        <v>2843170.7922390602</v>
      </c>
    </row>
    <row r="48" spans="1:18">
      <c r="A48" s="40" t="s">
        <v>56</v>
      </c>
      <c r="B48" s="11" t="s">
        <v>57</v>
      </c>
      <c r="C48" s="95">
        <v>192</v>
      </c>
      <c r="D48" s="92">
        <v>-3.5175879399999999E-2</v>
      </c>
      <c r="E48" s="93">
        <v>51704737.979202583</v>
      </c>
      <c r="F48" s="35"/>
      <c r="G48" s="47" t="s">
        <v>74</v>
      </c>
      <c r="H48" s="39">
        <f t="shared" si="6"/>
        <v>15580</v>
      </c>
      <c r="I48" s="77">
        <f t="shared" si="7"/>
        <v>-4.4728435000000004E-3</v>
      </c>
      <c r="J48" s="86">
        <f t="shared" si="12"/>
        <v>284441.31844192999</v>
      </c>
      <c r="K48" s="82" t="s">
        <v>268</v>
      </c>
      <c r="L48" s="39">
        <f t="shared" si="8"/>
        <v>46.7</v>
      </c>
      <c r="M48" s="77">
        <f t="shared" si="9"/>
        <v>-6.6000000000000003E-2</v>
      </c>
      <c r="N48" s="86">
        <f t="shared" si="13"/>
        <v>46382873.574595302</v>
      </c>
      <c r="O48" s="82" t="s">
        <v>128</v>
      </c>
      <c r="P48" s="39">
        <f t="shared" si="10"/>
        <v>329</v>
      </c>
      <c r="Q48" s="77">
        <f t="shared" si="11"/>
        <v>-4.3604651199999997E-2</v>
      </c>
      <c r="R48" s="86">
        <f t="shared" si="14"/>
        <v>7344125.3611464696</v>
      </c>
    </row>
    <row r="49" spans="1:18">
      <c r="A49" s="40" t="s">
        <v>231</v>
      </c>
      <c r="B49" s="11" t="s">
        <v>232</v>
      </c>
      <c r="C49" s="95">
        <v>109</v>
      </c>
      <c r="D49" s="92">
        <v>-3.5398230099999997E-2</v>
      </c>
      <c r="E49" s="93">
        <v>116014363.15031163</v>
      </c>
      <c r="F49" s="35"/>
      <c r="G49" s="47" t="s">
        <v>296</v>
      </c>
      <c r="H49" s="39">
        <f t="shared" si="6"/>
        <v>384</v>
      </c>
      <c r="I49" s="77">
        <f t="shared" si="7"/>
        <v>-7.7519379999999999E-3</v>
      </c>
      <c r="J49" s="86">
        <f t="shared" si="12"/>
        <v>938999288.15185058</v>
      </c>
      <c r="K49" s="82" t="s">
        <v>134</v>
      </c>
      <c r="L49" s="39">
        <f t="shared" si="8"/>
        <v>86.5</v>
      </c>
      <c r="M49" s="77">
        <f t="shared" si="9"/>
        <v>-6.6882416400000005E-2</v>
      </c>
      <c r="N49" s="86">
        <f t="shared" si="13"/>
        <v>96208340.170873657</v>
      </c>
      <c r="O49" s="82" t="s">
        <v>116</v>
      </c>
      <c r="P49" s="39">
        <f t="shared" si="10"/>
        <v>328</v>
      </c>
      <c r="Q49" s="77">
        <f t="shared" si="11"/>
        <v>-4.3731778399999997E-2</v>
      </c>
      <c r="R49" s="86">
        <f t="shared" si="14"/>
        <v>21463391.49753141</v>
      </c>
    </row>
    <row r="50" spans="1:18" ht="17.25" thickBot="1">
      <c r="A50" s="40" t="s">
        <v>105</v>
      </c>
      <c r="B50" s="11" t="s">
        <v>106</v>
      </c>
      <c r="C50" s="95">
        <v>1070</v>
      </c>
      <c r="D50" s="92">
        <v>-3.6036036E-2</v>
      </c>
      <c r="E50" s="93">
        <v>1786874.8293155599</v>
      </c>
      <c r="F50" s="35"/>
      <c r="G50" s="53" t="s">
        <v>278</v>
      </c>
      <c r="H50" s="37">
        <f t="shared" si="6"/>
        <v>74.2</v>
      </c>
      <c r="I50" s="79">
        <f t="shared" si="7"/>
        <v>-1.19840213E-2</v>
      </c>
      <c r="J50" s="87">
        <f t="shared" si="12"/>
        <v>71034274.226406783</v>
      </c>
      <c r="K50" s="84" t="s">
        <v>254</v>
      </c>
      <c r="L50" s="37">
        <f t="shared" si="8"/>
        <v>44.8</v>
      </c>
      <c r="M50" s="79">
        <f t="shared" si="9"/>
        <v>-6.8607068600000001E-2</v>
      </c>
      <c r="N50" s="87">
        <f t="shared" si="13"/>
        <v>59090290.715352081</v>
      </c>
      <c r="O50" s="84" t="s">
        <v>61</v>
      </c>
      <c r="P50" s="37">
        <f t="shared" si="10"/>
        <v>825</v>
      </c>
      <c r="Q50" s="79">
        <f t="shared" si="11"/>
        <v>-4.4032445000000003E-2</v>
      </c>
      <c r="R50" s="87">
        <f t="shared" si="14"/>
        <v>23755070.792865299</v>
      </c>
    </row>
    <row r="51" spans="1:18">
      <c r="A51" s="40" t="s">
        <v>109</v>
      </c>
      <c r="B51" s="11" t="s">
        <v>110</v>
      </c>
      <c r="C51" s="95">
        <v>1165</v>
      </c>
      <c r="D51" s="92">
        <v>-3.71900826E-2</v>
      </c>
      <c r="E51" s="93">
        <v>2008373.6347094299</v>
      </c>
      <c r="F51" s="35"/>
    </row>
    <row r="52" spans="1:18" ht="17.25" thickBot="1">
      <c r="A52" s="40" t="s">
        <v>131</v>
      </c>
      <c r="B52" s="11" t="s">
        <v>132</v>
      </c>
      <c r="C52" s="95">
        <v>129</v>
      </c>
      <c r="D52" s="92">
        <v>-3.7313432799999997E-2</v>
      </c>
      <c r="E52" s="93">
        <v>1446909911.446661</v>
      </c>
      <c r="F52" s="35"/>
    </row>
    <row r="53" spans="1:18" ht="17.25" thickBot="1">
      <c r="A53" s="40" t="s">
        <v>243</v>
      </c>
      <c r="B53" s="11" t="s">
        <v>244</v>
      </c>
      <c r="C53" s="95">
        <v>1650</v>
      </c>
      <c r="D53" s="92">
        <v>-3.7900874600000002E-2</v>
      </c>
      <c r="E53" s="93">
        <v>4348561.3329651104</v>
      </c>
      <c r="F53" s="35"/>
      <c r="G53" s="192" t="s">
        <v>285</v>
      </c>
      <c r="H53" s="193"/>
      <c r="I53" s="193"/>
      <c r="J53" s="194"/>
      <c r="K53" s="192" t="s">
        <v>288</v>
      </c>
      <c r="L53" s="193"/>
      <c r="M53" s="193"/>
      <c r="N53" s="194"/>
      <c r="O53" s="192" t="s">
        <v>289</v>
      </c>
      <c r="P53" s="193"/>
      <c r="Q53" s="193"/>
      <c r="R53" s="194"/>
    </row>
    <row r="54" spans="1:18" ht="17.25" thickBot="1">
      <c r="A54" s="40" t="s">
        <v>101</v>
      </c>
      <c r="B54" s="11" t="s">
        <v>102</v>
      </c>
      <c r="C54" s="95">
        <v>64900</v>
      </c>
      <c r="D54" s="92">
        <v>-3.9656703199999997E-2</v>
      </c>
      <c r="E54" s="93">
        <v>3547421.5364012802</v>
      </c>
      <c r="F54" s="35"/>
      <c r="G54" s="257" t="s">
        <v>55</v>
      </c>
      <c r="H54" s="269">
        <f ca="1">NOW()</f>
        <v>44355.875786458331</v>
      </c>
      <c r="I54" s="270"/>
      <c r="J54" s="271"/>
      <c r="K54" s="260" t="s">
        <v>55</v>
      </c>
      <c r="L54" s="269">
        <f ca="1">NOW()</f>
        <v>44355.875786458331</v>
      </c>
      <c r="M54" s="270"/>
      <c r="N54" s="271"/>
      <c r="O54" s="260" t="s">
        <v>55</v>
      </c>
      <c r="P54" s="269">
        <f ca="1">NOW()</f>
        <v>44355.875786458331</v>
      </c>
      <c r="Q54" s="270"/>
      <c r="R54" s="271"/>
    </row>
    <row r="55" spans="1:18" ht="17.25" thickBot="1">
      <c r="A55" s="40" t="s">
        <v>187</v>
      </c>
      <c r="B55" s="11" t="s">
        <v>188</v>
      </c>
      <c r="C55" s="95">
        <v>10820</v>
      </c>
      <c r="D55" s="92">
        <v>-4.0780141800000003E-2</v>
      </c>
      <c r="E55" s="93">
        <v>3398426.6318455399</v>
      </c>
      <c r="F55" s="35"/>
      <c r="G55" s="254"/>
      <c r="H55" s="51" t="s">
        <v>58</v>
      </c>
      <c r="I55" s="73" t="s">
        <v>59</v>
      </c>
      <c r="J55" s="69" t="s">
        <v>294</v>
      </c>
      <c r="K55" s="209"/>
      <c r="L55" s="51" t="s">
        <v>58</v>
      </c>
      <c r="M55" s="73" t="s">
        <v>59</v>
      </c>
      <c r="N55" s="69" t="s">
        <v>294</v>
      </c>
      <c r="O55" s="209"/>
      <c r="P55" s="51" t="s">
        <v>58</v>
      </c>
      <c r="Q55" s="73" t="s">
        <v>59</v>
      </c>
      <c r="R55" s="69" t="s">
        <v>294</v>
      </c>
    </row>
    <row r="56" spans="1:18">
      <c r="A56" s="40" t="s">
        <v>269</v>
      </c>
      <c r="B56" s="11" t="s">
        <v>270</v>
      </c>
      <c r="C56" s="95">
        <v>324</v>
      </c>
      <c r="D56" s="92">
        <v>-4.1420118300000003E-2</v>
      </c>
      <c r="E56" s="93">
        <v>2843170.7922390602</v>
      </c>
      <c r="F56" s="35"/>
      <c r="G56" s="55" t="s">
        <v>192</v>
      </c>
      <c r="H56" s="38">
        <f t="shared" ref="H56:H75" si="15">_xlfn.IFNA(VLOOKUP(G56, $B$2:$D$200, 2, FALSE), "")</f>
        <v>1015</v>
      </c>
      <c r="I56" s="76">
        <f t="shared" ref="I56:I65" si="16">_xlfn.IFNA(VLOOKUP(G56, $B$2:$D$200, 3, FALSE), "")</f>
        <v>-7.3059360700000006E-2</v>
      </c>
      <c r="J56" s="85">
        <f>_xlfn.IFNA(VLOOKUP(G56, $B$2:$E$200, 4, FALSE), "")</f>
        <v>17768677.37087084</v>
      </c>
      <c r="K56" s="81" t="s">
        <v>65</v>
      </c>
      <c r="L56" s="38">
        <f t="shared" ref="L56:L75" si="17">_xlfn.IFNA(VLOOKUP(K56, $B$2:$D$200, 2, FALSE), "")</f>
        <v>33.700000000000003</v>
      </c>
      <c r="M56" s="76">
        <f t="shared" ref="M56:M75" si="18">_xlfn.IFNA(VLOOKUP(K56, $B$2:$D$200, 3, FALSE), "")</f>
        <v>-2.8818443799999999E-2</v>
      </c>
      <c r="N56" s="85">
        <f>_xlfn.IFNA(VLOOKUP(K56, $B$2:$E$200, 4, FALSE), "")</f>
        <v>69020150.158631325</v>
      </c>
      <c r="O56" s="81" t="s">
        <v>240</v>
      </c>
      <c r="P56" s="38">
        <f t="shared" ref="P56:P75" si="19">_xlfn.IFNA(VLOOKUP(O56, $B$2:$D$200, 2, FALSE), "")</f>
        <v>117</v>
      </c>
      <c r="Q56" s="76">
        <f t="shared" ref="Q56:Q75" si="20">_xlfn.IFNA(VLOOKUP(O56, $B$2:$D$200, 3, FALSE), "")</f>
        <v>-4.8780487800000001E-2</v>
      </c>
      <c r="R56" s="85">
        <f>_xlfn.IFNA(VLOOKUP(O56, $B$2:$E$200, 4, FALSE), "")</f>
        <v>585334535.7814734</v>
      </c>
    </row>
    <row r="57" spans="1:18">
      <c r="A57" s="40" t="s">
        <v>165</v>
      </c>
      <c r="B57" s="11" t="s">
        <v>166</v>
      </c>
      <c r="C57" s="95">
        <v>1145</v>
      </c>
      <c r="D57" s="92">
        <v>-4.1841004199999997E-2</v>
      </c>
      <c r="E57" s="93">
        <v>1924446.7462842001</v>
      </c>
      <c r="F57" s="35"/>
      <c r="G57" s="56" t="s">
        <v>72</v>
      </c>
      <c r="H57" s="39">
        <f t="shared" si="15"/>
        <v>18.899999999999999</v>
      </c>
      <c r="I57" s="77">
        <f t="shared" si="16"/>
        <v>-7.35294118E-2</v>
      </c>
      <c r="J57" s="86">
        <f t="shared" ref="J57:J75" si="21">_xlfn.IFNA(VLOOKUP(G57, $B$2:$E$200, 4, FALSE), "")</f>
        <v>317338926.42990869</v>
      </c>
      <c r="K57" s="82" t="s">
        <v>152</v>
      </c>
      <c r="L57" s="39">
        <f t="shared" si="17"/>
        <v>18.600000000000001</v>
      </c>
      <c r="M57" s="77">
        <f t="shared" si="18"/>
        <v>-3.125E-2</v>
      </c>
      <c r="N57" s="86">
        <f t="shared" ref="N57:N75" si="22">_xlfn.IFNA(VLOOKUP(K57, $B$2:$E$200, 4, FALSE), "")</f>
        <v>384746644.69631863</v>
      </c>
      <c r="O57" s="82" t="s">
        <v>200</v>
      </c>
      <c r="P57" s="39">
        <f t="shared" si="19"/>
        <v>192</v>
      </c>
      <c r="Q57" s="77">
        <f t="shared" si="20"/>
        <v>-4.9504950499999999E-2</v>
      </c>
      <c r="R57" s="86">
        <f t="shared" ref="R57:R75" si="23">_xlfn.IFNA(VLOOKUP(O57, $B$2:$E$200, 4, FALSE), "")</f>
        <v>19255797.57219898</v>
      </c>
    </row>
    <row r="58" spans="1:18">
      <c r="A58" s="40" t="s">
        <v>127</v>
      </c>
      <c r="B58" s="11" t="s">
        <v>128</v>
      </c>
      <c r="C58" s="95">
        <v>329</v>
      </c>
      <c r="D58" s="92">
        <v>-4.3604651199999997E-2</v>
      </c>
      <c r="E58" s="93">
        <v>7344125.3611464696</v>
      </c>
      <c r="F58" s="35"/>
      <c r="G58" s="56" t="s">
        <v>124</v>
      </c>
      <c r="H58" s="39">
        <f t="shared" si="15"/>
        <v>3310</v>
      </c>
      <c r="I58" s="77">
        <f t="shared" si="16"/>
        <v>-7.4125874100000003E-2</v>
      </c>
      <c r="J58" s="86">
        <f t="shared" si="21"/>
        <v>2520047.5565586798</v>
      </c>
      <c r="K58" s="82" t="s">
        <v>222</v>
      </c>
      <c r="L58" s="39">
        <f t="shared" si="17"/>
        <v>10.6</v>
      </c>
      <c r="M58" s="77">
        <f t="shared" si="18"/>
        <v>-4.5045044999999999E-2</v>
      </c>
      <c r="N58" s="86">
        <f t="shared" si="22"/>
        <v>310249708.01386791</v>
      </c>
      <c r="O58" s="82" t="s">
        <v>284</v>
      </c>
      <c r="P58" s="39">
        <f t="shared" si="19"/>
        <v>227</v>
      </c>
      <c r="Q58" s="77">
        <f t="shared" si="20"/>
        <v>-5.4166666699999998E-2</v>
      </c>
      <c r="R58" s="86">
        <f t="shared" si="23"/>
        <v>12695921.396906961</v>
      </c>
    </row>
    <row r="59" spans="1:18">
      <c r="A59" s="40" t="s">
        <v>115</v>
      </c>
      <c r="B59" s="11" t="s">
        <v>116</v>
      </c>
      <c r="C59" s="95">
        <v>328</v>
      </c>
      <c r="D59" s="92">
        <v>-4.3731778399999997E-2</v>
      </c>
      <c r="E59" s="93">
        <v>21463391.49753141</v>
      </c>
      <c r="F59" s="35"/>
      <c r="G59" s="56" t="s">
        <v>174</v>
      </c>
      <c r="H59" s="39">
        <f t="shared" si="15"/>
        <v>161</v>
      </c>
      <c r="I59" s="77">
        <f t="shared" si="16"/>
        <v>-7.4712643699999998E-2</v>
      </c>
      <c r="J59" s="86">
        <f t="shared" si="21"/>
        <v>55308126.361612417</v>
      </c>
      <c r="K59" s="82" t="s">
        <v>168</v>
      </c>
      <c r="L59" s="39">
        <f t="shared" si="17"/>
        <v>94</v>
      </c>
      <c r="M59" s="77">
        <f t="shared" si="18"/>
        <v>-5.2419354799999998E-2</v>
      </c>
      <c r="N59" s="86">
        <f t="shared" si="22"/>
        <v>160909126.75667223</v>
      </c>
      <c r="O59" s="82" t="s">
        <v>82</v>
      </c>
      <c r="P59" s="39">
        <f t="shared" si="19"/>
        <v>949</v>
      </c>
      <c r="Q59" s="77">
        <f t="shared" si="20"/>
        <v>-5.5721393000000001E-2</v>
      </c>
      <c r="R59" s="86">
        <f t="shared" si="23"/>
        <v>4254836.5747307697</v>
      </c>
    </row>
    <row r="60" spans="1:18">
      <c r="A60" s="40" t="s">
        <v>177</v>
      </c>
      <c r="B60" s="11" t="s">
        <v>178</v>
      </c>
      <c r="C60" s="95">
        <v>24600</v>
      </c>
      <c r="D60" s="92">
        <v>-4.3917605899999997E-2</v>
      </c>
      <c r="E60" s="93">
        <v>179903.06422795</v>
      </c>
      <c r="F60" s="35"/>
      <c r="G60" s="56" t="s">
        <v>198</v>
      </c>
      <c r="H60" s="39">
        <f t="shared" si="15"/>
        <v>14.6</v>
      </c>
      <c r="I60" s="77">
        <f t="shared" si="16"/>
        <v>-7.5949367099999998E-2</v>
      </c>
      <c r="J60" s="90">
        <f t="shared" si="21"/>
        <v>449904039.72546154</v>
      </c>
      <c r="K60" s="83" t="s">
        <v>214</v>
      </c>
      <c r="L60" s="44">
        <f t="shared" si="17"/>
        <v>12.5</v>
      </c>
      <c r="M60" s="78">
        <f t="shared" si="18"/>
        <v>-5.3030303000000001E-2</v>
      </c>
      <c r="N60" s="90">
        <f t="shared" si="22"/>
        <v>295836657.56399912</v>
      </c>
      <c r="O60" s="83" t="s">
        <v>238</v>
      </c>
      <c r="P60" s="44">
        <f t="shared" si="19"/>
        <v>165</v>
      </c>
      <c r="Q60" s="78">
        <f t="shared" si="20"/>
        <v>-5.71428571E-2</v>
      </c>
      <c r="R60" s="90">
        <f t="shared" si="23"/>
        <v>35744958.679921873</v>
      </c>
    </row>
    <row r="61" spans="1:18">
      <c r="A61" s="40" t="s">
        <v>60</v>
      </c>
      <c r="B61" s="11" t="s">
        <v>61</v>
      </c>
      <c r="C61" s="95">
        <v>825</v>
      </c>
      <c r="D61" s="92">
        <v>-4.4032445000000003E-2</v>
      </c>
      <c r="E61" s="93">
        <v>23755070.792865299</v>
      </c>
      <c r="F61" s="35"/>
      <c r="G61" s="60" t="s">
        <v>256</v>
      </c>
      <c r="H61" s="45">
        <f t="shared" si="15"/>
        <v>158</v>
      </c>
      <c r="I61" s="80">
        <f t="shared" si="16"/>
        <v>-7.6023391800000006E-2</v>
      </c>
      <c r="J61" s="99">
        <f t="shared" si="21"/>
        <v>16788254.919228781</v>
      </c>
      <c r="K61" s="82" t="s">
        <v>228</v>
      </c>
      <c r="L61" s="39">
        <f t="shared" si="17"/>
        <v>9.84</v>
      </c>
      <c r="M61" s="77">
        <f t="shared" si="18"/>
        <v>-5.3846153799999998E-2</v>
      </c>
      <c r="N61" s="99">
        <f t="shared" si="22"/>
        <v>2167114919.3907743</v>
      </c>
      <c r="O61" s="82" t="s">
        <v>262</v>
      </c>
      <c r="P61" s="39">
        <f t="shared" si="19"/>
        <v>569</v>
      </c>
      <c r="Q61" s="77">
        <f t="shared" si="20"/>
        <v>-5.7947019900000001E-2</v>
      </c>
      <c r="R61" s="99">
        <f t="shared" si="23"/>
        <v>7625865.4025908196</v>
      </c>
    </row>
    <row r="62" spans="1:18">
      <c r="A62" s="40" t="s">
        <v>62</v>
      </c>
      <c r="B62" s="11" t="s">
        <v>63</v>
      </c>
      <c r="C62" s="95">
        <v>56850</v>
      </c>
      <c r="D62" s="92">
        <v>-4.4216543400000002E-2</v>
      </c>
      <c r="E62" s="93">
        <v>452886.84662457998</v>
      </c>
      <c r="F62" s="35"/>
      <c r="G62" s="56" t="s">
        <v>280</v>
      </c>
      <c r="H62" s="39">
        <f t="shared" si="15"/>
        <v>947</v>
      </c>
      <c r="I62" s="77">
        <f t="shared" si="16"/>
        <v>-7.6097560999999994E-2</v>
      </c>
      <c r="J62" s="86">
        <f t="shared" si="21"/>
        <v>4923800.27323543</v>
      </c>
      <c r="K62" s="82" t="s">
        <v>218</v>
      </c>
      <c r="L62" s="39">
        <f t="shared" si="17"/>
        <v>15.1</v>
      </c>
      <c r="M62" s="77">
        <f t="shared" si="18"/>
        <v>-5.6250000000000001E-2</v>
      </c>
      <c r="N62" s="86">
        <f t="shared" si="22"/>
        <v>250083008.54317197</v>
      </c>
      <c r="O62" s="82" t="s">
        <v>258</v>
      </c>
      <c r="P62" s="39">
        <f t="shared" si="19"/>
        <v>432</v>
      </c>
      <c r="Q62" s="77">
        <f t="shared" si="20"/>
        <v>-6.0869565200000003E-2</v>
      </c>
      <c r="R62" s="86">
        <f t="shared" si="23"/>
        <v>6035459.0462828698</v>
      </c>
    </row>
    <row r="63" spans="1:18">
      <c r="A63" s="40" t="s">
        <v>157</v>
      </c>
      <c r="B63" s="11" t="s">
        <v>158</v>
      </c>
      <c r="C63" s="95">
        <v>4480</v>
      </c>
      <c r="D63" s="92">
        <v>-4.4776119400000002E-2</v>
      </c>
      <c r="E63" s="93">
        <v>791493.07109096996</v>
      </c>
      <c r="F63" s="35"/>
      <c r="G63" s="56" t="s">
        <v>234</v>
      </c>
      <c r="H63" s="39">
        <f t="shared" si="15"/>
        <v>733</v>
      </c>
      <c r="I63" s="77">
        <f t="shared" si="16"/>
        <v>-7.6826196499999999E-2</v>
      </c>
      <c r="J63" s="86">
        <f t="shared" si="21"/>
        <v>6389807.0592625001</v>
      </c>
      <c r="K63" s="82" t="s">
        <v>126</v>
      </c>
      <c r="L63" s="39">
        <f t="shared" si="17"/>
        <v>25.7</v>
      </c>
      <c r="M63" s="77">
        <f t="shared" si="18"/>
        <v>-5.8608058599999999E-2</v>
      </c>
      <c r="N63" s="86">
        <f t="shared" si="22"/>
        <v>179523276.7337985</v>
      </c>
      <c r="O63" s="82" t="s">
        <v>202</v>
      </c>
      <c r="P63" s="39">
        <f t="shared" si="19"/>
        <v>108</v>
      </c>
      <c r="Q63" s="77">
        <f t="shared" si="20"/>
        <v>-6.0869565200000003E-2</v>
      </c>
      <c r="R63" s="86">
        <f t="shared" si="23"/>
        <v>97911722.712875471</v>
      </c>
    </row>
    <row r="64" spans="1:18">
      <c r="A64" s="40" t="s">
        <v>221</v>
      </c>
      <c r="B64" s="11" t="s">
        <v>222</v>
      </c>
      <c r="C64" s="95">
        <v>10.6</v>
      </c>
      <c r="D64" s="92">
        <v>-4.5045044999999999E-2</v>
      </c>
      <c r="E64" s="93">
        <v>310249708.01386791</v>
      </c>
      <c r="F64" s="35"/>
      <c r="G64" s="56" t="s">
        <v>248</v>
      </c>
      <c r="H64" s="39">
        <f t="shared" si="15"/>
        <v>1620</v>
      </c>
      <c r="I64" s="77">
        <f t="shared" si="16"/>
        <v>-7.6923076899999998E-2</v>
      </c>
      <c r="J64" s="86">
        <f t="shared" si="21"/>
        <v>2852126.7783236899</v>
      </c>
      <c r="K64" s="82" t="s">
        <v>264</v>
      </c>
      <c r="L64" s="39">
        <f t="shared" si="17"/>
        <v>76.8</v>
      </c>
      <c r="M64" s="77">
        <f t="shared" si="18"/>
        <v>-5.8823529399999998E-2</v>
      </c>
      <c r="N64" s="86">
        <f t="shared" si="22"/>
        <v>38158062.249556549</v>
      </c>
      <c r="O64" s="82" t="s">
        <v>226</v>
      </c>
      <c r="P64" s="39">
        <f t="shared" si="19"/>
        <v>269</v>
      </c>
      <c r="Q64" s="77">
        <f t="shared" si="20"/>
        <v>-6.2717770000000006E-2</v>
      </c>
      <c r="R64" s="86">
        <f t="shared" si="23"/>
        <v>10443000.10070858</v>
      </c>
    </row>
    <row r="65" spans="1:18" ht="17.25" thickBot="1">
      <c r="A65" s="40" t="s">
        <v>241</v>
      </c>
      <c r="B65" s="11" t="s">
        <v>242</v>
      </c>
      <c r="C65" s="95">
        <v>3585</v>
      </c>
      <c r="D65" s="92">
        <v>-4.7808764900000002E-2</v>
      </c>
      <c r="E65" s="93">
        <v>1429588.5337815499</v>
      </c>
      <c r="F65" s="35"/>
      <c r="G65" s="57" t="s">
        <v>246</v>
      </c>
      <c r="H65" s="37">
        <f t="shared" si="15"/>
        <v>274</v>
      </c>
      <c r="I65" s="79">
        <f t="shared" si="16"/>
        <v>-8.0536912799999999E-2</v>
      </c>
      <c r="J65" s="87">
        <f t="shared" si="21"/>
        <v>19754500.732805539</v>
      </c>
      <c r="K65" s="84" t="s">
        <v>266</v>
      </c>
      <c r="L65" s="37">
        <f t="shared" si="17"/>
        <v>51.9</v>
      </c>
      <c r="M65" s="79">
        <f t="shared" si="18"/>
        <v>-6.1482821E-2</v>
      </c>
      <c r="N65" s="87">
        <f t="shared" si="22"/>
        <v>50116376.278362907</v>
      </c>
      <c r="O65" s="84" t="s">
        <v>210</v>
      </c>
      <c r="P65" s="37">
        <f t="shared" si="19"/>
        <v>115</v>
      </c>
      <c r="Q65" s="79">
        <f t="shared" si="20"/>
        <v>-6.5040650399999997E-2</v>
      </c>
      <c r="R65" s="87">
        <f t="shared" si="23"/>
        <v>58303805.009496622</v>
      </c>
    </row>
    <row r="66" spans="1:18">
      <c r="A66" s="40" t="s">
        <v>68</v>
      </c>
      <c r="B66" s="11" t="s">
        <v>69</v>
      </c>
      <c r="C66" s="95">
        <v>4930</v>
      </c>
      <c r="D66" s="92">
        <v>-4.8262548299999999E-2</v>
      </c>
      <c r="E66" s="93">
        <v>1277550.9919170099</v>
      </c>
      <c r="F66" s="35"/>
      <c r="G66" s="56" t="s">
        <v>208</v>
      </c>
      <c r="H66" s="38">
        <f t="shared" si="15"/>
        <v>274</v>
      </c>
      <c r="I66" s="76">
        <f t="shared" ref="I66:I75" si="24">_xlfn.IFNA(VLOOKUP(G66, $B$2:$D$200, 3, FALSE), "")</f>
        <v>-8.0536912799999999E-2</v>
      </c>
      <c r="J66" s="85">
        <f t="shared" si="21"/>
        <v>41339390.692333519</v>
      </c>
      <c r="K66" s="81" t="s">
        <v>268</v>
      </c>
      <c r="L66" s="38">
        <f t="shared" si="17"/>
        <v>46.7</v>
      </c>
      <c r="M66" s="76">
        <f t="shared" si="18"/>
        <v>-6.6000000000000003E-2</v>
      </c>
      <c r="N66" s="85">
        <f t="shared" si="22"/>
        <v>46382873.574595302</v>
      </c>
      <c r="O66" s="81" t="s">
        <v>230</v>
      </c>
      <c r="P66" s="38">
        <f t="shared" si="19"/>
        <v>109</v>
      </c>
      <c r="Q66" s="76">
        <f t="shared" si="20"/>
        <v>-6.8376068400000004E-2</v>
      </c>
      <c r="R66" s="85">
        <f t="shared" si="23"/>
        <v>91958854.900104284</v>
      </c>
    </row>
    <row r="67" spans="1:18">
      <c r="A67" s="40" t="s">
        <v>239</v>
      </c>
      <c r="B67" s="11" t="s">
        <v>240</v>
      </c>
      <c r="C67" s="95">
        <v>117</v>
      </c>
      <c r="D67" s="92">
        <v>-4.8780487800000001E-2</v>
      </c>
      <c r="E67" s="93">
        <v>585334535.7814734</v>
      </c>
      <c r="F67" s="35"/>
      <c r="G67" s="56" t="s">
        <v>182</v>
      </c>
      <c r="H67" s="39">
        <f t="shared" si="15"/>
        <v>279</v>
      </c>
      <c r="I67" s="77">
        <f t="shared" si="24"/>
        <v>-8.5245901600000007E-2</v>
      </c>
      <c r="J67" s="86">
        <f t="shared" si="21"/>
        <v>16434033.733911449</v>
      </c>
      <c r="K67" s="82" t="s">
        <v>134</v>
      </c>
      <c r="L67" s="39">
        <f t="shared" si="17"/>
        <v>86.5</v>
      </c>
      <c r="M67" s="77">
        <f t="shared" si="18"/>
        <v>-6.6882416400000005E-2</v>
      </c>
      <c r="N67" s="86">
        <f t="shared" si="22"/>
        <v>96208340.170873657</v>
      </c>
      <c r="O67" s="82" t="s">
        <v>282</v>
      </c>
      <c r="P67" s="39">
        <f t="shared" si="19"/>
        <v>107</v>
      </c>
      <c r="Q67" s="77">
        <f t="shared" si="20"/>
        <v>-6.9565217400000004E-2</v>
      </c>
      <c r="R67" s="86">
        <f t="shared" si="23"/>
        <v>67648853.253364697</v>
      </c>
    </row>
    <row r="68" spans="1:18">
      <c r="A68" s="40" t="s">
        <v>199</v>
      </c>
      <c r="B68" s="11" t="s">
        <v>200</v>
      </c>
      <c r="C68" s="95">
        <v>192</v>
      </c>
      <c r="D68" s="92">
        <v>-4.9504950499999999E-2</v>
      </c>
      <c r="E68" s="93">
        <v>19255797.57219898</v>
      </c>
      <c r="F68" s="35"/>
      <c r="G68" s="56" t="s">
        <v>194</v>
      </c>
      <c r="H68" s="39">
        <f t="shared" si="15"/>
        <v>8100</v>
      </c>
      <c r="I68" s="77">
        <f t="shared" si="24"/>
        <v>-8.6294416200000001E-2</v>
      </c>
      <c r="J68" s="86">
        <f t="shared" si="21"/>
        <v>2392419.62167473</v>
      </c>
      <c r="K68" s="82" t="s">
        <v>254</v>
      </c>
      <c r="L68" s="39">
        <f t="shared" si="17"/>
        <v>44.8</v>
      </c>
      <c r="M68" s="77">
        <f t="shared" si="18"/>
        <v>-6.8607068600000001E-2</v>
      </c>
      <c r="N68" s="86">
        <f t="shared" si="22"/>
        <v>59090290.715352081</v>
      </c>
      <c r="O68" s="82" t="s">
        <v>252</v>
      </c>
      <c r="P68" s="39">
        <f t="shared" si="19"/>
        <v>291</v>
      </c>
      <c r="Q68" s="77">
        <f t="shared" si="20"/>
        <v>-7.0287539900000001E-2</v>
      </c>
      <c r="R68" s="86">
        <f t="shared" si="23"/>
        <v>18794493.293750688</v>
      </c>
    </row>
    <row r="69" spans="1:18">
      <c r="A69" s="40" t="s">
        <v>145</v>
      </c>
      <c r="B69" s="11" t="s">
        <v>146</v>
      </c>
      <c r="C69" s="95">
        <v>9640</v>
      </c>
      <c r="D69" s="92">
        <v>-5.0246305400000003E-2</v>
      </c>
      <c r="E69" s="93">
        <v>493612.62510196998</v>
      </c>
      <c r="F69" s="35"/>
      <c r="G69" s="56" t="s">
        <v>186</v>
      </c>
      <c r="H69" s="39">
        <f t="shared" si="15"/>
        <v>15.5</v>
      </c>
      <c r="I69" s="77">
        <f t="shared" si="24"/>
        <v>-9.3567251500000004E-2</v>
      </c>
      <c r="J69" s="86">
        <f t="shared" si="21"/>
        <v>959237367.28897989</v>
      </c>
      <c r="K69" s="82" t="s">
        <v>212</v>
      </c>
      <c r="L69" s="39">
        <f t="shared" si="17"/>
        <v>67.2</v>
      </c>
      <c r="M69" s="77">
        <f t="shared" si="18"/>
        <v>-6.9252077600000003E-2</v>
      </c>
      <c r="N69" s="86">
        <f t="shared" si="22"/>
        <v>210026683.98638946</v>
      </c>
      <c r="O69" s="82" t="s">
        <v>174</v>
      </c>
      <c r="P69" s="39">
        <f t="shared" si="19"/>
        <v>161</v>
      </c>
      <c r="Q69" s="77">
        <f t="shared" si="20"/>
        <v>-7.4712643699999998E-2</v>
      </c>
      <c r="R69" s="86">
        <f t="shared" si="23"/>
        <v>55308126.361612417</v>
      </c>
    </row>
    <row r="70" spans="1:18">
      <c r="A70" s="40" t="s">
        <v>161</v>
      </c>
      <c r="B70" s="11" t="s">
        <v>162</v>
      </c>
      <c r="C70" s="95">
        <v>1115</v>
      </c>
      <c r="D70" s="92">
        <v>-5.1063829800000002E-2</v>
      </c>
      <c r="E70" s="93">
        <v>4238679.87395644</v>
      </c>
      <c r="F70" s="35"/>
      <c r="G70" s="56" t="s">
        <v>220</v>
      </c>
      <c r="H70" s="39">
        <f t="shared" si="15"/>
        <v>11</v>
      </c>
      <c r="I70" s="77">
        <f t="shared" si="24"/>
        <v>-9.8360655699999994E-2</v>
      </c>
      <c r="J70" s="90">
        <f t="shared" si="21"/>
        <v>981963260.66892457</v>
      </c>
      <c r="K70" s="83" t="s">
        <v>260</v>
      </c>
      <c r="L70" s="44">
        <f t="shared" si="17"/>
        <v>64.099999999999994</v>
      </c>
      <c r="M70" s="78">
        <f t="shared" si="18"/>
        <v>-6.9666182899999998E-2</v>
      </c>
      <c r="N70" s="90">
        <f t="shared" si="22"/>
        <v>94929331.237177506</v>
      </c>
      <c r="O70" s="83" t="s">
        <v>256</v>
      </c>
      <c r="P70" s="44">
        <f t="shared" si="19"/>
        <v>158</v>
      </c>
      <c r="Q70" s="78">
        <f t="shared" si="20"/>
        <v>-7.6023391800000006E-2</v>
      </c>
      <c r="R70" s="90">
        <f t="shared" si="23"/>
        <v>16788254.919228781</v>
      </c>
    </row>
    <row r="71" spans="1:18">
      <c r="A71" s="40" t="s">
        <v>167</v>
      </c>
      <c r="B71" s="11" t="s">
        <v>168</v>
      </c>
      <c r="C71" s="95">
        <v>94</v>
      </c>
      <c r="D71" s="92">
        <v>-5.2419354799999998E-2</v>
      </c>
      <c r="E71" s="93">
        <v>160909126.75667223</v>
      </c>
      <c r="F71" s="35"/>
      <c r="G71" s="60" t="s">
        <v>224</v>
      </c>
      <c r="H71" s="45">
        <f t="shared" si="15"/>
        <v>1310</v>
      </c>
      <c r="I71" s="80">
        <f t="shared" si="24"/>
        <v>-0.10580204779999999</v>
      </c>
      <c r="J71" s="99">
        <f t="shared" si="21"/>
        <v>16407513.90434281</v>
      </c>
      <c r="K71" s="82" t="s">
        <v>122</v>
      </c>
      <c r="L71" s="39">
        <f t="shared" si="17"/>
        <v>58.2</v>
      </c>
      <c r="M71" s="77">
        <f t="shared" si="18"/>
        <v>-7.1770334899999996E-2</v>
      </c>
      <c r="N71" s="99">
        <f t="shared" si="22"/>
        <v>55874318.799938492</v>
      </c>
      <c r="O71" s="82" t="s">
        <v>280</v>
      </c>
      <c r="P71" s="39">
        <f t="shared" si="19"/>
        <v>947</v>
      </c>
      <c r="Q71" s="77">
        <f t="shared" si="20"/>
        <v>-7.6097560999999994E-2</v>
      </c>
      <c r="R71" s="99">
        <f t="shared" si="23"/>
        <v>4923800.27323543</v>
      </c>
    </row>
    <row r="72" spans="1:18">
      <c r="A72" s="40" t="s">
        <v>213</v>
      </c>
      <c r="B72" s="11" t="s">
        <v>214</v>
      </c>
      <c r="C72" s="95">
        <v>12.5</v>
      </c>
      <c r="D72" s="92">
        <v>-5.3030303000000001E-2</v>
      </c>
      <c r="E72" s="93">
        <v>295836657.56399912</v>
      </c>
      <c r="F72" s="35"/>
      <c r="G72" s="56" t="s">
        <v>190</v>
      </c>
      <c r="H72" s="39">
        <f t="shared" si="15"/>
        <v>53030</v>
      </c>
      <c r="I72" s="77">
        <f t="shared" si="24"/>
        <v>-0.11321070229999999</v>
      </c>
      <c r="J72" s="86">
        <f t="shared" si="21"/>
        <v>3617065.3424736601</v>
      </c>
      <c r="K72" s="82" t="s">
        <v>72</v>
      </c>
      <c r="L72" s="39">
        <f t="shared" si="17"/>
        <v>18.899999999999999</v>
      </c>
      <c r="M72" s="77">
        <f t="shared" si="18"/>
        <v>-7.35294118E-2</v>
      </c>
      <c r="N72" s="86">
        <f t="shared" si="22"/>
        <v>317338926.42990869</v>
      </c>
      <c r="O72" s="82" t="s">
        <v>234</v>
      </c>
      <c r="P72" s="39">
        <f t="shared" si="19"/>
        <v>733</v>
      </c>
      <c r="Q72" s="77">
        <f t="shared" si="20"/>
        <v>-7.6826196499999999E-2</v>
      </c>
      <c r="R72" s="86">
        <f t="shared" si="23"/>
        <v>6389807.0592625001</v>
      </c>
    </row>
    <row r="73" spans="1:18">
      <c r="A73" s="40" t="s">
        <v>227</v>
      </c>
      <c r="B73" s="11" t="s">
        <v>228</v>
      </c>
      <c r="C73" s="95">
        <v>9.84</v>
      </c>
      <c r="D73" s="92">
        <v>-5.3846153799999998E-2</v>
      </c>
      <c r="E73" s="93">
        <v>2167114919.3907743</v>
      </c>
      <c r="F73" s="35"/>
      <c r="G73" s="56" t="s">
        <v>274</v>
      </c>
      <c r="H73" s="39">
        <f t="shared" si="15"/>
        <v>8530</v>
      </c>
      <c r="I73" s="77">
        <f t="shared" si="24"/>
        <v>-0.11560393989999999</v>
      </c>
      <c r="J73" s="86">
        <f t="shared" si="21"/>
        <v>3294138.2802808401</v>
      </c>
      <c r="K73" s="82" t="s">
        <v>198</v>
      </c>
      <c r="L73" s="39">
        <f t="shared" si="17"/>
        <v>14.6</v>
      </c>
      <c r="M73" s="77">
        <f t="shared" si="18"/>
        <v>-7.5949367099999998E-2</v>
      </c>
      <c r="N73" s="86">
        <f t="shared" si="22"/>
        <v>449904039.72546154</v>
      </c>
      <c r="O73" s="82" t="s">
        <v>246</v>
      </c>
      <c r="P73" s="39">
        <f t="shared" si="19"/>
        <v>274</v>
      </c>
      <c r="Q73" s="77">
        <f t="shared" si="20"/>
        <v>-8.0536912799999999E-2</v>
      </c>
      <c r="R73" s="86">
        <f t="shared" si="23"/>
        <v>19754500.732805539</v>
      </c>
    </row>
    <row r="74" spans="1:18">
      <c r="A74" s="40" t="s">
        <v>283</v>
      </c>
      <c r="B74" s="11" t="s">
        <v>284</v>
      </c>
      <c r="C74" s="95">
        <v>227</v>
      </c>
      <c r="D74" s="92">
        <v>-5.4166666699999998E-2</v>
      </c>
      <c r="E74" s="93">
        <v>12695921.396906961</v>
      </c>
      <c r="F74" s="35"/>
      <c r="G74" s="56" t="s">
        <v>180</v>
      </c>
      <c r="H74" s="39">
        <f t="shared" si="15"/>
        <v>2985</v>
      </c>
      <c r="I74" s="77">
        <f t="shared" si="24"/>
        <v>-0.1207658321</v>
      </c>
      <c r="J74" s="86">
        <f t="shared" si="21"/>
        <v>22811032.072851211</v>
      </c>
      <c r="K74" s="82" t="s">
        <v>186</v>
      </c>
      <c r="L74" s="39">
        <f t="shared" si="17"/>
        <v>15.5</v>
      </c>
      <c r="M74" s="77">
        <f t="shared" si="18"/>
        <v>-9.3567251500000004E-2</v>
      </c>
      <c r="N74" s="86">
        <f t="shared" si="22"/>
        <v>959237367.28897989</v>
      </c>
      <c r="O74" s="82" t="s">
        <v>208</v>
      </c>
      <c r="P74" s="39">
        <f t="shared" si="19"/>
        <v>274</v>
      </c>
      <c r="Q74" s="77">
        <f t="shared" si="20"/>
        <v>-8.0536912799999999E-2</v>
      </c>
      <c r="R74" s="86">
        <f t="shared" si="23"/>
        <v>41339390.692333519</v>
      </c>
    </row>
    <row r="75" spans="1:18" ht="17.25" thickBot="1">
      <c r="A75" s="40" t="s">
        <v>81</v>
      </c>
      <c r="B75" s="11" t="s">
        <v>82</v>
      </c>
      <c r="C75" s="95">
        <v>949</v>
      </c>
      <c r="D75" s="92">
        <v>-5.5721393000000001E-2</v>
      </c>
      <c r="E75" s="93">
        <v>4254836.5747307697</v>
      </c>
      <c r="F75" s="35"/>
      <c r="G75" s="57" t="s">
        <v>276</v>
      </c>
      <c r="H75" s="37">
        <f t="shared" si="15"/>
        <v>2980</v>
      </c>
      <c r="I75" s="79">
        <f t="shared" si="24"/>
        <v>-0.13119533529999999</v>
      </c>
      <c r="J75" s="87">
        <f t="shared" si="21"/>
        <v>16172768.37277074</v>
      </c>
      <c r="K75" s="84" t="s">
        <v>220</v>
      </c>
      <c r="L75" s="37">
        <f t="shared" si="17"/>
        <v>11</v>
      </c>
      <c r="M75" s="79">
        <f t="shared" si="18"/>
        <v>-9.8360655699999994E-2</v>
      </c>
      <c r="N75" s="87">
        <f t="shared" si="22"/>
        <v>981963260.66892457</v>
      </c>
      <c r="O75" s="84" t="s">
        <v>182</v>
      </c>
      <c r="P75" s="37">
        <f t="shared" si="19"/>
        <v>279</v>
      </c>
      <c r="Q75" s="79">
        <f t="shared" si="20"/>
        <v>-8.5245901600000007E-2</v>
      </c>
      <c r="R75" s="87">
        <f t="shared" si="23"/>
        <v>16434033.733911449</v>
      </c>
    </row>
    <row r="76" spans="1:18">
      <c r="A76" s="40" t="s">
        <v>217</v>
      </c>
      <c r="B76" s="11" t="s">
        <v>218</v>
      </c>
      <c r="C76" s="95">
        <v>15.1</v>
      </c>
      <c r="D76" s="92">
        <v>-5.6250000000000001E-2</v>
      </c>
      <c r="E76" s="93">
        <v>250083008.54317197</v>
      </c>
      <c r="F76" s="35"/>
      <c r="G76" s="35"/>
      <c r="H76" s="35"/>
      <c r="I76" s="35"/>
    </row>
    <row r="77" spans="1:18">
      <c r="A77" s="40" t="s">
        <v>237</v>
      </c>
      <c r="B77" s="11" t="s">
        <v>238</v>
      </c>
      <c r="C77" s="95">
        <v>165</v>
      </c>
      <c r="D77" s="92">
        <v>-5.71428571E-2</v>
      </c>
      <c r="E77" s="93">
        <v>35744958.679921873</v>
      </c>
      <c r="F77" s="35"/>
      <c r="G77" s="35"/>
      <c r="H77" s="35"/>
      <c r="I77" s="35"/>
    </row>
    <row r="78" spans="1:18">
      <c r="A78" s="40" t="s">
        <v>261</v>
      </c>
      <c r="B78" s="11" t="s">
        <v>262</v>
      </c>
      <c r="C78" s="95">
        <v>569</v>
      </c>
      <c r="D78" s="92">
        <v>-5.7947019900000001E-2</v>
      </c>
      <c r="E78" s="93">
        <v>7625865.4025908196</v>
      </c>
      <c r="F78" s="35"/>
      <c r="G78" s="35"/>
      <c r="H78" s="35"/>
      <c r="I78" s="35"/>
    </row>
    <row r="79" spans="1:18">
      <c r="A79" s="40" t="s">
        <v>125</v>
      </c>
      <c r="B79" s="11" t="s">
        <v>126</v>
      </c>
      <c r="C79" s="95">
        <v>25.7</v>
      </c>
      <c r="D79" s="92">
        <v>-5.8608058599999999E-2</v>
      </c>
      <c r="E79" s="93">
        <v>179523276.7337985</v>
      </c>
      <c r="F79" s="35"/>
      <c r="G79" s="35"/>
      <c r="H79" s="35"/>
      <c r="I79" s="35"/>
    </row>
    <row r="80" spans="1:18">
      <c r="A80" s="40" t="s">
        <v>263</v>
      </c>
      <c r="B80" s="11" t="s">
        <v>264</v>
      </c>
      <c r="C80" s="95">
        <v>76.8</v>
      </c>
      <c r="D80" s="92">
        <v>-5.8823529399999998E-2</v>
      </c>
      <c r="E80" s="93">
        <v>38158062.249556549</v>
      </c>
      <c r="F80" s="35"/>
      <c r="G80" s="35"/>
      <c r="H80" s="35"/>
      <c r="I80" s="35"/>
    </row>
    <row r="81" spans="1:9">
      <c r="A81" s="40" t="s">
        <v>257</v>
      </c>
      <c r="B81" s="11" t="s">
        <v>258</v>
      </c>
      <c r="C81" s="95">
        <v>432</v>
      </c>
      <c r="D81" s="92">
        <v>-6.0869565200000003E-2</v>
      </c>
      <c r="E81" s="93">
        <v>6035459.0462828698</v>
      </c>
      <c r="F81" s="35"/>
      <c r="G81" s="35"/>
      <c r="H81" s="35"/>
      <c r="I81" s="35"/>
    </row>
    <row r="82" spans="1:9">
      <c r="A82" s="40" t="s">
        <v>201</v>
      </c>
      <c r="B82" s="11" t="s">
        <v>202</v>
      </c>
      <c r="C82" s="95">
        <v>108</v>
      </c>
      <c r="D82" s="92">
        <v>-6.0869565200000003E-2</v>
      </c>
      <c r="E82" s="93">
        <v>97911722.712875471</v>
      </c>
      <c r="F82" s="35"/>
      <c r="G82" s="35"/>
      <c r="H82" s="35"/>
      <c r="I82" s="35"/>
    </row>
    <row r="83" spans="1:9">
      <c r="A83" s="40" t="s">
        <v>66</v>
      </c>
      <c r="B83" s="11" t="s">
        <v>67</v>
      </c>
      <c r="C83" s="95">
        <v>4850</v>
      </c>
      <c r="D83" s="92">
        <v>-6.09874153E-2</v>
      </c>
      <c r="E83" s="93">
        <v>1555446.2836189901</v>
      </c>
      <c r="F83" s="35"/>
      <c r="G83" s="35"/>
      <c r="H83" s="35"/>
      <c r="I83" s="35"/>
    </row>
    <row r="84" spans="1:9">
      <c r="A84" s="40" t="s">
        <v>265</v>
      </c>
      <c r="B84" s="11" t="s">
        <v>266</v>
      </c>
      <c r="C84" s="95">
        <v>51.9</v>
      </c>
      <c r="D84" s="92">
        <v>-6.1482821E-2</v>
      </c>
      <c r="E84" s="93">
        <v>50116376.278362907</v>
      </c>
      <c r="F84" s="35"/>
      <c r="G84" s="35"/>
      <c r="H84" s="35"/>
      <c r="I84" s="35"/>
    </row>
    <row r="85" spans="1:9">
      <c r="A85" s="40" t="s">
        <v>225</v>
      </c>
      <c r="B85" s="11" t="s">
        <v>226</v>
      </c>
      <c r="C85" s="95">
        <v>269</v>
      </c>
      <c r="D85" s="92">
        <v>-6.2717770000000006E-2</v>
      </c>
      <c r="E85" s="93">
        <v>10443000.10070858</v>
      </c>
      <c r="F85" s="35"/>
      <c r="G85" s="35"/>
      <c r="H85" s="35"/>
      <c r="I85" s="35"/>
    </row>
    <row r="86" spans="1:9">
      <c r="A86" s="40" t="s">
        <v>205</v>
      </c>
      <c r="B86" s="11" t="s">
        <v>206</v>
      </c>
      <c r="C86" s="95">
        <v>14250</v>
      </c>
      <c r="D86" s="92">
        <v>-6.3116370800000002E-2</v>
      </c>
      <c r="E86" s="93">
        <v>503257.06110122998</v>
      </c>
      <c r="F86" s="35"/>
      <c r="G86" s="35"/>
      <c r="H86" s="35"/>
      <c r="I86" s="35"/>
    </row>
    <row r="87" spans="1:9">
      <c r="A87" s="40" t="s">
        <v>209</v>
      </c>
      <c r="B87" s="11" t="s">
        <v>210</v>
      </c>
      <c r="C87" s="95">
        <v>115</v>
      </c>
      <c r="D87" s="92">
        <v>-6.5040650399999997E-2</v>
      </c>
      <c r="E87" s="93">
        <v>58303805.009496622</v>
      </c>
      <c r="F87" s="35"/>
      <c r="G87" s="35"/>
      <c r="H87" s="35"/>
      <c r="I87" s="35"/>
    </row>
    <row r="88" spans="1:9">
      <c r="A88" s="40" t="s">
        <v>267</v>
      </c>
      <c r="B88" s="11" t="s">
        <v>268</v>
      </c>
      <c r="C88" s="95">
        <v>46.7</v>
      </c>
      <c r="D88" s="92">
        <v>-6.6000000000000003E-2</v>
      </c>
      <c r="E88" s="93">
        <v>46382873.574595302</v>
      </c>
      <c r="F88" s="35"/>
      <c r="G88" s="35"/>
      <c r="H88" s="35"/>
      <c r="I88" s="35"/>
    </row>
    <row r="89" spans="1:9">
      <c r="A89" s="40" t="s">
        <v>203</v>
      </c>
      <c r="B89" s="11" t="s">
        <v>204</v>
      </c>
      <c r="C89" s="95">
        <v>3435</v>
      </c>
      <c r="D89" s="92">
        <v>-6.6576087000000006E-2</v>
      </c>
      <c r="E89" s="93">
        <v>3414018.40352304</v>
      </c>
      <c r="F89" s="35"/>
      <c r="G89" s="35"/>
      <c r="H89" s="35"/>
      <c r="I89" s="35"/>
    </row>
    <row r="90" spans="1:9">
      <c r="A90" s="40" t="s">
        <v>133</v>
      </c>
      <c r="B90" s="11" t="s">
        <v>134</v>
      </c>
      <c r="C90" s="95">
        <v>86.5</v>
      </c>
      <c r="D90" s="92">
        <v>-6.6882416400000005E-2</v>
      </c>
      <c r="E90" s="93">
        <v>96208340.170873657</v>
      </c>
      <c r="F90" s="35"/>
      <c r="G90" s="35"/>
      <c r="H90" s="35"/>
      <c r="I90" s="35"/>
    </row>
    <row r="91" spans="1:9">
      <c r="A91" s="40" t="s">
        <v>229</v>
      </c>
      <c r="B91" s="11" t="s">
        <v>230</v>
      </c>
      <c r="C91" s="95">
        <v>109</v>
      </c>
      <c r="D91" s="92">
        <v>-6.8376068400000004E-2</v>
      </c>
      <c r="E91" s="93">
        <v>91958854.900104284</v>
      </c>
      <c r="F91" s="35"/>
      <c r="G91" s="35"/>
      <c r="H91" s="35"/>
      <c r="I91" s="35"/>
    </row>
    <row r="92" spans="1:9">
      <c r="A92" s="40" t="s">
        <v>271</v>
      </c>
      <c r="B92" s="11" t="s">
        <v>272</v>
      </c>
      <c r="C92" s="95">
        <v>1290</v>
      </c>
      <c r="D92" s="92">
        <v>-6.8592057799999995E-2</v>
      </c>
      <c r="E92" s="93">
        <v>4494666.4815686103</v>
      </c>
      <c r="F92" s="35"/>
      <c r="G92" s="35"/>
      <c r="H92" s="35"/>
      <c r="I92" s="35"/>
    </row>
    <row r="93" spans="1:9">
      <c r="A93" s="40" t="s">
        <v>253</v>
      </c>
      <c r="B93" s="11" t="s">
        <v>254</v>
      </c>
      <c r="C93" s="95">
        <v>44.8</v>
      </c>
      <c r="D93" s="92">
        <v>-6.8607068600000001E-2</v>
      </c>
      <c r="E93" s="93">
        <v>59090290.715352081</v>
      </c>
      <c r="F93" s="35"/>
      <c r="G93" s="35"/>
      <c r="H93" s="35"/>
      <c r="I93" s="35"/>
    </row>
    <row r="94" spans="1:9">
      <c r="A94" s="40" t="s">
        <v>211</v>
      </c>
      <c r="B94" s="11" t="s">
        <v>212</v>
      </c>
      <c r="C94" s="95">
        <v>67.2</v>
      </c>
      <c r="D94" s="92">
        <v>-6.9252077600000003E-2</v>
      </c>
      <c r="E94" s="93">
        <v>210026683.98638946</v>
      </c>
      <c r="F94" s="35"/>
      <c r="G94" s="35"/>
      <c r="H94" s="35"/>
      <c r="I94" s="35"/>
    </row>
    <row r="95" spans="1:9">
      <c r="A95" s="40" t="s">
        <v>281</v>
      </c>
      <c r="B95" s="11" t="s">
        <v>282</v>
      </c>
      <c r="C95" s="95">
        <v>107</v>
      </c>
      <c r="D95" s="92">
        <v>-6.9565217400000004E-2</v>
      </c>
      <c r="E95" s="93">
        <v>67648853.253364697</v>
      </c>
      <c r="F95" s="35"/>
      <c r="G95" s="35"/>
      <c r="H95" s="35"/>
      <c r="I95" s="35"/>
    </row>
    <row r="96" spans="1:9">
      <c r="A96" s="40" t="s">
        <v>259</v>
      </c>
      <c r="B96" s="11" t="s">
        <v>260</v>
      </c>
      <c r="C96" s="95">
        <v>64.099999999999994</v>
      </c>
      <c r="D96" s="92">
        <v>-6.9666182899999998E-2</v>
      </c>
      <c r="E96" s="93">
        <v>94929331.237177506</v>
      </c>
      <c r="F96" s="35"/>
      <c r="G96" s="35"/>
      <c r="H96" s="35"/>
      <c r="I96" s="35"/>
    </row>
    <row r="97" spans="1:9">
      <c r="A97" s="40" t="s">
        <v>251</v>
      </c>
      <c r="B97" s="11" t="s">
        <v>252</v>
      </c>
      <c r="C97" s="95">
        <v>291</v>
      </c>
      <c r="D97" s="92">
        <v>-7.0287539900000001E-2</v>
      </c>
      <c r="E97" s="93">
        <v>18794493.293750688</v>
      </c>
      <c r="F97" s="35"/>
      <c r="G97" s="35"/>
      <c r="H97" s="35"/>
      <c r="I97" s="35"/>
    </row>
    <row r="98" spans="1:9">
      <c r="A98" s="40" t="s">
        <v>121</v>
      </c>
      <c r="B98" s="11" t="s">
        <v>122</v>
      </c>
      <c r="C98" s="95">
        <v>58.2</v>
      </c>
      <c r="D98" s="92">
        <v>-7.1770334899999996E-2</v>
      </c>
      <c r="E98" s="93">
        <v>55874318.799938492</v>
      </c>
      <c r="F98" s="35"/>
      <c r="G98" s="35"/>
      <c r="H98" s="35"/>
      <c r="I98" s="35"/>
    </row>
    <row r="99" spans="1:9">
      <c r="A99" s="40" t="s">
        <v>191</v>
      </c>
      <c r="B99" s="11" t="s">
        <v>192</v>
      </c>
      <c r="C99" s="95">
        <v>1015</v>
      </c>
      <c r="D99" s="92">
        <v>-7.3059360700000006E-2</v>
      </c>
      <c r="E99" s="93">
        <v>17768677.37087084</v>
      </c>
      <c r="F99" s="35"/>
      <c r="G99" s="35"/>
      <c r="H99" s="35"/>
      <c r="I99" s="35"/>
    </row>
    <row r="100" spans="1:9">
      <c r="A100" s="40" t="s">
        <v>71</v>
      </c>
      <c r="B100" s="11" t="s">
        <v>72</v>
      </c>
      <c r="C100" s="95">
        <v>18.899999999999999</v>
      </c>
      <c r="D100" s="92">
        <v>-7.35294118E-2</v>
      </c>
      <c r="E100" s="93">
        <v>317338926.42990869</v>
      </c>
      <c r="F100" s="35"/>
      <c r="G100" s="35"/>
      <c r="H100" s="35"/>
      <c r="I100" s="35"/>
    </row>
    <row r="101" spans="1:9">
      <c r="A101" s="40" t="s">
        <v>123</v>
      </c>
      <c r="B101" s="11" t="s">
        <v>124</v>
      </c>
      <c r="C101" s="95">
        <v>3310</v>
      </c>
      <c r="D101" s="92">
        <v>-7.4125874100000003E-2</v>
      </c>
      <c r="E101" s="93">
        <v>2520047.5565586798</v>
      </c>
      <c r="F101" s="35"/>
      <c r="G101" s="35"/>
      <c r="H101" s="35"/>
      <c r="I101" s="35"/>
    </row>
    <row r="102" spans="1:9">
      <c r="A102" s="40" t="s">
        <v>173</v>
      </c>
      <c r="B102" s="11" t="s">
        <v>174</v>
      </c>
      <c r="C102" s="95">
        <v>161</v>
      </c>
      <c r="D102" s="92">
        <v>-7.4712643699999998E-2</v>
      </c>
      <c r="E102" s="93">
        <v>55308126.361612417</v>
      </c>
      <c r="F102" s="35"/>
      <c r="G102" s="35"/>
      <c r="H102" s="35"/>
      <c r="I102" s="35"/>
    </row>
    <row r="103" spans="1:9">
      <c r="A103" s="40" t="s">
        <v>197</v>
      </c>
      <c r="B103" s="11" t="s">
        <v>198</v>
      </c>
      <c r="C103" s="95">
        <v>14.6</v>
      </c>
      <c r="D103" s="92">
        <v>-7.5949367099999998E-2</v>
      </c>
      <c r="E103" s="93">
        <v>449904039.72546154</v>
      </c>
      <c r="F103" s="35"/>
      <c r="G103" s="35"/>
      <c r="H103" s="35"/>
      <c r="I103" s="35"/>
    </row>
    <row r="104" spans="1:9">
      <c r="A104" s="40" t="s">
        <v>255</v>
      </c>
      <c r="B104" s="11" t="s">
        <v>256</v>
      </c>
      <c r="C104" s="95">
        <v>158</v>
      </c>
      <c r="D104" s="92">
        <v>-7.6023391800000006E-2</v>
      </c>
      <c r="E104" s="93">
        <v>16788254.919228781</v>
      </c>
      <c r="F104" s="35"/>
      <c r="G104" s="35"/>
      <c r="H104" s="35"/>
      <c r="I104" s="35"/>
    </row>
    <row r="105" spans="1:9">
      <c r="A105" s="40" t="s">
        <v>279</v>
      </c>
      <c r="B105" s="11" t="s">
        <v>280</v>
      </c>
      <c r="C105" s="95">
        <v>947</v>
      </c>
      <c r="D105" s="92">
        <v>-7.6097560999999994E-2</v>
      </c>
      <c r="E105" s="93">
        <v>4923800.27323543</v>
      </c>
      <c r="F105" s="35"/>
      <c r="G105" s="35"/>
      <c r="H105" s="35"/>
      <c r="I105" s="35"/>
    </row>
    <row r="106" spans="1:9">
      <c r="A106" s="40" t="s">
        <v>233</v>
      </c>
      <c r="B106" s="11" t="s">
        <v>234</v>
      </c>
      <c r="C106" s="95">
        <v>733</v>
      </c>
      <c r="D106" s="92">
        <v>-7.6826196499999999E-2</v>
      </c>
      <c r="E106" s="93">
        <v>6389807.0592625001</v>
      </c>
      <c r="F106" s="35"/>
      <c r="G106" s="35"/>
      <c r="H106" s="35"/>
      <c r="I106" s="35"/>
    </row>
    <row r="107" spans="1:9">
      <c r="A107" s="40" t="s">
        <v>247</v>
      </c>
      <c r="B107" s="11" t="s">
        <v>248</v>
      </c>
      <c r="C107" s="95">
        <v>1620</v>
      </c>
      <c r="D107" s="92">
        <v>-7.6923076899999998E-2</v>
      </c>
      <c r="E107" s="93">
        <v>2852126.7783236899</v>
      </c>
      <c r="F107" s="35"/>
      <c r="G107" s="35"/>
      <c r="H107" s="35"/>
      <c r="I107" s="35"/>
    </row>
    <row r="108" spans="1:9">
      <c r="A108" s="40" t="s">
        <v>245</v>
      </c>
      <c r="B108" s="11" t="s">
        <v>246</v>
      </c>
      <c r="C108" s="95">
        <v>274</v>
      </c>
      <c r="D108" s="92">
        <v>-8.0536912799999999E-2</v>
      </c>
      <c r="E108" s="93">
        <v>19754500.732805539</v>
      </c>
      <c r="F108" s="35"/>
      <c r="G108" s="35"/>
      <c r="H108" s="35"/>
      <c r="I108" s="35"/>
    </row>
    <row r="109" spans="1:9">
      <c r="A109" s="40" t="s">
        <v>207</v>
      </c>
      <c r="B109" s="11" t="s">
        <v>208</v>
      </c>
      <c r="C109" s="95">
        <v>274</v>
      </c>
      <c r="D109" s="92">
        <v>-8.0536912799999999E-2</v>
      </c>
      <c r="E109" s="41">
        <v>41339390.692333519</v>
      </c>
    </row>
    <row r="110" spans="1:9">
      <c r="A110" s="40" t="s">
        <v>181</v>
      </c>
      <c r="B110" s="11" t="s">
        <v>182</v>
      </c>
      <c r="C110" s="95">
        <v>279</v>
      </c>
      <c r="D110" s="92">
        <v>-8.5245901600000007E-2</v>
      </c>
      <c r="E110" s="41">
        <v>16434033.733911449</v>
      </c>
    </row>
    <row r="111" spans="1:9">
      <c r="A111" s="40" t="s">
        <v>193</v>
      </c>
      <c r="B111" s="11" t="s">
        <v>194</v>
      </c>
      <c r="C111" s="95">
        <v>8100</v>
      </c>
      <c r="D111" s="92">
        <v>-8.6294416200000001E-2</v>
      </c>
      <c r="E111" s="41">
        <v>2392419.62167473</v>
      </c>
    </row>
    <row r="112" spans="1:9">
      <c r="A112" s="40" t="s">
        <v>185</v>
      </c>
      <c r="B112" s="11" t="s">
        <v>186</v>
      </c>
      <c r="C112" s="95">
        <v>15.5</v>
      </c>
      <c r="D112" s="92">
        <v>-9.3567251500000004E-2</v>
      </c>
      <c r="E112" s="41">
        <v>959237367.28897989</v>
      </c>
    </row>
    <row r="113" spans="1:5">
      <c r="A113" s="40" t="s">
        <v>219</v>
      </c>
      <c r="B113" s="11" t="s">
        <v>220</v>
      </c>
      <c r="C113" s="95">
        <v>11</v>
      </c>
      <c r="D113" s="92">
        <v>-9.8360655699999994E-2</v>
      </c>
      <c r="E113" s="41">
        <v>981963260.66892457</v>
      </c>
    </row>
    <row r="114" spans="1:5">
      <c r="A114" s="40" t="s">
        <v>223</v>
      </c>
      <c r="B114" s="11" t="s">
        <v>224</v>
      </c>
      <c r="C114" s="95">
        <v>1310</v>
      </c>
      <c r="D114" s="92">
        <v>-0.10580204779999999</v>
      </c>
      <c r="E114" s="41">
        <v>16407513.90434281</v>
      </c>
    </row>
    <row r="115" spans="1:5">
      <c r="A115" s="40" t="s">
        <v>189</v>
      </c>
      <c r="B115" s="11" t="s">
        <v>190</v>
      </c>
      <c r="C115" s="95">
        <v>53030</v>
      </c>
      <c r="D115" s="92">
        <v>-0.11321070229999999</v>
      </c>
      <c r="E115" s="41">
        <v>3617065.3424736601</v>
      </c>
    </row>
    <row r="116" spans="1:5">
      <c r="A116" s="40" t="s">
        <v>273</v>
      </c>
      <c r="B116" s="11" t="s">
        <v>274</v>
      </c>
      <c r="C116" s="95">
        <v>8530</v>
      </c>
      <c r="D116" s="92">
        <v>-0.11560393989999999</v>
      </c>
      <c r="E116" s="41">
        <v>3294138.2802808401</v>
      </c>
    </row>
    <row r="117" spans="1:5">
      <c r="A117" s="40" t="s">
        <v>179</v>
      </c>
      <c r="B117" s="11" t="s">
        <v>180</v>
      </c>
      <c r="C117" s="95">
        <v>2985</v>
      </c>
      <c r="D117" s="92">
        <v>-0.1207658321</v>
      </c>
      <c r="E117" s="41">
        <v>22811032.072851211</v>
      </c>
    </row>
    <row r="118" spans="1:5">
      <c r="A118" s="40" t="s">
        <v>275</v>
      </c>
      <c r="B118" s="11" t="s">
        <v>276</v>
      </c>
      <c r="C118" s="95">
        <v>2980</v>
      </c>
      <c r="D118" s="92">
        <v>-0.13119533529999999</v>
      </c>
      <c r="E118" s="41">
        <v>16172768.37277074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activeCell="B3" sqref="B3:C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195" t="str">
        <f>TEXT(투자전략!$G$1, "[$-ko-KR]yyyy년 mm월") &amp; " 총결산"</f>
        <v>2021년 06월 총결산</v>
      </c>
      <c r="B1" s="196"/>
      <c r="C1" s="196"/>
      <c r="D1" s="196"/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7"/>
    </row>
    <row r="2" spans="1:15" ht="16.5" customHeight="1" thickBot="1">
      <c r="A2" s="201" t="s">
        <v>319</v>
      </c>
      <c r="B2" s="202"/>
      <c r="C2" s="202"/>
      <c r="D2" s="193" t="s">
        <v>315</v>
      </c>
      <c r="E2" s="193"/>
      <c r="F2" s="194"/>
      <c r="G2" s="195" t="s">
        <v>316</v>
      </c>
      <c r="H2" s="196"/>
      <c r="I2" s="197"/>
      <c r="J2" s="192" t="s">
        <v>317</v>
      </c>
      <c r="K2" s="193"/>
      <c r="L2" s="193"/>
      <c r="M2" s="193" t="s">
        <v>318</v>
      </c>
      <c r="N2" s="193"/>
      <c r="O2" s="194"/>
    </row>
    <row r="3" spans="1:15" ht="16.5" customHeight="1">
      <c r="A3" s="272">
        <v>1</v>
      </c>
      <c r="B3" s="20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[오전 00:00] 전일대비 상승률 Top20</v>
      </c>
      <c r="C3" s="203"/>
      <c r="D3" s="201" t="s">
        <v>320</v>
      </c>
      <c r="E3" s="202"/>
      <c r="F3" s="203"/>
      <c r="G3" s="201" t="s">
        <v>327</v>
      </c>
      <c r="H3" s="202"/>
      <c r="I3" s="203"/>
      <c r="J3" s="201" t="s">
        <v>334</v>
      </c>
      <c r="K3" s="202"/>
      <c r="L3" s="203"/>
      <c r="M3" s="201" t="s">
        <v>341</v>
      </c>
      <c r="N3" s="202"/>
      <c r="O3" s="203"/>
    </row>
    <row r="4" spans="1:15" ht="16.5" customHeight="1" thickBot="1">
      <c r="A4" s="273"/>
      <c r="B4" s="2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157,877 KRW (7.89%)</v>
      </c>
      <c r="C4" s="209"/>
      <c r="D4" s="207" t="str">
        <f ca="1" xml:space="preserve"> TEXT($F$92, "#,##0") &amp; " KRW (" &amp; TEXT($E$92, "0.00%)")</f>
        <v>-43,292 KRW (-2.16%)</v>
      </c>
      <c r="E4" s="208"/>
      <c r="F4" s="209"/>
      <c r="G4" s="207" t="str">
        <f ca="1" xml:space="preserve"> TEXT($I$92, "#,##0") &amp; " KRW (" &amp; TEXT($H$92, "0.00%)")</f>
        <v>-123,885 KRW (-6.19%)</v>
      </c>
      <c r="H4" s="208"/>
      <c r="I4" s="209"/>
      <c r="J4" s="207" t="str">
        <f ca="1" xml:space="preserve"> TEXT($L$92, "#,##0") &amp; " KRW (" &amp; TEXT($K$92, "0.00%)")</f>
        <v>-182,415 KRW (-9.12%)</v>
      </c>
      <c r="K4" s="208"/>
      <c r="L4" s="209"/>
      <c r="M4" s="207" t="str">
        <f ca="1" xml:space="preserve"> TEXT($O$92, "#,##0") &amp; " KRW (" &amp; TEXT($N$92, "0.00%)")</f>
        <v>113,410 KRW (5.67%)</v>
      </c>
      <c r="N4" s="208"/>
      <c r="O4" s="209"/>
    </row>
    <row r="5" spans="1:15" ht="16.5" customHeight="1">
      <c r="A5" s="272">
        <v>2</v>
      </c>
      <c r="B5" s="20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동전코인 Top20</v>
      </c>
      <c r="C5" s="203"/>
      <c r="D5" s="201" t="s">
        <v>321</v>
      </c>
      <c r="E5" s="202"/>
      <c r="F5" s="203"/>
      <c r="G5" s="201" t="s">
        <v>328</v>
      </c>
      <c r="H5" s="202"/>
      <c r="I5" s="203"/>
      <c r="J5" s="201" t="s">
        <v>335</v>
      </c>
      <c r="K5" s="202"/>
      <c r="L5" s="203"/>
      <c r="M5" s="201" t="s">
        <v>342</v>
      </c>
      <c r="N5" s="202"/>
      <c r="O5" s="203"/>
    </row>
    <row r="6" spans="1:15" ht="16.5" customHeight="1" thickBot="1">
      <c r="A6" s="273"/>
      <c r="B6" s="2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126,370 KRW (6.32%)</v>
      </c>
      <c r="C6" s="209"/>
      <c r="D6" s="207" t="str">
        <f ca="1" xml:space="preserve"> TEXT($F$130, "#,##0") &amp; " KRW (" &amp; TEXT($E$130, "0.00%)")</f>
        <v>-54,410 KRW (-2.72%)</v>
      </c>
      <c r="E6" s="208"/>
      <c r="F6" s="209"/>
      <c r="G6" s="207" t="str">
        <f ca="1" xml:space="preserve"> TEXT($I$130, "#,##0") &amp; " KRW (" &amp; TEXT($H$130, "0.00%)")</f>
        <v>-114,428 KRW (-5.72%)</v>
      </c>
      <c r="H6" s="208"/>
      <c r="I6" s="209"/>
      <c r="J6" s="207" t="str">
        <f ca="1" xml:space="preserve"> TEXT($L$130, "#,##0") &amp; " KRW (" &amp; TEXT($K$130, "0.00%)")</f>
        <v>-211,828 KRW (-10.59%)</v>
      </c>
      <c r="K6" s="208"/>
      <c r="L6" s="209"/>
      <c r="M6" s="207" t="str">
        <f ca="1" xml:space="preserve"> TEXT($O$130, "#,##0") &amp; " KRW (" &amp; TEXT($N$130, "0.00%)")</f>
        <v>126,370 KRW (6.32%)</v>
      </c>
      <c r="N6" s="208"/>
      <c r="O6" s="209"/>
    </row>
    <row r="7" spans="1:15" ht="16.5" customHeight="1">
      <c r="A7" s="272">
        <v>3</v>
      </c>
      <c r="B7" s="20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엽전코인 Top20</v>
      </c>
      <c r="C7" s="203"/>
      <c r="D7" s="201" t="s">
        <v>322</v>
      </c>
      <c r="E7" s="202"/>
      <c r="F7" s="203"/>
      <c r="G7" s="201" t="s">
        <v>329</v>
      </c>
      <c r="H7" s="202"/>
      <c r="I7" s="203"/>
      <c r="J7" s="201" t="s">
        <v>336</v>
      </c>
      <c r="K7" s="202"/>
      <c r="L7" s="203"/>
      <c r="M7" s="201" t="s">
        <v>343</v>
      </c>
      <c r="N7" s="202"/>
      <c r="O7" s="203"/>
    </row>
    <row r="8" spans="1:15" ht="16.5" customHeight="1" thickBot="1">
      <c r="A8" s="273"/>
      <c r="B8" s="2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113,410 KRW (5.67%)</v>
      </c>
      <c r="C8" s="209"/>
      <c r="D8" s="207" t="str">
        <f ca="1" xml:space="preserve"> TEXT($F$206, "#,##0") &amp; " KRW (" &amp; TEXT($E$206, "0.00%)")</f>
        <v>-86,702 KRW (-4.34%)</v>
      </c>
      <c r="E8" s="208"/>
      <c r="F8" s="209"/>
      <c r="G8" s="207" t="str">
        <f ca="1" xml:space="preserve"> TEXT($I$206, "#,##0") &amp; " KRW (" &amp; TEXT($H$206, "0.00%)")</f>
        <v>-153,384 KRW (-7.67%)</v>
      </c>
      <c r="H8" s="208"/>
      <c r="I8" s="209"/>
      <c r="J8" s="207" t="str">
        <f ca="1" xml:space="preserve"> TEXT($L$206, "#,##0") &amp; " KRW (" &amp; TEXT($K$206, "0.00%)")</f>
        <v>-200,060 KRW (-10.00%)</v>
      </c>
      <c r="K8" s="208"/>
      <c r="L8" s="209"/>
      <c r="M8" s="207" t="str">
        <f ca="1" xml:space="preserve"> TEXT($O$206, "#,##0") &amp; " KRW (" &amp; TEXT($N$206, "0.00%)")</f>
        <v>93,023 KRW (4.65%)</v>
      </c>
      <c r="N8" s="208"/>
      <c r="O8" s="209"/>
    </row>
    <row r="9" spans="1:15" ht="16.5" customHeight="1">
      <c r="A9" s="272">
        <v>4</v>
      </c>
      <c r="B9" s="20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실거래종목</v>
      </c>
      <c r="C9" s="203"/>
      <c r="D9" s="201" t="s">
        <v>323</v>
      </c>
      <c r="E9" s="202"/>
      <c r="F9" s="203"/>
      <c r="G9" s="201" t="s">
        <v>330</v>
      </c>
      <c r="H9" s="202"/>
      <c r="I9" s="203"/>
      <c r="J9" s="201" t="s">
        <v>337</v>
      </c>
      <c r="K9" s="202"/>
      <c r="L9" s="203"/>
      <c r="M9" s="201" t="s">
        <v>344</v>
      </c>
      <c r="N9" s="202"/>
      <c r="O9" s="203"/>
    </row>
    <row r="10" spans="1:15" ht="16.5" customHeight="1" thickBot="1">
      <c r="A10" s="273"/>
      <c r="B10" s="2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105,784 KRW (13.43%)</v>
      </c>
      <c r="C10" s="209"/>
      <c r="D10" s="207" t="str">
        <f ca="1" xml:space="preserve"> TEXT($F$244, "#,##0") &amp; " KRW (" &amp; TEXT($E$244, "0.00%)")</f>
        <v>-105,450 KRW (-5.27%)</v>
      </c>
      <c r="E10" s="208"/>
      <c r="F10" s="209"/>
      <c r="G10" s="207" t="str">
        <f ca="1" xml:space="preserve"> TEXT($I$244, "#,##0") &amp; " KRW (" &amp; TEXT($H$244, "0.00%)")</f>
        <v>-159,355 KRW (-7.97%)</v>
      </c>
      <c r="H10" s="208"/>
      <c r="I10" s="209"/>
      <c r="J10" s="207" t="str">
        <f ca="1" xml:space="preserve"> TEXT($L$244, "#,##0") &amp; " KRW (" &amp; TEXT($K$244, "0.00%)")</f>
        <v>-230,761 KRW (-11.54%)</v>
      </c>
      <c r="K10" s="208"/>
      <c r="L10" s="209"/>
      <c r="M10" s="207" t="str">
        <f ca="1" xml:space="preserve"> TEXT($O$244, "#,##0") &amp; " KRW (" &amp; TEXT($N$244, "0.00%)")</f>
        <v>71,670 KRW (3.58%)</v>
      </c>
      <c r="N10" s="208"/>
      <c r="O10" s="209"/>
    </row>
    <row r="11" spans="1:15" ht="16.5" customHeight="1">
      <c r="A11" s="272">
        <v>5</v>
      </c>
      <c r="B11" s="20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엽전코인 Bottom20</v>
      </c>
      <c r="C11" s="203"/>
      <c r="D11" s="201" t="s">
        <v>324</v>
      </c>
      <c r="E11" s="202"/>
      <c r="F11" s="203"/>
      <c r="G11" s="201" t="s">
        <v>331</v>
      </c>
      <c r="H11" s="202"/>
      <c r="I11" s="203"/>
      <c r="J11" s="201" t="s">
        <v>338</v>
      </c>
      <c r="K11" s="202"/>
      <c r="L11" s="203"/>
      <c r="M11" s="201" t="s">
        <v>345</v>
      </c>
      <c r="N11" s="202"/>
      <c r="O11" s="203"/>
    </row>
    <row r="12" spans="1:15" ht="16.5" customHeight="1" thickBot="1">
      <c r="A12" s="273"/>
      <c r="B12" s="2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93,023 KRW (4.65%)</v>
      </c>
      <c r="C12" s="209"/>
      <c r="D12" s="207" t="str">
        <f ca="1" xml:space="preserve"> TEXT($F$168, "#,##0") &amp; " KRW (" &amp; TEXT($E$168, "0.00%)")</f>
        <v>58,578 KRW (2.93%)</v>
      </c>
      <c r="E12" s="208"/>
      <c r="F12" s="209"/>
      <c r="G12" s="207" t="str">
        <f ca="1" xml:space="preserve"> TEXT($I$168, "#,##0") &amp; " KRW (" &amp; TEXT($H$168, "0.00%)")</f>
        <v>-69,817 KRW (-3.49%)</v>
      </c>
      <c r="H12" s="208"/>
      <c r="I12" s="209"/>
      <c r="J12" s="207" t="str">
        <f ca="1" xml:space="preserve"> TEXT($L$168, "#,##0") &amp; " KRW (" &amp; TEXT($K$168, "0.00%)")</f>
        <v>-192,777 KRW (-9.64%)</v>
      </c>
      <c r="K12" s="208"/>
      <c r="L12" s="209"/>
      <c r="M12" s="207" t="str">
        <f ca="1" xml:space="preserve"> TEXT($O$168, "#,##0") &amp; " KRW (" &amp; TEXT($N$168, "0.00%)")</f>
        <v>157,877 KRW (7.89%)</v>
      </c>
      <c r="N12" s="208"/>
      <c r="O12" s="209"/>
    </row>
    <row r="13" spans="1:15" ht="16.5" customHeight="1">
      <c r="A13" s="272">
        <v>6</v>
      </c>
      <c r="B13" s="20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동전코인 Bottom20</v>
      </c>
      <c r="C13" s="203"/>
      <c r="D13" s="201" t="s">
        <v>325</v>
      </c>
      <c r="E13" s="202"/>
      <c r="F13" s="203"/>
      <c r="G13" s="201" t="s">
        <v>332</v>
      </c>
      <c r="H13" s="202"/>
      <c r="I13" s="203"/>
      <c r="J13" s="201" t="s">
        <v>339</v>
      </c>
      <c r="K13" s="202"/>
      <c r="L13" s="203"/>
      <c r="M13" s="201" t="s">
        <v>346</v>
      </c>
      <c r="N13" s="202"/>
      <c r="O13" s="203"/>
    </row>
    <row r="14" spans="1:15" ht="16.5" customHeight="1" thickBot="1">
      <c r="A14" s="273"/>
      <c r="B14" s="2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71,670 KRW (3.58%)</v>
      </c>
      <c r="C14" s="209"/>
      <c r="D14" s="207" t="str">
        <f ca="1" xml:space="preserve"> TEXT($F$282, "#,##0") &amp; " KRW (" &amp; TEXT($E$282, "0.00%)")</f>
        <v>-102,525 KRW (-5.13%)</v>
      </c>
      <c r="E14" s="208"/>
      <c r="F14" s="209"/>
      <c r="G14" s="207" t="str">
        <f ca="1" xml:space="preserve"> TEXT($I$282, "#,##0") &amp; " KRW (" &amp; TEXT($H$282, "0.00%)")</f>
        <v>-176,884 KRW (-8.84%)</v>
      </c>
      <c r="H14" s="208"/>
      <c r="I14" s="209"/>
      <c r="J14" s="207" t="str">
        <f ca="1" xml:space="preserve"> TEXT($L$282, "#,##0") &amp; " KRW (" &amp; TEXT($K$282, "0.00%)")</f>
        <v>-265,499 KRW (-13.27%)</v>
      </c>
      <c r="K14" s="208"/>
      <c r="L14" s="209"/>
      <c r="M14" s="207" t="str">
        <f ca="1" xml:space="preserve"> TEXT($O$282, "#,##0") &amp; " KRW (" &amp; TEXT($N$282, "0.00%)")</f>
        <v>65,175 KRW (3.26%)</v>
      </c>
      <c r="N14" s="208"/>
      <c r="O14" s="209"/>
    </row>
    <row r="15" spans="1:15" ht="16.5" customHeight="1">
      <c r="A15" s="272">
        <v>7</v>
      </c>
      <c r="B15" s="20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전일대비 상승률 Bottom20</v>
      </c>
      <c r="C15" s="203"/>
      <c r="D15" s="201" t="s">
        <v>326</v>
      </c>
      <c r="E15" s="202"/>
      <c r="F15" s="203"/>
      <c r="G15" s="201" t="s">
        <v>333</v>
      </c>
      <c r="H15" s="202"/>
      <c r="I15" s="203"/>
      <c r="J15" s="201" t="s">
        <v>340</v>
      </c>
      <c r="K15" s="202"/>
      <c r="L15" s="203"/>
      <c r="M15" s="201" t="s">
        <v>347</v>
      </c>
      <c r="N15" s="202"/>
      <c r="O15" s="203"/>
    </row>
    <row r="16" spans="1:15" ht="16.5" customHeight="1" thickBot="1">
      <c r="A16" s="273"/>
      <c r="B16" s="2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65,175 KRW (3.26%)</v>
      </c>
      <c r="C16" s="209"/>
      <c r="D16" s="207" t="str">
        <f ca="1" xml:space="preserve"> TEXT($F$54, "#,##0") &amp; " KRW (" &amp; TEXT($E$54, "0.00%)")</f>
        <v>36,855 KRW (4.68%)</v>
      </c>
      <c r="E16" s="208"/>
      <c r="F16" s="209"/>
      <c r="G16" s="207" t="str">
        <f ca="1" xml:space="preserve"> TEXT($I$54, "#,##0") &amp; " KRW (" &amp; TEXT($H$54, "0.00%)")</f>
        <v>48,313 KRW (6.13%)</v>
      </c>
      <c r="H16" s="208"/>
      <c r="I16" s="209"/>
      <c r="J16" s="207" t="str">
        <f ca="1" xml:space="preserve"> TEXT($L$54, "#,##0") &amp; " KRW (" &amp; TEXT($K$54, "0.00%)")</f>
        <v>30,143 KRW (3.83%)</v>
      </c>
      <c r="K16" s="208"/>
      <c r="L16" s="209"/>
      <c r="M16" s="207" t="str">
        <f ca="1" xml:space="preserve"> TEXT($O$54, "#,##0") &amp; " KRW (" &amp; TEXT($N$54, "0.00%)")</f>
        <v>105,784 KRW (13.43%)</v>
      </c>
      <c r="N16" s="208"/>
      <c r="O16" s="209"/>
    </row>
    <row r="18" spans="1:15" ht="16.5" customHeight="1" thickBot="1"/>
    <row r="19" spans="1:15" ht="16.5" customHeight="1" thickBot="1">
      <c r="A19" s="192" t="str">
        <f>TEXT(투자전략!$G$1, "[$-ko-KR]yyyy년 mm월 ") &amp; "실거래 월말결산"</f>
        <v>2021년 06월 실거래 월말결산</v>
      </c>
      <c r="B19" s="193"/>
      <c r="C19" s="193"/>
      <c r="D19" s="193"/>
      <c r="E19" s="193"/>
      <c r="F19" s="193"/>
      <c r="G19" s="193"/>
      <c r="H19" s="193"/>
      <c r="I19" s="193"/>
      <c r="J19" s="193"/>
      <c r="K19" s="193"/>
      <c r="L19" s="193"/>
      <c r="M19" s="193"/>
      <c r="N19" s="193"/>
      <c r="O19" s="194"/>
    </row>
    <row r="20" spans="1:15" ht="16.5" customHeight="1" thickBot="1">
      <c r="A20" s="253" t="s">
        <v>314</v>
      </c>
      <c r="B20" s="207" t="s">
        <v>312</v>
      </c>
      <c r="C20" s="209"/>
      <c r="D20" s="207" t="s">
        <v>304</v>
      </c>
      <c r="E20" s="208"/>
      <c r="F20" s="209"/>
      <c r="G20" s="207" t="s">
        <v>305</v>
      </c>
      <c r="H20" s="208"/>
      <c r="I20" s="209"/>
      <c r="J20" s="207" t="s">
        <v>306</v>
      </c>
      <c r="K20" s="208"/>
      <c r="L20" s="209"/>
      <c r="M20" s="207" t="s">
        <v>307</v>
      </c>
      <c r="N20" s="208"/>
      <c r="O20" s="209"/>
    </row>
    <row r="21" spans="1:15" ht="16.5" customHeight="1" thickBot="1">
      <c r="A21" s="257"/>
      <c r="B21" s="146" t="s">
        <v>302</v>
      </c>
      <c r="C21" s="146" t="s">
        <v>42</v>
      </c>
      <c r="D21" s="121" t="s">
        <v>303</v>
      </c>
      <c r="E21" s="133" t="s">
        <v>40</v>
      </c>
      <c r="F21" s="149" t="s">
        <v>41</v>
      </c>
      <c r="G21" s="121" t="s">
        <v>303</v>
      </c>
      <c r="H21" s="133" t="s">
        <v>40</v>
      </c>
      <c r="I21" s="149" t="s">
        <v>41</v>
      </c>
      <c r="J21" s="121" t="s">
        <v>303</v>
      </c>
      <c r="K21" s="133" t="s">
        <v>40</v>
      </c>
      <c r="L21" s="149" t="s">
        <v>41</v>
      </c>
      <c r="M21" s="121" t="s">
        <v>303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505428.75233765825</v>
      </c>
      <c r="N26" s="77">
        <f t="shared" ca="1" si="11"/>
        <v>1.0857504675316482E-2</v>
      </c>
      <c r="O26" s="137">
        <f t="shared" ca="1" si="12"/>
        <v>5428.7523376582412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>
        <f t="shared" ca="1" si="0"/>
        <v>500000</v>
      </c>
      <c r="D27" s="139">
        <f t="shared" ca="1" si="1"/>
        <v>498272.89942597802</v>
      </c>
      <c r="E27" s="77">
        <f t="shared" ca="1" si="2"/>
        <v>-3.4542011480439457E-3</v>
      </c>
      <c r="F27" s="137">
        <f t="shared" ca="1" si="3"/>
        <v>-1727.100574021973</v>
      </c>
      <c r="G27" s="139">
        <f t="shared" ca="1" si="4"/>
        <v>504800.94017391209</v>
      </c>
      <c r="H27" s="77">
        <f t="shared" ca="1" si="5"/>
        <v>9.6018803478241099E-3</v>
      </c>
      <c r="I27" s="137">
        <f t="shared" ca="1" si="6"/>
        <v>4800.940173912054</v>
      </c>
      <c r="J27" s="139">
        <f t="shared" ca="1" si="7"/>
        <v>506919.09947950178</v>
      </c>
      <c r="K27" s="77">
        <f t="shared" ca="1" si="8"/>
        <v>1.3838198959003517E-2</v>
      </c>
      <c r="L27" s="137">
        <f t="shared" ca="1" si="9"/>
        <v>6919.0994795017587</v>
      </c>
      <c r="M27" s="139">
        <f t="shared" ca="1" si="10"/>
        <v>507219.37989022414</v>
      </c>
      <c r="N27" s="77">
        <f t="shared" ca="1" si="11"/>
        <v>1.4438759780448221E-2</v>
      </c>
      <c r="O27" s="137">
        <f t="shared" ca="1" si="12"/>
        <v>7219.3798902241115</v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>
        <f t="shared" ca="1" si="0"/>
        <v>1500000</v>
      </c>
      <c r="D28" s="140">
        <f t="shared" ca="1" si="1"/>
        <v>1530265.176032895</v>
      </c>
      <c r="E28" s="79">
        <f t="shared" ca="1" si="2"/>
        <v>2.0176784021930023E-2</v>
      </c>
      <c r="F28" s="138">
        <f t="shared" ca="1" si="3"/>
        <v>30265.176032895033</v>
      </c>
      <c r="G28" s="140">
        <f t="shared" ca="1" si="4"/>
        <v>1528934.6187827066</v>
      </c>
      <c r="H28" s="79">
        <f t="shared" ca="1" si="5"/>
        <v>1.9289745855137697E-2</v>
      </c>
      <c r="I28" s="138">
        <f t="shared" ca="1" si="6"/>
        <v>28934.618782706544</v>
      </c>
      <c r="J28" s="140">
        <f t="shared" ca="1" si="7"/>
        <v>1544474.7648176469</v>
      </c>
      <c r="K28" s="79">
        <f t="shared" ca="1" si="8"/>
        <v>2.9649843211764729E-2</v>
      </c>
      <c r="L28" s="138">
        <f t="shared" ca="1" si="9"/>
        <v>44474.76481764709</v>
      </c>
      <c r="M28" s="140">
        <f t="shared" ca="1" si="10"/>
        <v>1532856.66780963</v>
      </c>
      <c r="N28" s="79">
        <f t="shared" ca="1" si="11"/>
        <v>2.1904445206420018E-2</v>
      </c>
      <c r="O28" s="138">
        <f t="shared" ca="1" si="12"/>
        <v>32856.667809630024</v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>
        <f t="shared" ca="1" si="0"/>
        <v>500000</v>
      </c>
      <c r="D29" s="142">
        <f t="shared" ca="1" si="1"/>
        <v>431644.9985509133</v>
      </c>
      <c r="E29" s="76">
        <f t="shared" ca="1" si="2"/>
        <v>-0.13671000289817342</v>
      </c>
      <c r="F29" s="141">
        <f t="shared" ca="1" si="3"/>
        <v>-68355.001449086718</v>
      </c>
      <c r="G29" s="142">
        <f t="shared" ca="1" si="4"/>
        <v>431973.23193609988</v>
      </c>
      <c r="H29" s="76">
        <f t="shared" ca="1" si="5"/>
        <v>-0.13605353612780022</v>
      </c>
      <c r="I29" s="141">
        <f t="shared" ca="1" si="6"/>
        <v>-68026.768063900105</v>
      </c>
      <c r="J29" s="142">
        <f t="shared" ca="1" si="7"/>
        <v>433611.58654301101</v>
      </c>
      <c r="K29" s="76">
        <f t="shared" ca="1" si="8"/>
        <v>-0.13277682691397796</v>
      </c>
      <c r="L29" s="141">
        <f t="shared" ca="1" si="9"/>
        <v>-66388.413456988987</v>
      </c>
      <c r="M29" s="142">
        <f t="shared" ca="1" si="10"/>
        <v>500000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01" t="s">
        <v>313</v>
      </c>
      <c r="B53" s="203"/>
      <c r="C53" s="132" t="s">
        <v>308</v>
      </c>
      <c r="D53" s="143" t="s">
        <v>309</v>
      </c>
      <c r="E53" s="144" t="s">
        <v>310</v>
      </c>
      <c r="F53" s="145" t="s">
        <v>311</v>
      </c>
      <c r="G53" s="143" t="s">
        <v>309</v>
      </c>
      <c r="H53" s="144" t="s">
        <v>310</v>
      </c>
      <c r="I53" s="145" t="s">
        <v>311</v>
      </c>
      <c r="J53" s="143" t="s">
        <v>309</v>
      </c>
      <c r="K53" s="144" t="s">
        <v>310</v>
      </c>
      <c r="L53" s="145" t="s">
        <v>311</v>
      </c>
      <c r="M53" s="143" t="s">
        <v>309</v>
      </c>
      <c r="N53" s="144" t="s">
        <v>310</v>
      </c>
      <c r="O53" s="145" t="s">
        <v>311</v>
      </c>
    </row>
    <row r="54" spans="1:15" ht="16.5" customHeight="1" thickBot="1">
      <c r="A54" s="207"/>
      <c r="B54" s="209"/>
      <c r="C54" s="136">
        <f ca="1">SUM(C22:C52)</f>
        <v>6300000</v>
      </c>
      <c r="D54" s="140">
        <f ca="1">SUM(D22:D52)</f>
        <v>6336855.4670795305</v>
      </c>
      <c r="E54" s="79">
        <f ca="1">IFERROR(F54 / (SUM($C22:$C52) / COUNT($C22:$C52)), 0)</f>
        <v>4.6800593116863812E-2</v>
      </c>
      <c r="F54" s="138">
        <f ca="1">SUM(F22:F52)</f>
        <v>36855.467079530252</v>
      </c>
      <c r="G54" s="140">
        <f ca="1">SUM(G22:G52)</f>
        <v>6348313.1092466796</v>
      </c>
      <c r="H54" s="79">
        <f ca="1">IFERROR(I54 / (SUM($C22:$C52) / COUNT($C22:$C52)), 0)</f>
        <v>6.1349979995783413E-2</v>
      </c>
      <c r="I54" s="138">
        <f ca="1">SUM(I22:I52)</f>
        <v>48313.109246679436</v>
      </c>
      <c r="J54" s="140">
        <f ca="1">SUM(J22:J52)</f>
        <v>6330142.7825765721</v>
      </c>
      <c r="K54" s="79">
        <f ca="1">IFERROR(L54 / (SUM($C22:$C52) / COUNT($C22:$C52)), 0)</f>
        <v>3.8276549303583089E-2</v>
      </c>
      <c r="L54" s="138">
        <f ca="1">SUM(L22:L52)</f>
        <v>30142.782576571684</v>
      </c>
      <c r="M54" s="140">
        <f ca="1">SUM(M22:M52)</f>
        <v>6405784.2689326573</v>
      </c>
      <c r="N54" s="79">
        <f ca="1">IFERROR(O54 / (SUM($C22:$C52) / COUNT($C22:$C52)), 0)</f>
        <v>0.13432923039067637</v>
      </c>
      <c r="O54" s="138">
        <f ca="1">SUM(O22:O52)</f>
        <v>105784.26893265764</v>
      </c>
    </row>
    <row r="56" spans="1:15" ht="16.5" customHeight="1" thickBot="1"/>
    <row r="57" spans="1:15" ht="16.5" customHeight="1" thickBot="1">
      <c r="A57" s="192" t="str">
        <f>TEXT(투자전략!$G$1, "[$-ko-KR]yyyy년 mm월 ") &amp; "[엽전코인] 전일대비 상승률 Top20 월말결산"</f>
        <v>2021년 06월 [엽전코인] 전일대비 상승률 Top20 월말결산</v>
      </c>
      <c r="B57" s="193"/>
      <c r="C57" s="193"/>
      <c r="D57" s="193"/>
      <c r="E57" s="193"/>
      <c r="F57" s="193"/>
      <c r="G57" s="193"/>
      <c r="H57" s="193"/>
      <c r="I57" s="193"/>
      <c r="J57" s="193"/>
      <c r="K57" s="193"/>
      <c r="L57" s="193"/>
      <c r="M57" s="193"/>
      <c r="N57" s="193"/>
      <c r="O57" s="194"/>
    </row>
    <row r="58" spans="1:15" ht="16.5" customHeight="1" thickBot="1">
      <c r="A58" s="253" t="s">
        <v>314</v>
      </c>
      <c r="B58" s="207" t="s">
        <v>312</v>
      </c>
      <c r="C58" s="209"/>
      <c r="D58" s="207" t="s">
        <v>304</v>
      </c>
      <c r="E58" s="208"/>
      <c r="F58" s="209"/>
      <c r="G58" s="207" t="s">
        <v>305</v>
      </c>
      <c r="H58" s="208"/>
      <c r="I58" s="209"/>
      <c r="J58" s="207" t="s">
        <v>306</v>
      </c>
      <c r="K58" s="208"/>
      <c r="L58" s="209"/>
      <c r="M58" s="207" t="s">
        <v>307</v>
      </c>
      <c r="N58" s="208"/>
      <c r="O58" s="209"/>
    </row>
    <row r="59" spans="1:15" ht="16.5" customHeight="1" thickBot="1">
      <c r="A59" s="257"/>
      <c r="B59" s="154" t="s">
        <v>302</v>
      </c>
      <c r="C59" s="154" t="s">
        <v>42</v>
      </c>
      <c r="D59" s="121" t="s">
        <v>303</v>
      </c>
      <c r="E59" s="133" t="s">
        <v>40</v>
      </c>
      <c r="F59" s="156" t="s">
        <v>41</v>
      </c>
      <c r="G59" s="121" t="s">
        <v>303</v>
      </c>
      <c r="H59" s="133" t="s">
        <v>40</v>
      </c>
      <c r="I59" s="156" t="s">
        <v>41</v>
      </c>
      <c r="J59" s="121" t="s">
        <v>303</v>
      </c>
      <c r="K59" s="133" t="s">
        <v>40</v>
      </c>
      <c r="L59" s="156" t="s">
        <v>41</v>
      </c>
      <c r="M59" s="121" t="s">
        <v>303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2008892.5293496235</v>
      </c>
      <c r="N64" s="77">
        <f t="shared" ca="1" si="24"/>
        <v>4.4462646748117179E-3</v>
      </c>
      <c r="O64" s="137">
        <f t="shared" ca="1" si="25"/>
        <v>8892.529349623439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>
        <f t="shared" ca="1" si="13"/>
        <v>2000000</v>
      </c>
      <c r="D65" s="139">
        <f t="shared" ca="1" si="14"/>
        <v>2059710.6388244245</v>
      </c>
      <c r="E65" s="77">
        <f t="shared" ca="1" si="15"/>
        <v>2.9855319412212138E-2</v>
      </c>
      <c r="F65" s="137">
        <f t="shared" ca="1" si="16"/>
        <v>59710.638824424277</v>
      </c>
      <c r="G65" s="139">
        <f t="shared" ca="1" si="17"/>
        <v>2075221.4372955658</v>
      </c>
      <c r="H65" s="77">
        <f t="shared" ca="1" si="18"/>
        <v>3.7610718647782877E-2</v>
      </c>
      <c r="I65" s="137">
        <f t="shared" ca="1" si="19"/>
        <v>75221.43729556576</v>
      </c>
      <c r="J65" s="139">
        <f t="shared" ca="1" si="20"/>
        <v>2098405.4770204951</v>
      </c>
      <c r="K65" s="77">
        <f t="shared" ca="1" si="21"/>
        <v>4.92027385102475E-2</v>
      </c>
      <c r="L65" s="137">
        <f t="shared" ca="1" si="22"/>
        <v>98405.477020494975</v>
      </c>
      <c r="M65" s="139">
        <f t="shared" ca="1" si="23"/>
        <v>2063334.986044958</v>
      </c>
      <c r="N65" s="77">
        <f t="shared" ca="1" si="24"/>
        <v>3.166749302247894E-2</v>
      </c>
      <c r="O65" s="137">
        <f t="shared" ca="1" si="25"/>
        <v>63334.98604495787</v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>
        <f t="shared" ca="1" si="13"/>
        <v>2000000</v>
      </c>
      <c r="D66" s="139">
        <f t="shared" ca="1" si="14"/>
        <v>2012761.1944679944</v>
      </c>
      <c r="E66" s="77">
        <f t="shared" ca="1" si="15"/>
        <v>6.3805972339971246E-3</v>
      </c>
      <c r="F66" s="137">
        <f t="shared" ca="1" si="16"/>
        <v>12761.19446799425</v>
      </c>
      <c r="G66" s="139">
        <f t="shared" ca="1" si="17"/>
        <v>2032701.3006919853</v>
      </c>
      <c r="H66" s="77">
        <f t="shared" ca="1" si="18"/>
        <v>1.6350650345992802E-2</v>
      </c>
      <c r="I66" s="137">
        <f t="shared" ca="1" si="19"/>
        <v>32701.300691985623</v>
      </c>
      <c r="J66" s="139">
        <f t="shared" ca="1" si="20"/>
        <v>2036453.492438751</v>
      </c>
      <c r="K66" s="77">
        <f t="shared" ca="1" si="21"/>
        <v>1.8226746219375388E-2</v>
      </c>
      <c r="L66" s="137">
        <f t="shared" ca="1" si="22"/>
        <v>36453.492438750778</v>
      </c>
      <c r="M66" s="139">
        <f t="shared" ca="1" si="23"/>
        <v>2027697.3242217808</v>
      </c>
      <c r="N66" s="77">
        <f t="shared" ca="1" si="24"/>
        <v>1.3848662110890369E-2</v>
      </c>
      <c r="O66" s="137">
        <f t="shared" ca="1" si="25"/>
        <v>27697.324221780742</v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>
        <f t="shared" ca="1" si="13"/>
        <v>2000000</v>
      </c>
      <c r="D67" s="142">
        <f t="shared" ca="1" si="14"/>
        <v>1739430.9545309471</v>
      </c>
      <c r="E67" s="76">
        <f t="shared" ca="1" si="15"/>
        <v>-0.13028452273452634</v>
      </c>
      <c r="F67" s="141">
        <f t="shared" ca="1" si="16"/>
        <v>-260569.04546905271</v>
      </c>
      <c r="G67" s="142">
        <f t="shared" ca="1" si="17"/>
        <v>1745253.1594896172</v>
      </c>
      <c r="H67" s="76">
        <f t="shared" ca="1" si="18"/>
        <v>-0.12737342025519136</v>
      </c>
      <c r="I67" s="141">
        <f t="shared" ca="1" si="19"/>
        <v>-254746.84051038272</v>
      </c>
      <c r="J67" s="142">
        <f t="shared" ca="1" si="20"/>
        <v>1755855.4640404535</v>
      </c>
      <c r="K67" s="76">
        <f t="shared" ca="1" si="21"/>
        <v>-0.12207226797977319</v>
      </c>
      <c r="L67" s="141">
        <f t="shared" ca="1" si="22"/>
        <v>-244144.53595954643</v>
      </c>
      <c r="M67" s="142">
        <f t="shared" ca="1" si="23"/>
        <v>2000000</v>
      </c>
      <c r="N67" s="76">
        <f t="shared" ca="1" si="24"/>
        <v>0</v>
      </c>
      <c r="O67" s="141">
        <f t="shared" ca="1" si="25"/>
        <v>0</v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01" t="s">
        <v>313</v>
      </c>
      <c r="B91" s="203"/>
      <c r="C91" s="132" t="s">
        <v>308</v>
      </c>
      <c r="D91" s="150" t="s">
        <v>309</v>
      </c>
      <c r="E91" s="151" t="s">
        <v>310</v>
      </c>
      <c r="F91" s="152" t="s">
        <v>311</v>
      </c>
      <c r="G91" s="150" t="s">
        <v>309</v>
      </c>
      <c r="H91" s="151" t="s">
        <v>310</v>
      </c>
      <c r="I91" s="152" t="s">
        <v>311</v>
      </c>
      <c r="J91" s="150" t="s">
        <v>309</v>
      </c>
      <c r="K91" s="151" t="s">
        <v>310</v>
      </c>
      <c r="L91" s="152" t="s">
        <v>311</v>
      </c>
      <c r="M91" s="150" t="s">
        <v>309</v>
      </c>
      <c r="N91" s="151" t="s">
        <v>310</v>
      </c>
      <c r="O91" s="152" t="s">
        <v>311</v>
      </c>
    </row>
    <row r="92" spans="1:15" ht="16.5" customHeight="1" thickBot="1">
      <c r="A92" s="207"/>
      <c r="B92" s="209"/>
      <c r="C92" s="136">
        <f ca="1">SUM(C60:C90)</f>
        <v>16000000</v>
      </c>
      <c r="D92" s="140">
        <f ca="1">SUM(D60:D90)</f>
        <v>15956707.858374771</v>
      </c>
      <c r="E92" s="79">
        <f ca="1">IFERROR(F92 / (SUM($C60:$C90) / COUNT($C60:$C90)), 0)</f>
        <v>-2.1646070812613629E-2</v>
      </c>
      <c r="F92" s="138">
        <f ca="1">SUM(F60:F90)</f>
        <v>-43292.141625227261</v>
      </c>
      <c r="G92" s="140">
        <f ca="1">SUM(G60:G90)</f>
        <v>15876114.762548443</v>
      </c>
      <c r="H92" s="79">
        <f ca="1">IFERROR(I92 / (SUM($C60:$C90) / COUNT($C60:$C90)), 0)</f>
        <v>-6.1942618725776957E-2</v>
      </c>
      <c r="I92" s="138">
        <f ca="1">SUM(I60:I90)</f>
        <v>-123885.23745155391</v>
      </c>
      <c r="J92" s="140">
        <f ca="1">SUM(J60:J90)</f>
        <v>15817584.591379918</v>
      </c>
      <c r="K92" s="79">
        <f ca="1">IFERROR(L92 / (SUM($C60:$C90) / COUNT($C60:$C90)), 0)</f>
        <v>-9.1207704310039814E-2</v>
      </c>
      <c r="L92" s="138">
        <f ca="1">SUM(L60:L90)</f>
        <v>-182415.40862007963</v>
      </c>
      <c r="M92" s="140">
        <f ca="1">SUM(M60:M90)</f>
        <v>16113410.387338443</v>
      </c>
      <c r="N92" s="79">
        <f ca="1">IFERROR(O92 / (SUM($C60:$C90) / COUNT($C60:$C90)), 0)</f>
        <v>5.6705193669220895E-2</v>
      </c>
      <c r="O92" s="138">
        <f ca="1">SUM(O60:O90)</f>
        <v>113410.3873384418</v>
      </c>
    </row>
    <row r="94" spans="1:15" ht="16.5" customHeight="1" thickBot="1"/>
    <row r="95" spans="1:15" ht="16.5" customHeight="1" thickBot="1">
      <c r="A95" s="192" t="str">
        <f>TEXT(투자전략!$G$1, "[$-ko-KR]yyyy년 mm월 ") &amp; "[동전코인] 전일대비 상승률 Top20 월말결산"</f>
        <v>2021년 06월 [동전코인] 전일대비 상승률 Top20 월말결산</v>
      </c>
      <c r="B95" s="193"/>
      <c r="C95" s="193"/>
      <c r="D95" s="193"/>
      <c r="E95" s="193"/>
      <c r="F95" s="193"/>
      <c r="G95" s="193"/>
      <c r="H95" s="193"/>
      <c r="I95" s="193"/>
      <c r="J95" s="193"/>
      <c r="K95" s="193"/>
      <c r="L95" s="193"/>
      <c r="M95" s="193"/>
      <c r="N95" s="193"/>
      <c r="O95" s="194"/>
    </row>
    <row r="96" spans="1:15" ht="16.5" customHeight="1" thickBot="1">
      <c r="A96" s="253" t="s">
        <v>314</v>
      </c>
      <c r="B96" s="207" t="s">
        <v>312</v>
      </c>
      <c r="C96" s="209"/>
      <c r="D96" s="207" t="s">
        <v>304</v>
      </c>
      <c r="E96" s="208"/>
      <c r="F96" s="209"/>
      <c r="G96" s="207" t="s">
        <v>305</v>
      </c>
      <c r="H96" s="208"/>
      <c r="I96" s="209"/>
      <c r="J96" s="207" t="s">
        <v>306</v>
      </c>
      <c r="K96" s="208"/>
      <c r="L96" s="209"/>
      <c r="M96" s="207" t="s">
        <v>307</v>
      </c>
      <c r="N96" s="208"/>
      <c r="O96" s="209"/>
    </row>
    <row r="97" spans="1:15" ht="16.5" customHeight="1" thickBot="1">
      <c r="A97" s="257"/>
      <c r="B97" s="154" t="s">
        <v>302</v>
      </c>
      <c r="C97" s="154" t="s">
        <v>42</v>
      </c>
      <c r="D97" s="121" t="s">
        <v>303</v>
      </c>
      <c r="E97" s="133" t="s">
        <v>40</v>
      </c>
      <c r="F97" s="156" t="s">
        <v>41</v>
      </c>
      <c r="G97" s="121" t="s">
        <v>303</v>
      </c>
      <c r="H97" s="133" t="s">
        <v>40</v>
      </c>
      <c r="I97" s="156" t="s">
        <v>41</v>
      </c>
      <c r="J97" s="121" t="s">
        <v>303</v>
      </c>
      <c r="K97" s="133" t="s">
        <v>40</v>
      </c>
      <c r="L97" s="156" t="s">
        <v>41</v>
      </c>
      <c r="M97" s="121" t="s">
        <v>303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1987944.2740698857</v>
      </c>
      <c r="N102" s="77">
        <f t="shared" ca="1" si="37"/>
        <v>-6.0278629650571923E-3</v>
      </c>
      <c r="O102" s="137">
        <f t="shared" ca="1" si="38"/>
        <v>-12055.725930114386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>
        <f t="shared" ca="1" si="26"/>
        <v>2000000</v>
      </c>
      <c r="D103" s="139">
        <f t="shared" ca="1" si="27"/>
        <v>2003660.3661245666</v>
      </c>
      <c r="E103" s="77">
        <f t="shared" ca="1" si="28"/>
        <v>1.8301830622833918E-3</v>
      </c>
      <c r="F103" s="137">
        <f t="shared" ca="1" si="29"/>
        <v>3660.3661245667836</v>
      </c>
      <c r="G103" s="139">
        <f t="shared" ca="1" si="30"/>
        <v>2011359.2354342607</v>
      </c>
      <c r="H103" s="77">
        <f t="shared" ca="1" si="31"/>
        <v>5.6796177171303973E-3</v>
      </c>
      <c r="I103" s="137">
        <f t="shared" ca="1" si="32"/>
        <v>11359.235434260798</v>
      </c>
      <c r="J103" s="139">
        <f t="shared" ca="1" si="33"/>
        <v>2017941.4582264808</v>
      </c>
      <c r="K103" s="77">
        <f t="shared" ca="1" si="34"/>
        <v>8.9707291132404034E-3</v>
      </c>
      <c r="L103" s="137">
        <f t="shared" ca="1" si="35"/>
        <v>17941.458226480809</v>
      </c>
      <c r="M103" s="139">
        <f t="shared" ca="1" si="36"/>
        <v>2012813.1971949053</v>
      </c>
      <c r="N103" s="77">
        <f t="shared" ca="1" si="37"/>
        <v>6.4065985974526797E-3</v>
      </c>
      <c r="O103" s="137">
        <f t="shared" ca="1" si="38"/>
        <v>12813.197194905359</v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>
        <f t="shared" ca="1" si="26"/>
        <v>2000000</v>
      </c>
      <c r="D104" s="139">
        <f t="shared" ca="1" si="27"/>
        <v>2042562.8988635398</v>
      </c>
      <c r="E104" s="77">
        <f t="shared" ca="1" si="28"/>
        <v>2.128144943176985E-2</v>
      </c>
      <c r="F104" s="137">
        <f t="shared" ca="1" si="29"/>
        <v>42562.898863539711</v>
      </c>
      <c r="G104" s="139">
        <f t="shared" ca="1" si="30"/>
        <v>2046221.289129067</v>
      </c>
      <c r="H104" s="77">
        <f t="shared" ca="1" si="31"/>
        <v>2.3110644564533413E-2</v>
      </c>
      <c r="I104" s="137">
        <f t="shared" ca="1" si="32"/>
        <v>46221.289129066834</v>
      </c>
      <c r="J104" s="139">
        <f t="shared" ca="1" si="33"/>
        <v>2048264.8552195029</v>
      </c>
      <c r="K104" s="77">
        <f t="shared" ca="1" si="34"/>
        <v>2.4132427609751487E-2</v>
      </c>
      <c r="L104" s="137">
        <f t="shared" ca="1" si="35"/>
        <v>48264.855219502977</v>
      </c>
      <c r="M104" s="139">
        <f t="shared" ca="1" si="36"/>
        <v>2045941.0020675261</v>
      </c>
      <c r="N104" s="77">
        <f t="shared" ca="1" si="37"/>
        <v>2.297050103376317E-2</v>
      </c>
      <c r="O104" s="137">
        <f t="shared" ca="1" si="38"/>
        <v>45941.002067526351</v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>
        <f t="shared" ca="1" si="26"/>
        <v>2000000</v>
      </c>
      <c r="D105" s="142">
        <f t="shared" ca="1" si="27"/>
        <v>1764852.4214210457</v>
      </c>
      <c r="E105" s="76">
        <f t="shared" ca="1" si="28"/>
        <v>-0.11757378928947718</v>
      </c>
      <c r="F105" s="141">
        <f t="shared" ca="1" si="29"/>
        <v>-235147.57857895433</v>
      </c>
      <c r="G105" s="142">
        <f t="shared" ca="1" si="30"/>
        <v>1782418.7609806883</v>
      </c>
      <c r="H105" s="76">
        <f t="shared" ca="1" si="31"/>
        <v>-0.10879061950965581</v>
      </c>
      <c r="I105" s="141">
        <f t="shared" ca="1" si="32"/>
        <v>-217581.23901931164</v>
      </c>
      <c r="J105" s="142">
        <f t="shared" ca="1" si="33"/>
        <v>1784399.3359728071</v>
      </c>
      <c r="K105" s="76">
        <f t="shared" ca="1" si="34"/>
        <v>-0.10780033201359636</v>
      </c>
      <c r="L105" s="141">
        <f t="shared" ca="1" si="35"/>
        <v>-215600.66402719272</v>
      </c>
      <c r="M105" s="142">
        <f t="shared" ca="1" si="36"/>
        <v>2000000</v>
      </c>
      <c r="N105" s="76">
        <f t="shared" ca="1" si="37"/>
        <v>0</v>
      </c>
      <c r="O105" s="141">
        <f t="shared" ca="1" si="38"/>
        <v>0</v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01" t="s">
        <v>313</v>
      </c>
      <c r="B129" s="203"/>
      <c r="C129" s="132" t="s">
        <v>308</v>
      </c>
      <c r="D129" s="150" t="s">
        <v>309</v>
      </c>
      <c r="E129" s="151" t="s">
        <v>310</v>
      </c>
      <c r="F129" s="152" t="s">
        <v>311</v>
      </c>
      <c r="G129" s="150" t="s">
        <v>309</v>
      </c>
      <c r="H129" s="151" t="s">
        <v>310</v>
      </c>
      <c r="I129" s="152" t="s">
        <v>311</v>
      </c>
      <c r="J129" s="150" t="s">
        <v>309</v>
      </c>
      <c r="K129" s="151" t="s">
        <v>310</v>
      </c>
      <c r="L129" s="152" t="s">
        <v>311</v>
      </c>
      <c r="M129" s="150" t="s">
        <v>309</v>
      </c>
      <c r="N129" s="151" t="s">
        <v>310</v>
      </c>
      <c r="O129" s="152" t="s">
        <v>311</v>
      </c>
    </row>
    <row r="130" spans="1:15" ht="16.5" customHeight="1" thickBot="1">
      <c r="A130" s="207"/>
      <c r="B130" s="209"/>
      <c r="C130" s="136">
        <f ca="1">SUM(C98:C128)</f>
        <v>16000000</v>
      </c>
      <c r="D130" s="140">
        <f ca="1">SUM(D98:D128)</f>
        <v>15945589.617434878</v>
      </c>
      <c r="E130" s="79">
        <f ca="1">IFERROR(F130 / (SUM($C98:$C128) / COUNT($C98:$C128)), 0)</f>
        <v>-2.7205191282560409E-2</v>
      </c>
      <c r="F130" s="138">
        <f ca="1">SUM(F98:F128)</f>
        <v>-54410.382565120817</v>
      </c>
      <c r="G130" s="140">
        <f ca="1">SUM(G98:G128)</f>
        <v>15885572.057346385</v>
      </c>
      <c r="H130" s="79">
        <f ca="1">IFERROR(I130 / (SUM($C98:$C128) / COUNT($C98:$C128)), 0)</f>
        <v>-5.721397132680809E-2</v>
      </c>
      <c r="I130" s="138">
        <f ca="1">SUM(I98:I128)</f>
        <v>-114427.94265361618</v>
      </c>
      <c r="J130" s="140">
        <f ca="1">SUM(J98:J128)</f>
        <v>15788172.416200204</v>
      </c>
      <c r="K130" s="79">
        <f ca="1">IFERROR(L130 / (SUM($C98:$C128) / COUNT($C98:$C128)), 0)</f>
        <v>-0.10591379189989876</v>
      </c>
      <c r="L130" s="138">
        <f ca="1">SUM(L98:L128)</f>
        <v>-211827.58379979752</v>
      </c>
      <c r="M130" s="140">
        <f ca="1">SUM(M98:M128)</f>
        <v>16126369.679265946</v>
      </c>
      <c r="N130" s="79">
        <f ca="1">IFERROR(O130 / (SUM($C98:$C128) / COUNT($C98:$C128)), 0)</f>
        <v>6.3184839632972875E-2</v>
      </c>
      <c r="O130" s="138">
        <f ca="1">SUM(O98:O128)</f>
        <v>126369.67926594574</v>
      </c>
    </row>
    <row r="132" spans="1:15" ht="16.5" customHeight="1" thickBot="1"/>
    <row r="133" spans="1:15" ht="16.5" customHeight="1" thickBot="1">
      <c r="A133" s="192" t="str">
        <f>TEXT(투자전략!$G$1, "[$-ko-KR]yyyy년 mm월 ") &amp; "전일대비 상승률 Top20 월말결산"</f>
        <v>2021년 06월 전일대비 상승률 Top20 월말결산</v>
      </c>
      <c r="B133" s="193"/>
      <c r="C133" s="193"/>
      <c r="D133" s="193"/>
      <c r="E133" s="193"/>
      <c r="F133" s="193"/>
      <c r="G133" s="193"/>
      <c r="H133" s="193"/>
      <c r="I133" s="193"/>
      <c r="J133" s="193"/>
      <c r="K133" s="193"/>
      <c r="L133" s="193"/>
      <c r="M133" s="193"/>
      <c r="N133" s="193"/>
      <c r="O133" s="194"/>
    </row>
    <row r="134" spans="1:15" ht="16.5" customHeight="1" thickBot="1">
      <c r="A134" s="253" t="s">
        <v>314</v>
      </c>
      <c r="B134" s="207" t="s">
        <v>312</v>
      </c>
      <c r="C134" s="209"/>
      <c r="D134" s="207" t="s">
        <v>304</v>
      </c>
      <c r="E134" s="208"/>
      <c r="F134" s="209"/>
      <c r="G134" s="207" t="s">
        <v>305</v>
      </c>
      <c r="H134" s="208"/>
      <c r="I134" s="209"/>
      <c r="J134" s="207" t="s">
        <v>306</v>
      </c>
      <c r="K134" s="208"/>
      <c r="L134" s="209"/>
      <c r="M134" s="207" t="s">
        <v>307</v>
      </c>
      <c r="N134" s="208"/>
      <c r="O134" s="209"/>
    </row>
    <row r="135" spans="1:15" ht="16.5" customHeight="1" thickBot="1">
      <c r="A135" s="257"/>
      <c r="B135" s="154" t="s">
        <v>302</v>
      </c>
      <c r="C135" s="154" t="s">
        <v>42</v>
      </c>
      <c r="D135" s="121" t="s">
        <v>303</v>
      </c>
      <c r="E135" s="133" t="s">
        <v>40</v>
      </c>
      <c r="F135" s="156" t="s">
        <v>41</v>
      </c>
      <c r="G135" s="121" t="s">
        <v>303</v>
      </c>
      <c r="H135" s="133" t="s">
        <v>40</v>
      </c>
      <c r="I135" s="156" t="s">
        <v>41</v>
      </c>
      <c r="J135" s="121" t="s">
        <v>303</v>
      </c>
      <c r="K135" s="133" t="s">
        <v>40</v>
      </c>
      <c r="L135" s="156" t="s">
        <v>41</v>
      </c>
      <c r="M135" s="121" t="s">
        <v>303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1994092.0257766538</v>
      </c>
      <c r="N140" s="77">
        <f t="shared" ca="1" si="50"/>
        <v>-2.9539871116730496E-3</v>
      </c>
      <c r="O140" s="137">
        <f t="shared" ca="1" si="51"/>
        <v>-5907.9742233461047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>
        <f t="shared" ca="1" si="39"/>
        <v>2000000</v>
      </c>
      <c r="D141" s="139">
        <f t="shared" ca="1" si="40"/>
        <v>2018982.2275083147</v>
      </c>
      <c r="E141" s="77">
        <f t="shared" ca="1" si="41"/>
        <v>9.4911137541572963E-3</v>
      </c>
      <c r="F141" s="137">
        <f t="shared" ca="1" si="42"/>
        <v>18982.227508314583</v>
      </c>
      <c r="G141" s="139">
        <f t="shared" ca="1" si="43"/>
        <v>2014271.3208808899</v>
      </c>
      <c r="H141" s="77">
        <f t="shared" ca="1" si="44"/>
        <v>7.1356604404449794E-3</v>
      </c>
      <c r="I141" s="137">
        <f t="shared" ca="1" si="45"/>
        <v>14271.32088088996</v>
      </c>
      <c r="J141" s="139">
        <f t="shared" ca="1" si="46"/>
        <v>1999353.1478214546</v>
      </c>
      <c r="K141" s="77">
        <f t="shared" ca="1" si="47"/>
        <v>-3.234260892726692E-4</v>
      </c>
      <c r="L141" s="137">
        <f t="shared" ca="1" si="48"/>
        <v>-646.85217854533983</v>
      </c>
      <c r="M141" s="139">
        <f t="shared" ca="1" si="49"/>
        <v>2004250.6923491606</v>
      </c>
      <c r="N141" s="77">
        <f t="shared" ca="1" si="50"/>
        <v>2.1253461745802324E-3</v>
      </c>
      <c r="O141" s="137">
        <f t="shared" ca="1" si="51"/>
        <v>4250.692349160463</v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>
        <f t="shared" ca="1" si="39"/>
        <v>2000000</v>
      </c>
      <c r="D142" s="139">
        <f t="shared" ca="1" si="40"/>
        <v>2079934.5601973908</v>
      </c>
      <c r="E142" s="77">
        <f t="shared" ca="1" si="41"/>
        <v>3.9967280098695421E-2</v>
      </c>
      <c r="F142" s="137">
        <f t="shared" ca="1" si="42"/>
        <v>79934.56019739082</v>
      </c>
      <c r="G142" s="139">
        <f t="shared" ca="1" si="43"/>
        <v>2088359.047819491</v>
      </c>
      <c r="H142" s="77">
        <f t="shared" ca="1" si="44"/>
        <v>4.4179523909745451E-2</v>
      </c>
      <c r="I142" s="137">
        <f t="shared" ca="1" si="45"/>
        <v>88359.047819490879</v>
      </c>
      <c r="J142" s="139">
        <f t="shared" ca="1" si="46"/>
        <v>2105806.62654546</v>
      </c>
      <c r="K142" s="77">
        <f t="shared" ca="1" si="47"/>
        <v>5.2903313272729943E-2</v>
      </c>
      <c r="L142" s="137">
        <f t="shared" ca="1" si="48"/>
        <v>105806.62654545991</v>
      </c>
      <c r="M142" s="139">
        <f t="shared" ca="1" si="49"/>
        <v>2074652.5348418232</v>
      </c>
      <c r="N142" s="77">
        <f t="shared" ca="1" si="50"/>
        <v>3.7326267420911621E-2</v>
      </c>
      <c r="O142" s="137">
        <f t="shared" ca="1" si="51"/>
        <v>74652.534841823246</v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>
        <f t="shared" ca="1" si="39"/>
        <v>2000000</v>
      </c>
      <c r="D143" s="142">
        <f t="shared" ca="1" si="40"/>
        <v>1753065.5061771725</v>
      </c>
      <c r="E143" s="76">
        <f t="shared" ca="1" si="41"/>
        <v>-0.12346724691141371</v>
      </c>
      <c r="F143" s="141">
        <f t="shared" ca="1" si="42"/>
        <v>-246934.49382282744</v>
      </c>
      <c r="G143" s="142">
        <f t="shared" ca="1" si="43"/>
        <v>1778267.8937888986</v>
      </c>
      <c r="H143" s="76">
        <f t="shared" ca="1" si="44"/>
        <v>-0.11086605310555071</v>
      </c>
      <c r="I143" s="141">
        <f t="shared" ca="1" si="45"/>
        <v>-221732.1062111014</v>
      </c>
      <c r="J143" s="142">
        <f t="shared" ca="1" si="46"/>
        <v>1782462.5673658198</v>
      </c>
      <c r="K143" s="76">
        <f t="shared" ca="1" si="47"/>
        <v>-0.10876871631709011</v>
      </c>
      <c r="L143" s="141">
        <f t="shared" ca="1" si="48"/>
        <v>-217537.43263418021</v>
      </c>
      <c r="M143" s="142">
        <f t="shared" ca="1" si="49"/>
        <v>2000000</v>
      </c>
      <c r="N143" s="76">
        <f t="shared" ca="1" si="50"/>
        <v>0</v>
      </c>
      <c r="O143" s="141">
        <f t="shared" ca="1" si="51"/>
        <v>0</v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01" t="s">
        <v>313</v>
      </c>
      <c r="B167" s="203"/>
      <c r="C167" s="132" t="s">
        <v>308</v>
      </c>
      <c r="D167" s="150" t="s">
        <v>309</v>
      </c>
      <c r="E167" s="151" t="s">
        <v>310</v>
      </c>
      <c r="F167" s="152" t="s">
        <v>311</v>
      </c>
      <c r="G167" s="150" t="s">
        <v>309</v>
      </c>
      <c r="H167" s="151" t="s">
        <v>310</v>
      </c>
      <c r="I167" s="152" t="s">
        <v>311</v>
      </c>
      <c r="J167" s="150" t="s">
        <v>309</v>
      </c>
      <c r="K167" s="151" t="s">
        <v>310</v>
      </c>
      <c r="L167" s="152" t="s">
        <v>311</v>
      </c>
      <c r="M167" s="150" t="s">
        <v>309</v>
      </c>
      <c r="N167" s="151" t="s">
        <v>310</v>
      </c>
      <c r="O167" s="152" t="s">
        <v>311</v>
      </c>
    </row>
    <row r="168" spans="1:15" ht="16.5" customHeight="1" thickBot="1">
      <c r="A168" s="207"/>
      <c r="B168" s="209"/>
      <c r="C168" s="136">
        <f ca="1">SUM(C136:C166)</f>
        <v>16000000</v>
      </c>
      <c r="D168" s="140">
        <f ca="1">SUM(D136:D166)</f>
        <v>16058577.600016514</v>
      </c>
      <c r="E168" s="79">
        <f ca="1">IFERROR(F168 / (SUM($C136:$C166) / COUNT($C136:$C166)), 0)</f>
        <v>2.9288800008257343E-2</v>
      </c>
      <c r="F168" s="138">
        <f ca="1">SUM(F136:F166)</f>
        <v>58577.600016514683</v>
      </c>
      <c r="G168" s="140">
        <f ca="1">SUM(G136:G166)</f>
        <v>15930182.634333964</v>
      </c>
      <c r="H168" s="79">
        <f ca="1">IFERROR(I168 / (SUM($C136:$C166) / COUNT($C136:$C166)), 0)</f>
        <v>-3.4908682833017651E-2</v>
      </c>
      <c r="I168" s="138">
        <f ca="1">SUM(I136:I166)</f>
        <v>-69817.365666035301</v>
      </c>
      <c r="J168" s="140">
        <f ca="1">SUM(J136:J166)</f>
        <v>15807223.032799674</v>
      </c>
      <c r="K168" s="79">
        <f ca="1">IFERROR(L168 / (SUM($C136:$C166) / COUNT($C136:$C166)), 0)</f>
        <v>-9.6388483600162347E-2</v>
      </c>
      <c r="L168" s="138">
        <f ca="1">SUM(L136:L166)</f>
        <v>-192776.9672003247</v>
      </c>
      <c r="M168" s="140">
        <f ca="1">SUM(M136:M166)</f>
        <v>16157877.340362793</v>
      </c>
      <c r="N168" s="79">
        <f ca="1">IFERROR(O168 / (SUM($C136:$C166) / COUNT($C136:$C166)), 0)</f>
        <v>7.8938670181397025E-2</v>
      </c>
      <c r="O168" s="138">
        <f ca="1">SUM(O136:O166)</f>
        <v>157877.34036279406</v>
      </c>
    </row>
    <row r="170" spans="1:15" ht="16.5" customHeight="1" thickBot="1"/>
    <row r="171" spans="1:15" ht="16.5" customHeight="1" thickBot="1">
      <c r="A171" s="192" t="str">
        <f>TEXT(투자전략!$G$1, "[$-ko-KR]yyyy년 mm월 ") &amp; "[엽전코인] 전일대비 상승률 Bottom20 월말결산"</f>
        <v>2021년 06월 [엽전코인] 전일대비 상승률 Bottom20 월말결산</v>
      </c>
      <c r="B171" s="193"/>
      <c r="C171" s="193"/>
      <c r="D171" s="193"/>
      <c r="E171" s="193"/>
      <c r="F171" s="193"/>
      <c r="G171" s="193"/>
      <c r="H171" s="193"/>
      <c r="I171" s="193"/>
      <c r="J171" s="193"/>
      <c r="K171" s="193"/>
      <c r="L171" s="193"/>
      <c r="M171" s="193"/>
      <c r="N171" s="193"/>
      <c r="O171" s="194"/>
    </row>
    <row r="172" spans="1:15" ht="16.5" customHeight="1" thickBot="1">
      <c r="A172" s="253" t="s">
        <v>314</v>
      </c>
      <c r="B172" s="207" t="s">
        <v>312</v>
      </c>
      <c r="C172" s="209"/>
      <c r="D172" s="207" t="s">
        <v>304</v>
      </c>
      <c r="E172" s="208"/>
      <c r="F172" s="209"/>
      <c r="G172" s="207" t="s">
        <v>305</v>
      </c>
      <c r="H172" s="208"/>
      <c r="I172" s="209"/>
      <c r="J172" s="207" t="s">
        <v>306</v>
      </c>
      <c r="K172" s="208"/>
      <c r="L172" s="209"/>
      <c r="M172" s="207" t="s">
        <v>307</v>
      </c>
      <c r="N172" s="208"/>
      <c r="O172" s="209"/>
    </row>
    <row r="173" spans="1:15" ht="16.5" customHeight="1" thickBot="1">
      <c r="A173" s="257"/>
      <c r="B173" s="154" t="s">
        <v>302</v>
      </c>
      <c r="C173" s="154" t="s">
        <v>42</v>
      </c>
      <c r="D173" s="121" t="s">
        <v>303</v>
      </c>
      <c r="E173" s="133" t="s">
        <v>40</v>
      </c>
      <c r="F173" s="156" t="s">
        <v>41</v>
      </c>
      <c r="G173" s="121" t="s">
        <v>303</v>
      </c>
      <c r="H173" s="133" t="s">
        <v>40</v>
      </c>
      <c r="I173" s="156" t="s">
        <v>41</v>
      </c>
      <c r="J173" s="121" t="s">
        <v>303</v>
      </c>
      <c r="K173" s="133" t="s">
        <v>40</v>
      </c>
      <c r="L173" s="156" t="s">
        <v>41</v>
      </c>
      <c r="M173" s="121" t="s">
        <v>303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1991585.6107164137</v>
      </c>
      <c r="N178" s="77">
        <f t="shared" ca="1" si="63"/>
        <v>-4.2071946417932358E-3</v>
      </c>
      <c r="O178" s="137">
        <f t="shared" ca="1" si="64"/>
        <v>-8414.3892835864699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>
        <f t="shared" ca="1" si="52"/>
        <v>2000000</v>
      </c>
      <c r="D179" s="139">
        <f t="shared" ca="1" si="53"/>
        <v>2034945.9878218959</v>
      </c>
      <c r="E179" s="77">
        <f t="shared" ca="1" si="54"/>
        <v>1.7472993910947886E-2</v>
      </c>
      <c r="F179" s="137">
        <f t="shared" ca="1" si="55"/>
        <v>34945.987821895782</v>
      </c>
      <c r="G179" s="139">
        <f t="shared" ca="1" si="56"/>
        <v>2060294.3684482593</v>
      </c>
      <c r="H179" s="77">
        <f t="shared" ca="1" si="57"/>
        <v>3.0147184224129743E-2</v>
      </c>
      <c r="I179" s="137">
        <f t="shared" ca="1" si="58"/>
        <v>60294.368448259484</v>
      </c>
      <c r="J179" s="139">
        <f t="shared" ca="1" si="59"/>
        <v>2098406.2072058911</v>
      </c>
      <c r="K179" s="77">
        <f t="shared" ca="1" si="60"/>
        <v>4.9203103602945719E-2</v>
      </c>
      <c r="L179" s="137">
        <f t="shared" ca="1" si="61"/>
        <v>98406.207205891449</v>
      </c>
      <c r="M179" s="139">
        <f t="shared" ca="1" si="62"/>
        <v>2060131.4776385622</v>
      </c>
      <c r="N179" s="77">
        <f t="shared" ca="1" si="63"/>
        <v>3.0065738819281002E-2</v>
      </c>
      <c r="O179" s="137">
        <f t="shared" ca="1" si="64"/>
        <v>60131.477638562006</v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>
        <f t="shared" ca="1" si="52"/>
        <v>2000000</v>
      </c>
      <c r="D180" s="139">
        <f t="shared" ca="1" si="53"/>
        <v>2008082.5513266812</v>
      </c>
      <c r="E180" s="77">
        <f t="shared" ca="1" si="54"/>
        <v>4.0412756633406684E-3</v>
      </c>
      <c r="F180" s="137">
        <f t="shared" ca="1" si="55"/>
        <v>8082.551326681335</v>
      </c>
      <c r="G180" s="139">
        <f t="shared" ca="1" si="56"/>
        <v>2018528.2424679776</v>
      </c>
      <c r="H180" s="77">
        <f t="shared" ca="1" si="57"/>
        <v>9.2641212339887972E-3</v>
      </c>
      <c r="I180" s="137">
        <f t="shared" ca="1" si="58"/>
        <v>18528.242467977594</v>
      </c>
      <c r="J180" s="139">
        <f t="shared" ca="1" si="59"/>
        <v>2019606.1115486948</v>
      </c>
      <c r="K180" s="77">
        <f t="shared" ca="1" si="60"/>
        <v>9.8030557743474193E-3</v>
      </c>
      <c r="L180" s="137">
        <f t="shared" ca="1" si="61"/>
        <v>19606.111548694837</v>
      </c>
      <c r="M180" s="139">
        <f t="shared" ca="1" si="62"/>
        <v>2011440.1442127372</v>
      </c>
      <c r="N180" s="77">
        <f t="shared" ca="1" si="63"/>
        <v>5.7200721063685326E-3</v>
      </c>
      <c r="O180" s="137">
        <f t="shared" ca="1" si="64"/>
        <v>11440.144212737065</v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>
        <f t="shared" ca="1" si="52"/>
        <v>2000000</v>
      </c>
      <c r="D181" s="142">
        <f t="shared" ca="1" si="53"/>
        <v>1738783.228812326</v>
      </c>
      <c r="E181" s="76">
        <f t="shared" ca="1" si="54"/>
        <v>-0.130608385593837</v>
      </c>
      <c r="F181" s="141">
        <f t="shared" ca="1" si="55"/>
        <v>-261216.77118767402</v>
      </c>
      <c r="G181" s="142">
        <f t="shared" ca="1" si="56"/>
        <v>1743053.7908382134</v>
      </c>
      <c r="H181" s="76">
        <f t="shared" ca="1" si="57"/>
        <v>-0.12847310458089339</v>
      </c>
      <c r="I181" s="141">
        <f t="shared" ca="1" si="58"/>
        <v>-256946.20916178677</v>
      </c>
      <c r="J181" s="142">
        <f t="shared" ca="1" si="59"/>
        <v>1751099.085305603</v>
      </c>
      <c r="K181" s="76">
        <f t="shared" ca="1" si="60"/>
        <v>-0.12445045734719851</v>
      </c>
      <c r="L181" s="141">
        <f t="shared" ca="1" si="61"/>
        <v>-248900.91469439701</v>
      </c>
      <c r="M181" s="142">
        <f t="shared" ca="1" si="62"/>
        <v>2000000</v>
      </c>
      <c r="N181" s="76">
        <f t="shared" ca="1" si="63"/>
        <v>0</v>
      </c>
      <c r="O181" s="141">
        <f t="shared" ca="1" si="64"/>
        <v>0</v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01" t="s">
        <v>313</v>
      </c>
      <c r="B205" s="203"/>
      <c r="C205" s="132" t="s">
        <v>308</v>
      </c>
      <c r="D205" s="150" t="s">
        <v>309</v>
      </c>
      <c r="E205" s="151" t="s">
        <v>310</v>
      </c>
      <c r="F205" s="152" t="s">
        <v>311</v>
      </c>
      <c r="G205" s="150" t="s">
        <v>309</v>
      </c>
      <c r="H205" s="151" t="s">
        <v>310</v>
      </c>
      <c r="I205" s="152" t="s">
        <v>311</v>
      </c>
      <c r="J205" s="150" t="s">
        <v>309</v>
      </c>
      <c r="K205" s="151" t="s">
        <v>310</v>
      </c>
      <c r="L205" s="152" t="s">
        <v>311</v>
      </c>
      <c r="M205" s="150" t="s">
        <v>309</v>
      </c>
      <c r="N205" s="151" t="s">
        <v>310</v>
      </c>
      <c r="O205" s="152" t="s">
        <v>311</v>
      </c>
    </row>
    <row r="206" spans="1:15" ht="16.5" customHeight="1" thickBot="1">
      <c r="A206" s="207"/>
      <c r="B206" s="209"/>
      <c r="C206" s="136">
        <f ca="1">SUM(C174:C204)</f>
        <v>16000000</v>
      </c>
      <c r="D206" s="140">
        <f ca="1">SUM(D174:D204)</f>
        <v>15913297.92533529</v>
      </c>
      <c r="E206" s="79">
        <f ca="1">IFERROR(F206 / (SUM($C174:$C204) / COUNT($C174:$C204)), 0)</f>
        <v>-4.3351037332354708E-2</v>
      </c>
      <c r="F206" s="138">
        <f ca="1">SUM(F174:F204)</f>
        <v>-86702.07466470942</v>
      </c>
      <c r="G206" s="140">
        <f ca="1">SUM(G174:G204)</f>
        <v>15846616.362887084</v>
      </c>
      <c r="H206" s="79">
        <f ca="1">IFERROR(I206 / (SUM($C174:$C204) / COUNT($C174:$C204)), 0)</f>
        <v>-7.6691818556457902E-2</v>
      </c>
      <c r="I206" s="138">
        <f ca="1">SUM(I174:I204)</f>
        <v>-153383.63711291581</v>
      </c>
      <c r="J206" s="140">
        <f ca="1">SUM(J174:J204)</f>
        <v>15799939.730541674</v>
      </c>
      <c r="K206" s="79">
        <f ca="1">IFERROR(L206 / (SUM($C174:$C204) / COUNT($C174:$C204)), 0)</f>
        <v>-0.10003013472916289</v>
      </c>
      <c r="L206" s="138">
        <f ca="1">SUM(L174:L204)</f>
        <v>-200060.26945832578</v>
      </c>
      <c r="M206" s="140">
        <f ca="1">SUM(M174:M204)</f>
        <v>16093023.139720902</v>
      </c>
      <c r="N206" s="79">
        <f ca="1">IFERROR(O206 / (SUM($C174:$C204) / COUNT($C174:$C204)), 0)</f>
        <v>4.6511569860450436E-2</v>
      </c>
      <c r="O206" s="138">
        <f ca="1">SUM(O174:O204)</f>
        <v>93023.139720900872</v>
      </c>
    </row>
    <row r="208" spans="1:15" ht="16.5" customHeight="1" thickBot="1"/>
    <row r="209" spans="1:15" ht="16.5" customHeight="1" thickBot="1">
      <c r="A209" s="192" t="str">
        <f>TEXT(투자전략!$G$1, "[$-ko-KR]yyyy년 mm월 ") &amp; "[동전코인] 전일대비 상승률 Bottom20 월말결산"</f>
        <v>2021년 06월 [동전코인] 전일대비 상승률 Bottom20 월말결산</v>
      </c>
      <c r="B209" s="193"/>
      <c r="C209" s="193"/>
      <c r="D209" s="193"/>
      <c r="E209" s="193"/>
      <c r="F209" s="193"/>
      <c r="G209" s="193"/>
      <c r="H209" s="193"/>
      <c r="I209" s="193"/>
      <c r="J209" s="193"/>
      <c r="K209" s="193"/>
      <c r="L209" s="193"/>
      <c r="M209" s="193"/>
      <c r="N209" s="193"/>
      <c r="O209" s="194"/>
    </row>
    <row r="210" spans="1:15" ht="16.5" customHeight="1" thickBot="1">
      <c r="A210" s="253" t="s">
        <v>314</v>
      </c>
      <c r="B210" s="207" t="s">
        <v>312</v>
      </c>
      <c r="C210" s="209"/>
      <c r="D210" s="207" t="s">
        <v>304</v>
      </c>
      <c r="E210" s="208"/>
      <c r="F210" s="209"/>
      <c r="G210" s="207" t="s">
        <v>305</v>
      </c>
      <c r="H210" s="208"/>
      <c r="I210" s="209"/>
      <c r="J210" s="207" t="s">
        <v>306</v>
      </c>
      <c r="K210" s="208"/>
      <c r="L210" s="209"/>
      <c r="M210" s="207" t="s">
        <v>307</v>
      </c>
      <c r="N210" s="208"/>
      <c r="O210" s="209"/>
    </row>
    <row r="211" spans="1:15" ht="16.5" customHeight="1" thickBot="1">
      <c r="A211" s="257"/>
      <c r="B211" s="154" t="s">
        <v>302</v>
      </c>
      <c r="C211" s="154" t="s">
        <v>42</v>
      </c>
      <c r="D211" s="121" t="s">
        <v>303</v>
      </c>
      <c r="E211" s="133" t="s">
        <v>40</v>
      </c>
      <c r="F211" s="156" t="s">
        <v>41</v>
      </c>
      <c r="G211" s="121" t="s">
        <v>303</v>
      </c>
      <c r="H211" s="133" t="s">
        <v>40</v>
      </c>
      <c r="I211" s="156" t="s">
        <v>41</v>
      </c>
      <c r="J211" s="121" t="s">
        <v>303</v>
      </c>
      <c r="K211" s="133" t="s">
        <v>40</v>
      </c>
      <c r="L211" s="156" t="s">
        <v>41</v>
      </c>
      <c r="M211" s="121" t="s">
        <v>303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1965917.6275532076</v>
      </c>
      <c r="N216" s="77">
        <f t="shared" ca="1" si="76"/>
        <v>-1.7041186223396204E-2</v>
      </c>
      <c r="O216" s="137">
        <f t="shared" ca="1" si="77"/>
        <v>-34082.372446792404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>
        <f t="shared" ca="1" si="65"/>
        <v>2000000</v>
      </c>
      <c r="D217" s="139">
        <f t="shared" ca="1" si="66"/>
        <v>2026760.4530580607</v>
      </c>
      <c r="E217" s="77">
        <f t="shared" ca="1" si="67"/>
        <v>1.3380226529030457E-2</v>
      </c>
      <c r="F217" s="137">
        <f t="shared" ca="1" si="68"/>
        <v>26760.45305806091</v>
      </c>
      <c r="G217" s="139">
        <f t="shared" ca="1" si="69"/>
        <v>2065704.1211100826</v>
      </c>
      <c r="H217" s="77">
        <f t="shared" ca="1" si="70"/>
        <v>3.2852060555041404E-2</v>
      </c>
      <c r="I217" s="137">
        <f t="shared" ca="1" si="71"/>
        <v>65704.121110082822</v>
      </c>
      <c r="J217" s="139">
        <f t="shared" ca="1" si="72"/>
        <v>2060720.5642344684</v>
      </c>
      <c r="K217" s="77">
        <f t="shared" ca="1" si="73"/>
        <v>3.0360282117234148E-2</v>
      </c>
      <c r="L217" s="137">
        <f t="shared" ca="1" si="74"/>
        <v>60720.564234468315</v>
      </c>
      <c r="M217" s="139">
        <f t="shared" ca="1" si="75"/>
        <v>2043744.6665338296</v>
      </c>
      <c r="N217" s="77">
        <f t="shared" ca="1" si="76"/>
        <v>2.1872333266914835E-2</v>
      </c>
      <c r="O217" s="137">
        <f t="shared" ca="1" si="77"/>
        <v>43744.666533829659</v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>
        <f t="shared" ca="1" si="65"/>
        <v>2000000</v>
      </c>
      <c r="D218" s="139">
        <f t="shared" ca="1" si="66"/>
        <v>2025719.9706624679</v>
      </c>
      <c r="E218" s="77">
        <f t="shared" ca="1" si="67"/>
        <v>1.285998533123384E-2</v>
      </c>
      <c r="F218" s="137">
        <f t="shared" ca="1" si="68"/>
        <v>25719.970662467687</v>
      </c>
      <c r="G218" s="139">
        <f t="shared" ca="1" si="69"/>
        <v>2028895.5480515938</v>
      </c>
      <c r="H218" s="77">
        <f t="shared" ca="1" si="70"/>
        <v>1.4447774025796802E-2</v>
      </c>
      <c r="I218" s="137">
        <f t="shared" ca="1" si="71"/>
        <v>28895.5480515936</v>
      </c>
      <c r="J218" s="139">
        <f t="shared" ca="1" si="72"/>
        <v>2032583.761168215</v>
      </c>
      <c r="K218" s="77">
        <f t="shared" ca="1" si="73"/>
        <v>1.6291880584107417E-2</v>
      </c>
      <c r="L218" s="137">
        <f t="shared" ca="1" si="74"/>
        <v>32583.761168214842</v>
      </c>
      <c r="M218" s="139">
        <f t="shared" ca="1" si="75"/>
        <v>2027730.9792081267</v>
      </c>
      <c r="N218" s="77">
        <f t="shared" ca="1" si="76"/>
        <v>1.3865489604063355E-2</v>
      </c>
      <c r="O218" s="137">
        <f t="shared" ca="1" si="77"/>
        <v>27730.979208126711</v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>
        <f t="shared" ca="1" si="65"/>
        <v>2000000</v>
      </c>
      <c r="D219" s="142">
        <f t="shared" ca="1" si="66"/>
        <v>1758735.3065730061</v>
      </c>
      <c r="E219" s="76">
        <f t="shared" ca="1" si="67"/>
        <v>-0.12063234671349701</v>
      </c>
      <c r="F219" s="141">
        <f t="shared" ca="1" si="68"/>
        <v>-241264.693426994</v>
      </c>
      <c r="G219" s="142">
        <f t="shared" ca="1" si="69"/>
        <v>1761448.7983304427</v>
      </c>
      <c r="H219" s="76">
        <f t="shared" ca="1" si="70"/>
        <v>-0.11927560083477864</v>
      </c>
      <c r="I219" s="141">
        <f t="shared" ca="1" si="71"/>
        <v>-238551.20166955725</v>
      </c>
      <c r="J219" s="142">
        <f t="shared" ca="1" si="72"/>
        <v>1778135.561968067</v>
      </c>
      <c r="K219" s="76">
        <f t="shared" ca="1" si="73"/>
        <v>-0.11093221901596648</v>
      </c>
      <c r="L219" s="141">
        <f t="shared" ca="1" si="74"/>
        <v>-221864.43803193292</v>
      </c>
      <c r="M219" s="142">
        <f t="shared" ca="1" si="75"/>
        <v>2000000</v>
      </c>
      <c r="N219" s="76">
        <f t="shared" ca="1" si="76"/>
        <v>0</v>
      </c>
      <c r="O219" s="141">
        <f t="shared" ca="1" si="77"/>
        <v>0</v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01" t="s">
        <v>313</v>
      </c>
      <c r="B243" s="203"/>
      <c r="C243" s="132" t="s">
        <v>308</v>
      </c>
      <c r="D243" s="150" t="s">
        <v>309</v>
      </c>
      <c r="E243" s="151" t="s">
        <v>310</v>
      </c>
      <c r="F243" s="152" t="s">
        <v>311</v>
      </c>
      <c r="G243" s="150" t="s">
        <v>309</v>
      </c>
      <c r="H243" s="151" t="s">
        <v>310</v>
      </c>
      <c r="I243" s="152" t="s">
        <v>311</v>
      </c>
      <c r="J243" s="150" t="s">
        <v>309</v>
      </c>
      <c r="K243" s="151" t="s">
        <v>310</v>
      </c>
      <c r="L243" s="152" t="s">
        <v>311</v>
      </c>
      <c r="M243" s="150" t="s">
        <v>309</v>
      </c>
      <c r="N243" s="151" t="s">
        <v>310</v>
      </c>
      <c r="O243" s="152" t="s">
        <v>311</v>
      </c>
    </row>
    <row r="244" spans="1:15" ht="16.5" customHeight="1" thickBot="1">
      <c r="A244" s="207"/>
      <c r="B244" s="209"/>
      <c r="C244" s="136">
        <f ca="1">SUM(C212:C242)</f>
        <v>16000000</v>
      </c>
      <c r="D244" s="140">
        <f ca="1">SUM(D212:D242)</f>
        <v>15894549.968570927</v>
      </c>
      <c r="E244" s="79">
        <f ca="1">IFERROR(F244 / (SUM($C212:$C242) / COUNT($C212:$C242)), 0)</f>
        <v>-5.2725015714535257E-2</v>
      </c>
      <c r="F244" s="138">
        <f ca="1">SUM(F212:F242)</f>
        <v>-105450.03142907051</v>
      </c>
      <c r="G244" s="140">
        <f ca="1">SUM(G212:G242)</f>
        <v>15840644.655209005</v>
      </c>
      <c r="H244" s="79">
        <f ca="1">IFERROR(I244 / (SUM($C212:$C242) / COUNT($C212:$C242)), 0)</f>
        <v>-7.9677672395496765E-2</v>
      </c>
      <c r="I244" s="138">
        <f ca="1">SUM(I212:I242)</f>
        <v>-159355.34479099352</v>
      </c>
      <c r="J244" s="140">
        <f ca="1">SUM(J212:J242)</f>
        <v>15769239.193654379</v>
      </c>
      <c r="K244" s="79">
        <f ca="1">IFERROR(L244 / (SUM($C212:$C242) / COUNT($C212:$C242)), 0)</f>
        <v>-0.11538040317281086</v>
      </c>
      <c r="L244" s="138">
        <f ca="1">SUM(L212:L242)</f>
        <v>-230760.80634562171</v>
      </c>
      <c r="M244" s="140">
        <f ca="1">SUM(M212:M242)</f>
        <v>16071670.435863042</v>
      </c>
      <c r="N244" s="79">
        <f ca="1">IFERROR(O244 / (SUM($C212:$C242) / COUNT($C212:$C242)), 0)</f>
        <v>3.5835217931521189E-2</v>
      </c>
      <c r="O244" s="138">
        <f ca="1">SUM(O212:O242)</f>
        <v>71670.435863042381</v>
      </c>
    </row>
    <row r="246" spans="1:15" ht="16.5" customHeight="1" thickBot="1"/>
    <row r="247" spans="1:15" ht="16.5" customHeight="1" thickBot="1">
      <c r="A247" s="192" t="str">
        <f>TEXT(투자전략!$G$1, "[$-ko-KR]yyyy년 mm월 ") &amp; "전일대비 상승률 Bottom20 월말결산"</f>
        <v>2021년 06월 전일대비 상승률 Bottom20 월말결산</v>
      </c>
      <c r="B247" s="193"/>
      <c r="C247" s="193"/>
      <c r="D247" s="193"/>
      <c r="E247" s="193"/>
      <c r="F247" s="193"/>
      <c r="G247" s="193"/>
      <c r="H247" s="193"/>
      <c r="I247" s="193"/>
      <c r="J247" s="193"/>
      <c r="K247" s="193"/>
      <c r="L247" s="193"/>
      <c r="M247" s="193"/>
      <c r="N247" s="193"/>
      <c r="O247" s="194"/>
    </row>
    <row r="248" spans="1:15" ht="16.5" customHeight="1" thickBot="1">
      <c r="A248" s="253" t="s">
        <v>314</v>
      </c>
      <c r="B248" s="207" t="s">
        <v>312</v>
      </c>
      <c r="C248" s="209"/>
      <c r="D248" s="207" t="s">
        <v>304</v>
      </c>
      <c r="E248" s="208"/>
      <c r="F248" s="209"/>
      <c r="G248" s="207" t="s">
        <v>305</v>
      </c>
      <c r="H248" s="208"/>
      <c r="I248" s="209"/>
      <c r="J248" s="207" t="s">
        <v>306</v>
      </c>
      <c r="K248" s="208"/>
      <c r="L248" s="209"/>
      <c r="M248" s="207" t="s">
        <v>307</v>
      </c>
      <c r="N248" s="208"/>
      <c r="O248" s="209"/>
    </row>
    <row r="249" spans="1:15" ht="16.5" customHeight="1" thickBot="1">
      <c r="A249" s="257"/>
      <c r="B249" s="154" t="s">
        <v>302</v>
      </c>
      <c r="C249" s="154" t="s">
        <v>42</v>
      </c>
      <c r="D249" s="121" t="s">
        <v>303</v>
      </c>
      <c r="E249" s="133" t="s">
        <v>40</v>
      </c>
      <c r="F249" s="156" t="s">
        <v>41</v>
      </c>
      <c r="G249" s="121" t="s">
        <v>303</v>
      </c>
      <c r="H249" s="133" t="s">
        <v>40</v>
      </c>
      <c r="I249" s="156" t="s">
        <v>41</v>
      </c>
      <c r="J249" s="121" t="s">
        <v>303</v>
      </c>
      <c r="K249" s="133" t="s">
        <v>40</v>
      </c>
      <c r="L249" s="156" t="s">
        <v>41</v>
      </c>
      <c r="M249" s="121" t="s">
        <v>303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1955506.5356321174</v>
      </c>
      <c r="N254" s="77">
        <f t="shared" ca="1" si="89"/>
        <v>-2.2246732183941218E-2</v>
      </c>
      <c r="O254" s="137">
        <f t="shared" ca="1" si="90"/>
        <v>-44493.464367882429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>
        <f t="shared" ca="1" si="78"/>
        <v>2000000</v>
      </c>
      <c r="D255" s="139">
        <f t="shared" ca="1" si="79"/>
        <v>2017696.6209273513</v>
      </c>
      <c r="E255" s="77">
        <f t="shared" ca="1" si="80"/>
        <v>8.8483104636756064E-3</v>
      </c>
      <c r="F255" s="137">
        <f t="shared" ca="1" si="81"/>
        <v>17696.620927351207</v>
      </c>
      <c r="G255" s="139">
        <f t="shared" ca="1" si="82"/>
        <v>2061509.8895344115</v>
      </c>
      <c r="H255" s="77">
        <f t="shared" ca="1" si="83"/>
        <v>3.0754944767205646E-2</v>
      </c>
      <c r="I255" s="137">
        <f t="shared" ca="1" si="84"/>
        <v>61509.889534411297</v>
      </c>
      <c r="J255" s="139">
        <f t="shared" ca="1" si="85"/>
        <v>2058656.3262071679</v>
      </c>
      <c r="K255" s="77">
        <f t="shared" ca="1" si="86"/>
        <v>2.932816310358391E-2</v>
      </c>
      <c r="L255" s="137">
        <f t="shared" ca="1" si="87"/>
        <v>58656.326207167825</v>
      </c>
      <c r="M255" s="139">
        <f t="shared" ca="1" si="88"/>
        <v>2039877.7451772792</v>
      </c>
      <c r="N255" s="77">
        <f t="shared" ca="1" si="89"/>
        <v>1.9938872588639679E-2</v>
      </c>
      <c r="O255" s="137">
        <f t="shared" ca="1" si="90"/>
        <v>39877.74517727935</v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>
        <f t="shared" ca="1" si="78"/>
        <v>2000000</v>
      </c>
      <c r="D256" s="139">
        <f t="shared" ca="1" si="79"/>
        <v>2025471.8893411944</v>
      </c>
      <c r="E256" s="77">
        <f t="shared" ca="1" si="80"/>
        <v>1.2735944670597238E-2</v>
      </c>
      <c r="F256" s="137">
        <f t="shared" ca="1" si="81"/>
        <v>25471.889341194474</v>
      </c>
      <c r="G256" s="139">
        <f t="shared" ca="1" si="82"/>
        <v>2023890.9237437604</v>
      </c>
      <c r="H256" s="77">
        <f t="shared" ca="1" si="83"/>
        <v>1.1945461871880256E-2</v>
      </c>
      <c r="I256" s="137">
        <f t="shared" ca="1" si="84"/>
        <v>23890.923743760515</v>
      </c>
      <c r="J256" s="139">
        <f t="shared" ca="1" si="85"/>
        <v>2031471.9726496513</v>
      </c>
      <c r="K256" s="77">
        <f t="shared" ca="1" si="86"/>
        <v>1.5735986324825642E-2</v>
      </c>
      <c r="L256" s="137">
        <f t="shared" ca="1" si="87"/>
        <v>31471.972649651296</v>
      </c>
      <c r="M256" s="139">
        <f t="shared" ca="1" si="88"/>
        <v>2032402.4892326125</v>
      </c>
      <c r="N256" s="77">
        <f t="shared" ca="1" si="89"/>
        <v>1.6201244616306221E-2</v>
      </c>
      <c r="O256" s="137">
        <f t="shared" ca="1" si="90"/>
        <v>32402.489232612439</v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>
        <f t="shared" ca="1" si="78"/>
        <v>2000000</v>
      </c>
      <c r="D257" s="142">
        <f t="shared" ca="1" si="79"/>
        <v>1742796.9657233078</v>
      </c>
      <c r="E257" s="76">
        <f t="shared" ca="1" si="80"/>
        <v>-0.12860151713834614</v>
      </c>
      <c r="F257" s="141">
        <f t="shared" ca="1" si="81"/>
        <v>-257203.03427669225</v>
      </c>
      <c r="G257" s="142">
        <f t="shared" ca="1" si="82"/>
        <v>1744004.5982798224</v>
      </c>
      <c r="H257" s="76">
        <f t="shared" ca="1" si="83"/>
        <v>-0.12799770086008874</v>
      </c>
      <c r="I257" s="141">
        <f t="shared" ca="1" si="84"/>
        <v>-255995.4017201775</v>
      </c>
      <c r="J257" s="142">
        <f t="shared" ca="1" si="85"/>
        <v>1757693.3004874215</v>
      </c>
      <c r="K257" s="76">
        <f t="shared" ca="1" si="86"/>
        <v>-0.12115334975628918</v>
      </c>
      <c r="L257" s="141">
        <f t="shared" ca="1" si="87"/>
        <v>-242306.6995125784</v>
      </c>
      <c r="M257" s="142">
        <f t="shared" ca="1" si="88"/>
        <v>2000000</v>
      </c>
      <c r="N257" s="76">
        <f t="shared" ca="1" si="89"/>
        <v>0</v>
      </c>
      <c r="O257" s="141">
        <f t="shared" ca="1" si="90"/>
        <v>0</v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01" t="s">
        <v>313</v>
      </c>
      <c r="B281" s="203"/>
      <c r="C281" s="132" t="s">
        <v>308</v>
      </c>
      <c r="D281" s="150" t="s">
        <v>309</v>
      </c>
      <c r="E281" s="151" t="s">
        <v>310</v>
      </c>
      <c r="F281" s="152" t="s">
        <v>311</v>
      </c>
      <c r="G281" s="150" t="s">
        <v>309</v>
      </c>
      <c r="H281" s="151" t="s">
        <v>310</v>
      </c>
      <c r="I281" s="152" t="s">
        <v>311</v>
      </c>
      <c r="J281" s="150" t="s">
        <v>309</v>
      </c>
      <c r="K281" s="151" t="s">
        <v>310</v>
      </c>
      <c r="L281" s="152" t="s">
        <v>311</v>
      </c>
      <c r="M281" s="150" t="s">
        <v>309</v>
      </c>
      <c r="N281" s="151" t="s">
        <v>310</v>
      </c>
      <c r="O281" s="152" t="s">
        <v>311</v>
      </c>
    </row>
    <row r="282" spans="1:15" ht="16.5" customHeight="1" thickBot="1">
      <c r="A282" s="207"/>
      <c r="B282" s="209"/>
      <c r="C282" s="136">
        <f ca="1">SUM(C250:C280)</f>
        <v>16000000</v>
      </c>
      <c r="D282" s="140">
        <f ca="1">SUM(D250:D280)</f>
        <v>15897474.590689089</v>
      </c>
      <c r="E282" s="79">
        <f ca="1">IFERROR(F282 / (SUM($C250:$C280) / COUNT($C250:$C280)), 0)</f>
        <v>-5.1262704655455502E-2</v>
      </c>
      <c r="F282" s="138">
        <f ca="1">SUM(F250:F280)</f>
        <v>-102525.409310911</v>
      </c>
      <c r="G282" s="140">
        <f ca="1">SUM(G250:G280)</f>
        <v>15823116.259111961</v>
      </c>
      <c r="H282" s="79">
        <f ca="1">IFERROR(I282 / (SUM($C250:$C280) / COUNT($C250:$C280)), 0)</f>
        <v>-8.8441870444019619E-2</v>
      </c>
      <c r="I282" s="138">
        <f ca="1">SUM(I250:I280)</f>
        <v>-176883.74088803923</v>
      </c>
      <c r="J282" s="140">
        <f ca="1">SUM(J250:J280)</f>
        <v>15734501.066589957</v>
      </c>
      <c r="K282" s="79">
        <f ca="1">IFERROR(L282 / (SUM($C250:$C280) / COUNT($C250:$C280)), 0)</f>
        <v>-0.13274946670502136</v>
      </c>
      <c r="L282" s="138">
        <f ca="1">SUM(L250:L280)</f>
        <v>-265498.93341004272</v>
      </c>
      <c r="M282" s="140">
        <f ca="1">SUM(M250:M280)</f>
        <v>16065174.84214144</v>
      </c>
      <c r="N282" s="79">
        <f ca="1">IFERROR(O282 / (SUM($C250:$C280) / COUNT($C250:$C280)), 0)</f>
        <v>3.2587421070720816E-2</v>
      </c>
      <c r="O282" s="138">
        <f ca="1">SUM(O250:O280)</f>
        <v>65174.842141441637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1675" priority="323">
      <formula>$E$54 &gt; 0</formula>
    </cfRule>
    <cfRule type="expression" dxfId="1674" priority="324">
      <formula>$E$54 = 0</formula>
    </cfRule>
    <cfRule type="expression" dxfId="1673" priority="325">
      <formula>$E$54 &lt; 0</formula>
    </cfRule>
  </conditionalFormatting>
  <conditionalFormatting sqref="G20:I21 H54:I54">
    <cfRule type="expression" dxfId="1672" priority="320">
      <formula>$H$54 &gt; 0</formula>
    </cfRule>
    <cfRule type="expression" dxfId="1671" priority="321">
      <formula>$H$54 = 0</formula>
    </cfRule>
    <cfRule type="expression" dxfId="1670" priority="322">
      <formula>$H$54 &lt; 0</formula>
    </cfRule>
  </conditionalFormatting>
  <conditionalFormatting sqref="J20:L21 K54:L54">
    <cfRule type="expression" dxfId="1669" priority="317">
      <formula>$K$54 &gt; 0</formula>
    </cfRule>
    <cfRule type="expression" dxfId="1668" priority="318">
      <formula>$K$54 = 0</formula>
    </cfRule>
    <cfRule type="expression" dxfId="1667" priority="319">
      <formula>$K$54 &lt; 0</formula>
    </cfRule>
  </conditionalFormatting>
  <conditionalFormatting sqref="M20:O21 N54:O54">
    <cfRule type="expression" dxfId="1666" priority="314">
      <formula>$N$54 &gt; 0</formula>
    </cfRule>
    <cfRule type="expression" dxfId="1665" priority="315">
      <formula>$N$54 = 0</formula>
    </cfRule>
    <cfRule type="expression" dxfId="1664" priority="316">
      <formula>$N$54 &lt; 0</formula>
    </cfRule>
  </conditionalFormatting>
  <conditionalFormatting sqref="D22:F52">
    <cfRule type="expression" dxfId="1663" priority="299">
      <formula>AND($E22 &gt; 0, ISNUMBER($E22))</formula>
    </cfRule>
    <cfRule type="expression" dxfId="1662" priority="300">
      <formula>AND($E22 = 0, ISNUMBER($E22))</formula>
    </cfRule>
    <cfRule type="expression" dxfId="1661" priority="301">
      <formula>AND($E22 &lt; 0, ISNUMBER($E22))</formula>
    </cfRule>
  </conditionalFormatting>
  <conditionalFormatting sqref="G22:I52">
    <cfRule type="expression" dxfId="1660" priority="296">
      <formula>AND($H22 &gt; 0, ISNUMBER($H22))</formula>
    </cfRule>
    <cfRule type="expression" dxfId="1659" priority="297">
      <formula>AND($H22 = 0, ISNUMBER($H22))</formula>
    </cfRule>
    <cfRule type="expression" dxfId="1658" priority="298">
      <formula>AND($H22 &lt; 0, ISNUMBER($H22))</formula>
    </cfRule>
  </conditionalFormatting>
  <conditionalFormatting sqref="J22:L52">
    <cfRule type="expression" dxfId="1657" priority="293">
      <formula>AND($K22 &gt; 0, ISNUMBER($K22))</formula>
    </cfRule>
    <cfRule type="expression" dxfId="1656" priority="294">
      <formula>AND($K22 = 0, ISNUMBER($K22))</formula>
    </cfRule>
    <cfRule type="expression" dxfId="1655" priority="295">
      <formula>AND($K22 &lt; 0, ISNUMBER($K22))</formula>
    </cfRule>
  </conditionalFormatting>
  <conditionalFormatting sqref="M22:O52">
    <cfRule type="expression" dxfId="1654" priority="290">
      <formula>AND($N22 &gt; 0, ISNUMBER($N22))</formula>
    </cfRule>
    <cfRule type="expression" dxfId="1653" priority="291">
      <formula>AND($N22 = 0, ISNUMBER($N22))</formula>
    </cfRule>
    <cfRule type="expression" dxfId="1652" priority="292">
      <formula>AND($N22 &lt; 0, ISNUMBER($N22))</formula>
    </cfRule>
  </conditionalFormatting>
  <conditionalFormatting sqref="D58:F59 E92:F92">
    <cfRule type="expression" dxfId="1651" priority="287">
      <formula>$E$92 &gt; 0</formula>
    </cfRule>
    <cfRule type="expression" dxfId="1650" priority="288">
      <formula>$E$92 = 0</formula>
    </cfRule>
    <cfRule type="expression" dxfId="1649" priority="289">
      <formula>$E$92 &lt; 0</formula>
    </cfRule>
  </conditionalFormatting>
  <conditionalFormatting sqref="G58:I59 H92:I92">
    <cfRule type="expression" dxfId="1648" priority="284">
      <formula>$H$92 &gt; 0</formula>
    </cfRule>
    <cfRule type="expression" dxfId="1647" priority="285">
      <formula>$H$92 = 0</formula>
    </cfRule>
    <cfRule type="expression" dxfId="1646" priority="286">
      <formula>$H$92 &lt; 0</formula>
    </cfRule>
  </conditionalFormatting>
  <conditionalFormatting sqref="J58:L59 K92:L92">
    <cfRule type="expression" dxfId="1645" priority="281">
      <formula>$K$92 &gt; 0</formula>
    </cfRule>
    <cfRule type="expression" dxfId="1644" priority="282">
      <formula>$K$92 = 0</formula>
    </cfRule>
    <cfRule type="expression" dxfId="1643" priority="283">
      <formula>$K$92 &lt; 0</formula>
    </cfRule>
  </conditionalFormatting>
  <conditionalFormatting sqref="M58:O59 N92:O92">
    <cfRule type="expression" dxfId="1642" priority="278">
      <formula>$N$92 &gt; 0</formula>
    </cfRule>
    <cfRule type="expression" dxfId="1641" priority="279">
      <formula>$N$92 = 0</formula>
    </cfRule>
    <cfRule type="expression" dxfId="1640" priority="280">
      <formula>$N$92 &lt; 0</formula>
    </cfRule>
  </conditionalFormatting>
  <conditionalFormatting sqref="D60:F90">
    <cfRule type="expression" dxfId="1639" priority="275">
      <formula>AND($E60 &gt; 0, ISNUMBER($E60))</formula>
    </cfRule>
    <cfRule type="expression" dxfId="1638" priority="276">
      <formula>AND($E60 = 0, ISNUMBER($E60))</formula>
    </cfRule>
    <cfRule type="expression" dxfId="1637" priority="277">
      <formula>AND($E60 &lt; 0, ISNUMBER($E60))</formula>
    </cfRule>
  </conditionalFormatting>
  <conditionalFormatting sqref="G60:I90">
    <cfRule type="expression" dxfId="1636" priority="272">
      <formula>AND($H60 &gt; 0, ISNUMBER($H60))</formula>
    </cfRule>
    <cfRule type="expression" dxfId="1635" priority="273">
      <formula>AND($H60 = 0, ISNUMBER($H60))</formula>
    </cfRule>
    <cfRule type="expression" dxfId="1634" priority="274">
      <formula>AND($H60 &lt; 0, ISNUMBER($H60))</formula>
    </cfRule>
  </conditionalFormatting>
  <conditionalFormatting sqref="J60:L90">
    <cfRule type="expression" dxfId="1633" priority="269">
      <formula>AND($K60 &gt; 0, ISNUMBER($K60))</formula>
    </cfRule>
    <cfRule type="expression" dxfId="1632" priority="270">
      <formula>AND($K60 = 0, ISNUMBER($K60))</formula>
    </cfRule>
    <cfRule type="expression" dxfId="1631" priority="271">
      <formula>AND($K60 &lt; 0, ISNUMBER($K60))</formula>
    </cfRule>
  </conditionalFormatting>
  <conditionalFormatting sqref="M60:O90">
    <cfRule type="expression" dxfId="1630" priority="266">
      <formula>AND($N60 &gt; 0, ISNUMBER($N60))</formula>
    </cfRule>
    <cfRule type="expression" dxfId="1629" priority="267">
      <formula>AND($N60 = 0, ISNUMBER($N60))</formula>
    </cfRule>
    <cfRule type="expression" dxfId="1628" priority="268">
      <formula>AND($N60 &lt; 0, ISNUMBER($N60))</formula>
    </cfRule>
  </conditionalFormatting>
  <conditionalFormatting sqref="D96:F97 E130:F130">
    <cfRule type="expression" dxfId="1627" priority="263">
      <formula>$E$130 &gt; 0</formula>
    </cfRule>
    <cfRule type="expression" dxfId="1626" priority="264">
      <formula>$E$130 = 0</formula>
    </cfRule>
    <cfRule type="expression" dxfId="1625" priority="265">
      <formula>$E$130 &lt; 0</formula>
    </cfRule>
  </conditionalFormatting>
  <conditionalFormatting sqref="G96:I97 H130:I130">
    <cfRule type="expression" dxfId="1624" priority="260">
      <formula>$H$130 &gt; 0</formula>
    </cfRule>
    <cfRule type="expression" dxfId="1623" priority="261">
      <formula>$H$130 = 0</formula>
    </cfRule>
    <cfRule type="expression" dxfId="1622" priority="262">
      <formula>$H$130 &lt; 0</formula>
    </cfRule>
  </conditionalFormatting>
  <conditionalFormatting sqref="J96:L97 K130:L130">
    <cfRule type="expression" dxfId="1621" priority="257">
      <formula>$K$130 &gt; 0</formula>
    </cfRule>
    <cfRule type="expression" dxfId="1620" priority="258">
      <formula>$K$130 = 0</formula>
    </cfRule>
    <cfRule type="expression" dxfId="1619" priority="259">
      <formula>$K$130 &lt; 0</formula>
    </cfRule>
  </conditionalFormatting>
  <conditionalFormatting sqref="M96:O97 N130:O130">
    <cfRule type="expression" dxfId="1618" priority="254">
      <formula>$N$130 &gt; 0</formula>
    </cfRule>
    <cfRule type="expression" dxfId="1617" priority="255">
      <formula>$N$130 = 0</formula>
    </cfRule>
    <cfRule type="expression" dxfId="1616" priority="256">
      <formula>$N$130 &lt; 0</formula>
    </cfRule>
  </conditionalFormatting>
  <conditionalFormatting sqref="D98:F128">
    <cfRule type="expression" dxfId="1615" priority="251">
      <formula>AND($E98 &gt; 0, ISNUMBER($E98))</formula>
    </cfRule>
    <cfRule type="expression" dxfId="1614" priority="252">
      <formula>AND($E98 = 0, ISNUMBER($E98))</formula>
    </cfRule>
    <cfRule type="expression" dxfId="1613" priority="253">
      <formula>AND($E98 &lt; 0, ISNUMBER($E98))</formula>
    </cfRule>
  </conditionalFormatting>
  <conditionalFormatting sqref="G98:I128">
    <cfRule type="expression" dxfId="1612" priority="248">
      <formula>AND($H98 &gt; 0, ISNUMBER($H98))</formula>
    </cfRule>
    <cfRule type="expression" dxfId="1611" priority="249">
      <formula>AND($H98 = 0, ISNUMBER($H98))</formula>
    </cfRule>
    <cfRule type="expression" dxfId="1610" priority="250">
      <formula>AND($H98 &lt; 0, ISNUMBER($H98))</formula>
    </cfRule>
  </conditionalFormatting>
  <conditionalFormatting sqref="J98:L128">
    <cfRule type="expression" dxfId="1609" priority="245">
      <formula>AND($K98 &gt; 0, ISNUMBER($K98))</formula>
    </cfRule>
    <cfRule type="expression" dxfId="1608" priority="246">
      <formula>AND($K98 = 0, ISNUMBER($K98))</formula>
    </cfRule>
    <cfRule type="expression" dxfId="1607" priority="247">
      <formula>AND($K98 &lt; 0, ISNUMBER($K98))</formula>
    </cfRule>
  </conditionalFormatting>
  <conditionalFormatting sqref="M98:O128">
    <cfRule type="expression" dxfId="1606" priority="242">
      <formula>AND($N98 &gt; 0, ISNUMBER($N98))</formula>
    </cfRule>
    <cfRule type="expression" dxfId="1605" priority="243">
      <formula>AND($N98 = 0, ISNUMBER($N98))</formula>
    </cfRule>
    <cfRule type="expression" dxfId="1604" priority="244">
      <formula>AND($N98 &lt; 0, ISNUMBER($N98))</formula>
    </cfRule>
  </conditionalFormatting>
  <conditionalFormatting sqref="D134:F135 E168:F168">
    <cfRule type="expression" dxfId="1603" priority="239">
      <formula>$E$168 &gt; 0</formula>
    </cfRule>
    <cfRule type="expression" dxfId="1602" priority="240">
      <formula>$E$168 = 0</formula>
    </cfRule>
    <cfRule type="expression" dxfId="1601" priority="241">
      <formula>$E$168 &lt; 0</formula>
    </cfRule>
  </conditionalFormatting>
  <conditionalFormatting sqref="G134:I135 H168:I168">
    <cfRule type="expression" dxfId="1600" priority="236">
      <formula>$H$168 &gt; 0</formula>
    </cfRule>
    <cfRule type="expression" dxfId="1599" priority="237">
      <formula>$H$168 = 0</formula>
    </cfRule>
    <cfRule type="expression" dxfId="1598" priority="238">
      <formula>$H$168 &lt; 0</formula>
    </cfRule>
  </conditionalFormatting>
  <conditionalFormatting sqref="J134:L135 K168:L168">
    <cfRule type="expression" dxfId="1597" priority="233">
      <formula>$K$168 &gt; 0</formula>
    </cfRule>
    <cfRule type="expression" dxfId="1596" priority="234">
      <formula>$K$168 = 0</formula>
    </cfRule>
    <cfRule type="expression" dxfId="1595" priority="235">
      <formula>$K$168 &lt; 0</formula>
    </cfRule>
  </conditionalFormatting>
  <conditionalFormatting sqref="M134:O135 N168:O168">
    <cfRule type="expression" dxfId="1594" priority="230">
      <formula>$N$168 &gt; 0</formula>
    </cfRule>
    <cfRule type="expression" dxfId="1593" priority="231">
      <formula>$N$168 = 0</formula>
    </cfRule>
    <cfRule type="expression" dxfId="1592" priority="232">
      <formula>$N$168 &lt; 0</formula>
    </cfRule>
  </conditionalFormatting>
  <conditionalFormatting sqref="D136:F166">
    <cfRule type="expression" dxfId="1591" priority="227">
      <formula>AND($E136 &gt; 0, ISNUMBER($E136))</formula>
    </cfRule>
    <cfRule type="expression" dxfId="1590" priority="228">
      <formula>AND($E136 = 0, ISNUMBER($E136))</formula>
    </cfRule>
    <cfRule type="expression" dxfId="1589" priority="229">
      <formula>AND($E136 &lt; 0, ISNUMBER($E136))</formula>
    </cfRule>
  </conditionalFormatting>
  <conditionalFormatting sqref="G136:I166">
    <cfRule type="expression" dxfId="1588" priority="224">
      <formula>AND($H136 &gt; 0, ISNUMBER($H136))</formula>
    </cfRule>
    <cfRule type="expression" dxfId="1587" priority="225">
      <formula>AND($H136 = 0, ISNUMBER($H136))</formula>
    </cfRule>
    <cfRule type="expression" dxfId="1586" priority="226">
      <formula>AND($H136 &lt; 0, ISNUMBER($H136))</formula>
    </cfRule>
  </conditionalFormatting>
  <conditionalFormatting sqref="J136:L166">
    <cfRule type="expression" dxfId="1585" priority="221">
      <formula>AND($K136 &gt; 0, ISNUMBER($K136))</formula>
    </cfRule>
    <cfRule type="expression" dxfId="1584" priority="222">
      <formula>AND($K136 = 0, ISNUMBER($K136))</formula>
    </cfRule>
    <cfRule type="expression" dxfId="1583" priority="223">
      <formula>AND($K136 &lt; 0, ISNUMBER($K136))</formula>
    </cfRule>
  </conditionalFormatting>
  <conditionalFormatting sqref="M136:O166">
    <cfRule type="expression" dxfId="1582" priority="218">
      <formula>AND($N136 &gt; 0, ISNUMBER($N136))</formula>
    </cfRule>
    <cfRule type="expression" dxfId="1581" priority="219">
      <formula>AND($N136 = 0, ISNUMBER($N136))</formula>
    </cfRule>
    <cfRule type="expression" dxfId="1580" priority="220">
      <formula>AND($N136 &lt; 0, ISNUMBER($N136))</formula>
    </cfRule>
  </conditionalFormatting>
  <conditionalFormatting sqref="D172:F173 E206:F206">
    <cfRule type="expression" dxfId="1579" priority="215">
      <formula>$E$206 &gt; 0</formula>
    </cfRule>
    <cfRule type="expression" dxfId="1578" priority="216">
      <formula>$E$206 = 0</formula>
    </cfRule>
    <cfRule type="expression" dxfId="1577" priority="217">
      <formula>$E$206 &lt; 0</formula>
    </cfRule>
  </conditionalFormatting>
  <conditionalFormatting sqref="G172:I173 H206:I206">
    <cfRule type="expression" dxfId="1576" priority="212">
      <formula>$H$206 &gt; 0</formula>
    </cfRule>
    <cfRule type="expression" dxfId="1575" priority="213">
      <formula>$H$206 = 0</formula>
    </cfRule>
    <cfRule type="expression" dxfId="1574" priority="214">
      <formula>$H$206 &lt; 0</formula>
    </cfRule>
  </conditionalFormatting>
  <conditionalFormatting sqref="J172:L173 K206:L206">
    <cfRule type="expression" dxfId="1573" priority="209">
      <formula>$K$206 &gt; 0</formula>
    </cfRule>
    <cfRule type="expression" dxfId="1572" priority="210">
      <formula>$K$206 = 0</formula>
    </cfRule>
    <cfRule type="expression" dxfId="1571" priority="211">
      <formula>$K$206 &lt; 0</formula>
    </cfRule>
  </conditionalFormatting>
  <conditionalFormatting sqref="M172:O173 N206:O206">
    <cfRule type="expression" dxfId="1570" priority="206">
      <formula>$N$206 &gt; 0</formula>
    </cfRule>
    <cfRule type="expression" dxfId="1569" priority="207">
      <formula>$N$206 = 0</formula>
    </cfRule>
    <cfRule type="expression" dxfId="1568" priority="208">
      <formula>$N$206 &lt; 0</formula>
    </cfRule>
  </conditionalFormatting>
  <conditionalFormatting sqref="D174:F204">
    <cfRule type="expression" dxfId="1567" priority="203">
      <formula>AND($E174 &gt; 0, ISNUMBER($E174))</formula>
    </cfRule>
    <cfRule type="expression" dxfId="1566" priority="204">
      <formula>AND($E174 = 0, ISNUMBER($E174))</formula>
    </cfRule>
    <cfRule type="expression" dxfId="1565" priority="205">
      <formula>AND($E174 &lt; 0, ISNUMBER($E174))</formula>
    </cfRule>
  </conditionalFormatting>
  <conditionalFormatting sqref="G174:I204">
    <cfRule type="expression" dxfId="1564" priority="200">
      <formula>AND($H174 &gt; 0, ISNUMBER($H174))</formula>
    </cfRule>
    <cfRule type="expression" dxfId="1563" priority="201">
      <formula>AND($H174 = 0, ISNUMBER($H174))</formula>
    </cfRule>
    <cfRule type="expression" dxfId="1562" priority="202">
      <formula>AND($H174 &lt; 0, ISNUMBER($H174))</formula>
    </cfRule>
  </conditionalFormatting>
  <conditionalFormatting sqref="J174:L204">
    <cfRule type="expression" dxfId="1561" priority="197">
      <formula>AND($K174 &gt; 0, ISNUMBER($K174))</formula>
    </cfRule>
    <cfRule type="expression" dxfId="1560" priority="198">
      <formula>AND($K174 = 0, ISNUMBER($K174))</formula>
    </cfRule>
    <cfRule type="expression" dxfId="1559" priority="199">
      <formula>AND($K174 &lt; 0, ISNUMBER($K174))</formula>
    </cfRule>
  </conditionalFormatting>
  <conditionalFormatting sqref="M174:O204">
    <cfRule type="expression" dxfId="1558" priority="194">
      <formula>AND($N174 &gt; 0, ISNUMBER($N174))</formula>
    </cfRule>
    <cfRule type="expression" dxfId="1557" priority="195">
      <formula>AND($N174 = 0, ISNUMBER($N174))</formula>
    </cfRule>
    <cfRule type="expression" dxfId="1556" priority="196">
      <formula>AND($N174 &lt; 0, ISNUMBER($N174))</formula>
    </cfRule>
  </conditionalFormatting>
  <conditionalFormatting sqref="D210:F211 E244:F244">
    <cfRule type="expression" dxfId="1555" priority="191">
      <formula>$E$244 &gt; 0</formula>
    </cfRule>
    <cfRule type="expression" dxfId="1554" priority="192">
      <formula>$E$244 = 0</formula>
    </cfRule>
    <cfRule type="expression" dxfId="1553" priority="193">
      <formula>$E$244 &lt; 0</formula>
    </cfRule>
  </conditionalFormatting>
  <conditionalFormatting sqref="G210:I211 H244:I244">
    <cfRule type="expression" dxfId="1552" priority="188">
      <formula>$H$244 &gt; 0</formula>
    </cfRule>
    <cfRule type="expression" dxfId="1551" priority="189">
      <formula>$H$244 = 0</formula>
    </cfRule>
    <cfRule type="expression" dxfId="1550" priority="190">
      <formula>$H$244 &lt; 0</formula>
    </cfRule>
  </conditionalFormatting>
  <conditionalFormatting sqref="J210:L211 K244:L244">
    <cfRule type="expression" dxfId="1549" priority="185">
      <formula>$K$244 &gt; 0</formula>
    </cfRule>
    <cfRule type="expression" dxfId="1548" priority="186">
      <formula>$K$244 = 0</formula>
    </cfRule>
    <cfRule type="expression" dxfId="1547" priority="187">
      <formula>$K$244 &lt; 0</formula>
    </cfRule>
  </conditionalFormatting>
  <conditionalFormatting sqref="M210:O211 N244:O244">
    <cfRule type="expression" dxfId="1546" priority="182">
      <formula>$N$244 &gt; 0</formula>
    </cfRule>
    <cfRule type="expression" dxfId="1545" priority="183">
      <formula>$N$244 = 0</formula>
    </cfRule>
    <cfRule type="expression" dxfId="1544" priority="184">
      <formula>$N$244 &lt; 0</formula>
    </cfRule>
  </conditionalFormatting>
  <conditionalFormatting sqref="D212:F242">
    <cfRule type="expression" dxfId="1543" priority="179">
      <formula>AND($E212 &gt; 0, ISNUMBER($E212))</formula>
    </cfRule>
    <cfRule type="expression" dxfId="1542" priority="180">
      <formula>AND($E212 = 0, ISNUMBER($E212))</formula>
    </cfRule>
    <cfRule type="expression" dxfId="1541" priority="181">
      <formula>AND($E212 &lt; 0, ISNUMBER($E212))</formula>
    </cfRule>
  </conditionalFormatting>
  <conditionalFormatting sqref="G212:I242">
    <cfRule type="expression" dxfId="1540" priority="176">
      <formula>AND($H212 &gt; 0, ISNUMBER($H212))</formula>
    </cfRule>
    <cfRule type="expression" dxfId="1539" priority="177">
      <formula>AND($H212 = 0, ISNUMBER($H212))</formula>
    </cfRule>
    <cfRule type="expression" dxfId="1538" priority="178">
      <formula>AND($H212 &lt; 0, ISNUMBER($H212))</formula>
    </cfRule>
  </conditionalFormatting>
  <conditionalFormatting sqref="J212:L242">
    <cfRule type="expression" dxfId="1537" priority="173">
      <formula>AND($K212 &gt; 0, ISNUMBER($K212))</formula>
    </cfRule>
    <cfRule type="expression" dxfId="1536" priority="174">
      <formula>AND($K212 = 0, ISNUMBER($K212))</formula>
    </cfRule>
    <cfRule type="expression" dxfId="1535" priority="175">
      <formula>AND($K212 &lt; 0, ISNUMBER($K212))</formula>
    </cfRule>
  </conditionalFormatting>
  <conditionalFormatting sqref="M212:O242">
    <cfRule type="expression" dxfId="1534" priority="170">
      <formula>AND($N212 &gt; 0, ISNUMBER($N212))</formula>
    </cfRule>
    <cfRule type="expression" dxfId="1533" priority="171">
      <formula>AND($N212 = 0, ISNUMBER($N212))</formula>
    </cfRule>
    <cfRule type="expression" dxfId="1532" priority="172">
      <formula>AND($N212 &lt; 0, ISNUMBER($N212))</formula>
    </cfRule>
  </conditionalFormatting>
  <conditionalFormatting sqref="D248:F249 E282:F282">
    <cfRule type="expression" dxfId="1531" priority="167">
      <formula>$E$282 &gt; 0</formula>
    </cfRule>
    <cfRule type="expression" dxfId="1530" priority="168">
      <formula>$E$282 = 0</formula>
    </cfRule>
    <cfRule type="expression" dxfId="1529" priority="169">
      <formula>$E$282 &lt; 0</formula>
    </cfRule>
  </conditionalFormatting>
  <conditionalFormatting sqref="G248:I249 H282:I282">
    <cfRule type="expression" dxfId="1528" priority="164">
      <formula>$H$282 &gt; 0</formula>
    </cfRule>
    <cfRule type="expression" dxfId="1527" priority="165">
      <formula>$H$282 = 0</formula>
    </cfRule>
    <cfRule type="expression" dxfId="1526" priority="166">
      <formula>$H$282 &lt; 0</formula>
    </cfRule>
  </conditionalFormatting>
  <conditionalFormatting sqref="J248:L249 K282:L282">
    <cfRule type="expression" dxfId="1525" priority="161">
      <formula>$K$282 &gt; 0</formula>
    </cfRule>
    <cfRule type="expression" dxfId="1524" priority="162">
      <formula>$K$282 = 0</formula>
    </cfRule>
    <cfRule type="expression" dxfId="1523" priority="163">
      <formula>$K$282 &lt; 0</formula>
    </cfRule>
  </conditionalFormatting>
  <conditionalFormatting sqref="M248:O249 N282:O282">
    <cfRule type="expression" dxfId="1522" priority="158">
      <formula>$N$282 &gt; 0</formula>
    </cfRule>
    <cfRule type="expression" dxfId="1521" priority="159">
      <formula>$N$282 = 0</formula>
    </cfRule>
    <cfRule type="expression" dxfId="1520" priority="160">
      <formula>$N$282 &lt; 0</formula>
    </cfRule>
  </conditionalFormatting>
  <conditionalFormatting sqref="D250:F280">
    <cfRule type="expression" dxfId="1519" priority="155">
      <formula>AND($E250 &gt; 0, ISNUMBER($E250))</formula>
    </cfRule>
    <cfRule type="expression" dxfId="1518" priority="156">
      <formula>AND($E250 = 0, ISNUMBER($E250))</formula>
    </cfRule>
    <cfRule type="expression" dxfId="1517" priority="157">
      <formula>AND($E250 &lt; 0, ISNUMBER($E250))</formula>
    </cfRule>
  </conditionalFormatting>
  <conditionalFormatting sqref="G250:I280">
    <cfRule type="expression" dxfId="1516" priority="152">
      <formula>AND($H250 &gt; 0, ISNUMBER($H250))</formula>
    </cfRule>
    <cfRule type="expression" dxfId="1515" priority="153">
      <formula>AND($H250 = 0, ISNUMBER($H250))</formula>
    </cfRule>
    <cfRule type="expression" dxfId="1514" priority="154">
      <formula>AND($H250 &lt; 0, ISNUMBER($H250))</formula>
    </cfRule>
  </conditionalFormatting>
  <conditionalFormatting sqref="J250:L280">
    <cfRule type="expression" dxfId="1513" priority="149">
      <formula>AND($K250 &gt; 0, ISNUMBER($K250))</formula>
    </cfRule>
    <cfRule type="expression" dxfId="1512" priority="150">
      <formula>AND($K250 = 0, ISNUMBER($K250))</formula>
    </cfRule>
    <cfRule type="expression" dxfId="1511" priority="151">
      <formula>AND($K250 &lt; 0, ISNUMBER($K250))</formula>
    </cfRule>
  </conditionalFormatting>
  <conditionalFormatting sqref="M250:O280">
    <cfRule type="expression" dxfId="1510" priority="146">
      <formula>AND($N250 &gt; 0, ISNUMBER($N250))</formula>
    </cfRule>
    <cfRule type="expression" dxfId="1509" priority="147">
      <formula>AND($N250 = 0, ISNUMBER($N250))</formula>
    </cfRule>
    <cfRule type="expression" dxfId="1508" priority="148">
      <formula>AND($N250 &lt; 0, ISNUMBER($N250))</formula>
    </cfRule>
  </conditionalFormatting>
  <conditionalFormatting sqref="D5:F6">
    <cfRule type="expression" dxfId="1507" priority="143">
      <formula>$F$130 &gt; 0</formula>
    </cfRule>
    <cfRule type="expression" dxfId="1506" priority="144">
      <formula>$F$130 = 0</formula>
    </cfRule>
    <cfRule type="expression" dxfId="1505" priority="145">
      <formula>$F$130 &lt; 0</formula>
    </cfRule>
  </conditionalFormatting>
  <conditionalFormatting sqref="D7:F8">
    <cfRule type="expression" dxfId="1504" priority="140">
      <formula>$F$206 &gt; 0</formula>
    </cfRule>
    <cfRule type="expression" dxfId="1503" priority="141">
      <formula>$F$206 = 0</formula>
    </cfRule>
    <cfRule type="expression" dxfId="1502" priority="142">
      <formula>$F$206 &lt; 0</formula>
    </cfRule>
  </conditionalFormatting>
  <conditionalFormatting sqref="D9:F10">
    <cfRule type="expression" dxfId="1501" priority="137">
      <formula>$F$244 &gt; 0</formula>
    </cfRule>
    <cfRule type="expression" dxfId="1500" priority="138">
      <formula>$F$244 = 0</formula>
    </cfRule>
    <cfRule type="expression" dxfId="1499" priority="139">
      <formula>$F$244 &lt; 0</formula>
    </cfRule>
  </conditionalFormatting>
  <conditionalFormatting sqref="D11:F12">
    <cfRule type="expression" dxfId="1498" priority="134">
      <formula>$F$168 &gt; 0</formula>
    </cfRule>
    <cfRule type="expression" dxfId="1497" priority="135">
      <formula>$F$168 = 0</formula>
    </cfRule>
    <cfRule type="expression" dxfId="1496" priority="136">
      <formula>$F$168 &lt; 0</formula>
    </cfRule>
  </conditionalFormatting>
  <conditionalFormatting sqref="D13:F14">
    <cfRule type="expression" dxfId="1495" priority="92">
      <formula>$F$282 &gt; 0</formula>
    </cfRule>
    <cfRule type="expression" dxfId="1494" priority="93">
      <formula>$F$282 = 0</formula>
    </cfRule>
    <cfRule type="expression" dxfId="1493" priority="94">
      <formula>$F$282 &lt; 0</formula>
    </cfRule>
  </conditionalFormatting>
  <conditionalFormatting sqref="D15:F16">
    <cfRule type="expression" dxfId="1492" priority="77">
      <formula>$F$54 &gt; 0</formula>
    </cfRule>
    <cfRule type="expression" dxfId="1491" priority="78">
      <formula>$F$54 = 0</formula>
    </cfRule>
    <cfRule type="expression" dxfId="1490" priority="79">
      <formula>$F$54 &lt; 0</formula>
    </cfRule>
  </conditionalFormatting>
  <conditionalFormatting sqref="G5:I6">
    <cfRule type="expression" dxfId="1489" priority="65">
      <formula>$I$130 &gt; 0</formula>
    </cfRule>
    <cfRule type="expression" dxfId="1488" priority="66">
      <formula>$I$130 = 0</formula>
    </cfRule>
    <cfRule type="expression" dxfId="1487" priority="67">
      <formula>$I$130 &lt; 0</formula>
    </cfRule>
  </conditionalFormatting>
  <conditionalFormatting sqref="G7:I8">
    <cfRule type="expression" dxfId="1486" priority="62">
      <formula>$I$206 &gt; 0</formula>
    </cfRule>
    <cfRule type="expression" dxfId="1485" priority="63">
      <formula>$I$206 = 0</formula>
    </cfRule>
    <cfRule type="expression" dxfId="1484" priority="64">
      <formula>$I$206 &lt; 0</formula>
    </cfRule>
  </conditionalFormatting>
  <conditionalFormatting sqref="G9:I10">
    <cfRule type="expression" dxfId="1483" priority="59">
      <formula>$I$244 &gt; 0</formula>
    </cfRule>
    <cfRule type="expression" dxfId="1482" priority="60">
      <formula>$I$244 = 0</formula>
    </cfRule>
    <cfRule type="expression" dxfId="1481" priority="61">
      <formula>$I$244 &lt; 0</formula>
    </cfRule>
  </conditionalFormatting>
  <conditionalFormatting sqref="G11:I12">
    <cfRule type="expression" dxfId="1480" priority="56">
      <formula>$I$168 &gt; 0</formula>
    </cfRule>
    <cfRule type="expression" dxfId="1479" priority="57">
      <formula>$I$168 = 0</formula>
    </cfRule>
    <cfRule type="expression" dxfId="1478" priority="58">
      <formula>$I$168 &lt; 0</formula>
    </cfRule>
  </conditionalFormatting>
  <conditionalFormatting sqref="G13:I14">
    <cfRule type="expression" dxfId="1477" priority="53">
      <formula>$I$282 &gt; 0</formula>
    </cfRule>
    <cfRule type="expression" dxfId="1476" priority="54">
      <formula>$I$282 = 0</formula>
    </cfRule>
    <cfRule type="expression" dxfId="1475" priority="55">
      <formula>$I$282 &lt; 0</formula>
    </cfRule>
  </conditionalFormatting>
  <conditionalFormatting sqref="G15:I16">
    <cfRule type="expression" dxfId="1474" priority="50">
      <formula>$I$54 &gt; 0</formula>
    </cfRule>
    <cfRule type="expression" dxfId="1473" priority="51">
      <formula>$I$54 = 0</formula>
    </cfRule>
    <cfRule type="expression" dxfId="1472" priority="52">
      <formula>$I$54 &lt; 0</formula>
    </cfRule>
  </conditionalFormatting>
  <conditionalFormatting sqref="J5:L6">
    <cfRule type="expression" dxfId="1471" priority="47">
      <formula>$L$130 &gt; 0</formula>
    </cfRule>
    <cfRule type="expression" dxfId="1470" priority="48">
      <formula>$L$130 = 0</formula>
    </cfRule>
    <cfRule type="expression" dxfId="1469" priority="49">
      <formula>$L$130 &lt; 0</formula>
    </cfRule>
  </conditionalFormatting>
  <conditionalFormatting sqref="J7:L8">
    <cfRule type="expression" dxfId="1468" priority="44">
      <formula>$L$206 &gt; 0</formula>
    </cfRule>
    <cfRule type="expression" dxfId="1467" priority="45">
      <formula>$L$206 = 0</formula>
    </cfRule>
    <cfRule type="expression" dxfId="1466" priority="46">
      <formula>$L$206 &lt; 0</formula>
    </cfRule>
  </conditionalFormatting>
  <conditionalFormatting sqref="J9:L10">
    <cfRule type="expression" dxfId="1465" priority="41">
      <formula>$L$244 &gt; 0</formula>
    </cfRule>
    <cfRule type="expression" dxfId="1464" priority="42">
      <formula>$L$244 = 0</formula>
    </cfRule>
    <cfRule type="expression" dxfId="1463" priority="43">
      <formula>$L$244 &lt; 0</formula>
    </cfRule>
  </conditionalFormatting>
  <conditionalFormatting sqref="J11:L12">
    <cfRule type="expression" dxfId="1462" priority="38">
      <formula>$L$168 &gt; 0</formula>
    </cfRule>
    <cfRule type="expression" dxfId="1461" priority="39">
      <formula>$L$168 = 0</formula>
    </cfRule>
    <cfRule type="expression" dxfId="1460" priority="40">
      <formula>$L$168 &lt; 0</formula>
    </cfRule>
  </conditionalFormatting>
  <conditionalFormatting sqref="J13:L14">
    <cfRule type="expression" dxfId="1459" priority="35">
      <formula>$L$282 &gt; 0</formula>
    </cfRule>
    <cfRule type="expression" dxfId="1458" priority="36">
      <formula>$L$282 = 0</formula>
    </cfRule>
    <cfRule type="expression" dxfId="1457" priority="37">
      <formula>$L$282 &lt; 0</formula>
    </cfRule>
  </conditionalFormatting>
  <conditionalFormatting sqref="J15:L16">
    <cfRule type="expression" dxfId="1456" priority="32">
      <formula>$L$54 &gt; 0</formula>
    </cfRule>
    <cfRule type="expression" dxfId="1455" priority="33">
      <formula>$L$54 = 0</formula>
    </cfRule>
    <cfRule type="expression" dxfId="1454" priority="34">
      <formula>$L$54 &lt; 0</formula>
    </cfRule>
  </conditionalFormatting>
  <conditionalFormatting sqref="M5:O6">
    <cfRule type="expression" dxfId="1453" priority="29">
      <formula>$O$130 &gt; 0</formula>
    </cfRule>
    <cfRule type="expression" dxfId="1452" priority="30">
      <formula>$O$130 = 0</formula>
    </cfRule>
    <cfRule type="expression" dxfId="1451" priority="31">
      <formula>$O$130 &lt; 0</formula>
    </cfRule>
  </conditionalFormatting>
  <conditionalFormatting sqref="M7:O8">
    <cfRule type="expression" dxfId="1450" priority="26">
      <formula>$O$206 &gt; 0</formula>
    </cfRule>
    <cfRule type="expression" dxfId="1449" priority="27">
      <formula>$O$206 = 0</formula>
    </cfRule>
    <cfRule type="expression" dxfId="1448" priority="28">
      <formula>$O$206 &lt; 0</formula>
    </cfRule>
  </conditionalFormatting>
  <conditionalFormatting sqref="M9:O10">
    <cfRule type="expression" dxfId="1447" priority="23">
      <formula>$O$244 &gt; 0</formula>
    </cfRule>
    <cfRule type="expression" dxfId="1446" priority="24">
      <formula>$O$244 = 0</formula>
    </cfRule>
    <cfRule type="expression" dxfId="1445" priority="25">
      <formula>$O$244 &lt; 0</formula>
    </cfRule>
  </conditionalFormatting>
  <conditionalFormatting sqref="M11:O12">
    <cfRule type="expression" dxfId="1444" priority="20">
      <formula>$O$168 &gt; 0</formula>
    </cfRule>
    <cfRule type="expression" dxfId="1443" priority="21">
      <formula>$O$168 = 0</formula>
    </cfRule>
    <cfRule type="expression" dxfId="1442" priority="22">
      <formula>$O$168 &lt; 0</formula>
    </cfRule>
  </conditionalFormatting>
  <conditionalFormatting sqref="M13:O14">
    <cfRule type="expression" dxfId="1441" priority="17">
      <formula>$O$282 &gt; 0</formula>
    </cfRule>
    <cfRule type="expression" dxfId="1440" priority="18">
      <formula>$O$282 = 0</formula>
    </cfRule>
    <cfRule type="expression" dxfId="1439" priority="19">
      <formula>$O$282 &lt; 0</formula>
    </cfRule>
  </conditionalFormatting>
  <conditionalFormatting sqref="M15:O16">
    <cfRule type="expression" dxfId="1438" priority="14">
      <formula>$O$54 &gt; 0</formula>
    </cfRule>
    <cfRule type="expression" dxfId="1437" priority="15">
      <formula>$O$54 = 0</formula>
    </cfRule>
    <cfRule type="expression" dxfId="1436" priority="16">
      <formula>$O$54 &lt; 0</formula>
    </cfRule>
  </conditionalFormatting>
  <conditionalFormatting sqref="D3:F4">
    <cfRule type="expression" dxfId="1435" priority="13">
      <formula>$F$92 &lt; 0</formula>
    </cfRule>
    <cfRule type="expression" dxfId="1434" priority="12">
      <formula>$F$92 = 0</formula>
    </cfRule>
    <cfRule type="expression" dxfId="1433" priority="11">
      <formula>$F$92 &gt; 0</formula>
    </cfRule>
  </conditionalFormatting>
  <conditionalFormatting sqref="G3:I4">
    <cfRule type="expression" dxfId="1432" priority="10">
      <formula>$I$92 &lt; 0</formula>
    </cfRule>
    <cfRule type="expression" dxfId="1431" priority="9">
      <formula>$I$92 = 0</formula>
    </cfRule>
    <cfRule type="expression" dxfId="1430" priority="8">
      <formula>$I$92 &gt; 0</formula>
    </cfRule>
  </conditionalFormatting>
  <conditionalFormatting sqref="J3:L4">
    <cfRule type="expression" dxfId="1429" priority="5">
      <formula>$L$92 &gt; 0</formula>
    </cfRule>
    <cfRule type="expression" dxfId="1428" priority="6">
      <formula>$L$92 = 0</formula>
    </cfRule>
    <cfRule type="expression" dxfId="1427" priority="7">
      <formula>$L$92 &lt; 0</formula>
    </cfRule>
  </conditionalFormatting>
  <conditionalFormatting sqref="M3:O4">
    <cfRule type="expression" dxfId="1426" priority="2">
      <formula>$O$92 &gt; 0</formula>
    </cfRule>
    <cfRule type="expression" dxfId="1425" priority="3">
      <formula>$O$92 = 0</formula>
    </cfRule>
    <cfRule type="expression" dxfId="142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2" t="s">
        <v>0</v>
      </c>
      <c r="B1" s="193"/>
      <c r="C1" s="193"/>
      <c r="D1" s="193"/>
      <c r="E1" s="193"/>
      <c r="F1" s="194"/>
      <c r="G1" s="195">
        <v>44348</v>
      </c>
      <c r="H1" s="196"/>
      <c r="I1" s="197"/>
      <c r="J1" s="192" t="s">
        <v>1</v>
      </c>
      <c r="K1" s="193"/>
      <c r="L1" s="193"/>
      <c r="M1" s="193"/>
      <c r="N1" s="193"/>
      <c r="O1" s="194"/>
      <c r="Q1" s="192" t="s">
        <v>2</v>
      </c>
      <c r="R1" s="194"/>
    </row>
    <row r="2" spans="1:19" ht="17.25" customHeight="1">
      <c r="A2" s="117" t="s">
        <v>3</v>
      </c>
      <c r="B2" s="198" t="s">
        <v>8</v>
      </c>
      <c r="C2" s="199"/>
      <c r="D2" s="199"/>
      <c r="E2" s="199"/>
      <c r="F2" s="200"/>
      <c r="G2" s="201" t="s">
        <v>46</v>
      </c>
      <c r="H2" s="202"/>
      <c r="I2" s="203"/>
      <c r="J2" s="1" t="s">
        <v>3</v>
      </c>
      <c r="K2" s="198" t="s">
        <v>350</v>
      </c>
      <c r="L2" s="199"/>
      <c r="M2" s="199"/>
      <c r="N2" s="199"/>
      <c r="O2" s="200"/>
      <c r="Q2" s="2" t="s">
        <v>6</v>
      </c>
      <c r="R2" s="3">
        <v>0.375</v>
      </c>
    </row>
    <row r="3" spans="1:19" ht="17.25" customHeight="1" thickBot="1">
      <c r="A3" s="118" t="s">
        <v>7</v>
      </c>
      <c r="B3" s="204" t="s">
        <v>358</v>
      </c>
      <c r="C3" s="205"/>
      <c r="D3" s="205"/>
      <c r="E3" s="205"/>
      <c r="F3" s="206"/>
      <c r="G3" s="20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08"/>
      <c r="I3" s="209"/>
      <c r="J3" s="4" t="s">
        <v>7</v>
      </c>
      <c r="K3" s="204" t="s">
        <v>351</v>
      </c>
      <c r="L3" s="205"/>
      <c r="M3" s="205"/>
      <c r="N3" s="205"/>
      <c r="O3" s="2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4" t="s">
        <v>16</v>
      </c>
      <c r="C4" s="205"/>
      <c r="D4" s="205"/>
      <c r="E4" s="205"/>
      <c r="F4" s="206"/>
      <c r="G4" s="201" t="s">
        <v>44</v>
      </c>
      <c r="H4" s="202"/>
      <c r="I4" s="203"/>
      <c r="J4" s="4" t="s">
        <v>11</v>
      </c>
      <c r="K4" s="204" t="s">
        <v>352</v>
      </c>
      <c r="L4" s="205"/>
      <c r="M4" s="205"/>
      <c r="N4" s="205"/>
      <c r="O4" s="2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4" t="s">
        <v>349</v>
      </c>
      <c r="C5" s="205"/>
      <c r="D5" s="205"/>
      <c r="E5" s="205"/>
      <c r="F5" s="206"/>
      <c r="G5" s="20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08"/>
      <c r="I5" s="209"/>
      <c r="J5" s="4" t="s">
        <v>15</v>
      </c>
      <c r="K5" s="204" t="s">
        <v>353</v>
      </c>
      <c r="L5" s="205"/>
      <c r="M5" s="205"/>
      <c r="N5" s="205"/>
      <c r="O5" s="206"/>
    </row>
    <row r="6" spans="1:19">
      <c r="A6" s="118" t="s">
        <v>18</v>
      </c>
      <c r="B6" s="204"/>
      <c r="C6" s="205"/>
      <c r="D6" s="205"/>
      <c r="E6" s="205"/>
      <c r="F6" s="206"/>
      <c r="G6" s="201" t="s">
        <v>45</v>
      </c>
      <c r="H6" s="202"/>
      <c r="I6" s="203"/>
      <c r="J6" s="4" t="s">
        <v>18</v>
      </c>
      <c r="K6" s="204" t="s">
        <v>354</v>
      </c>
      <c r="L6" s="205"/>
      <c r="M6" s="205"/>
      <c r="N6" s="205"/>
      <c r="O6" s="206"/>
    </row>
    <row r="7" spans="1:19" ht="17.25" thickBot="1">
      <c r="A7" s="118" t="s">
        <v>21</v>
      </c>
      <c r="B7" s="204"/>
      <c r="C7" s="205"/>
      <c r="D7" s="205"/>
      <c r="E7" s="205"/>
      <c r="F7" s="206"/>
      <c r="G7" s="20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08"/>
      <c r="I7" s="209"/>
      <c r="J7" s="4" t="s">
        <v>21</v>
      </c>
      <c r="K7" s="204" t="s">
        <v>355</v>
      </c>
      <c r="L7" s="205"/>
      <c r="M7" s="205"/>
      <c r="N7" s="205"/>
      <c r="O7" s="206"/>
    </row>
    <row r="8" spans="1:19" ht="17.25" thickBot="1">
      <c r="A8" s="118" t="s">
        <v>24</v>
      </c>
      <c r="B8" s="204"/>
      <c r="C8" s="205"/>
      <c r="D8" s="205"/>
      <c r="E8" s="205"/>
      <c r="F8" s="206"/>
      <c r="G8" s="201" t="s">
        <v>285</v>
      </c>
      <c r="H8" s="202"/>
      <c r="I8" s="203"/>
      <c r="J8" s="4" t="s">
        <v>24</v>
      </c>
      <c r="K8" s="204"/>
      <c r="L8" s="205"/>
      <c r="M8" s="205"/>
      <c r="N8" s="205"/>
      <c r="O8" s="206"/>
      <c r="Q8" s="192" t="s">
        <v>27</v>
      </c>
      <c r="R8" s="194"/>
    </row>
    <row r="9" spans="1:19" ht="17.25" thickBot="1">
      <c r="A9" s="118" t="s">
        <v>28</v>
      </c>
      <c r="B9" s="204"/>
      <c r="C9" s="205"/>
      <c r="D9" s="205"/>
      <c r="E9" s="205"/>
      <c r="F9" s="206"/>
      <c r="G9" s="20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08"/>
      <c r="I9" s="209"/>
      <c r="J9" s="4" t="s">
        <v>28</v>
      </c>
      <c r="K9" s="204"/>
      <c r="L9" s="205"/>
      <c r="M9" s="205"/>
      <c r="N9" s="205"/>
      <c r="O9" s="206"/>
      <c r="Q9" s="2" t="s">
        <v>29</v>
      </c>
      <c r="R9" s="6">
        <v>10</v>
      </c>
    </row>
    <row r="10" spans="1:19">
      <c r="A10" s="118" t="s">
        <v>30</v>
      </c>
      <c r="B10" s="204"/>
      <c r="C10" s="205"/>
      <c r="D10" s="205"/>
      <c r="E10" s="205"/>
      <c r="F10" s="206"/>
      <c r="G10" s="201" t="s">
        <v>47</v>
      </c>
      <c r="H10" s="202"/>
      <c r="I10" s="203"/>
      <c r="J10" s="4" t="s">
        <v>30</v>
      </c>
      <c r="K10" s="204" t="s">
        <v>356</v>
      </c>
      <c r="L10" s="205"/>
      <c r="M10" s="205"/>
      <c r="N10" s="205"/>
      <c r="O10" s="206"/>
      <c r="Q10" s="2" t="s">
        <v>31</v>
      </c>
      <c r="R10" s="6">
        <v>100</v>
      </c>
    </row>
    <row r="11" spans="1:19" ht="17.25" thickBot="1">
      <c r="A11" s="119" t="s">
        <v>32</v>
      </c>
      <c r="B11" s="210" t="s">
        <v>357</v>
      </c>
      <c r="C11" s="211"/>
      <c r="D11" s="211"/>
      <c r="E11" s="211"/>
      <c r="F11" s="212"/>
      <c r="G11" s="20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08"/>
      <c r="I11" s="209"/>
      <c r="J11" s="7" t="s">
        <v>32</v>
      </c>
      <c r="K11" s="210" t="s">
        <v>348</v>
      </c>
      <c r="L11" s="211"/>
      <c r="M11" s="211"/>
      <c r="N11" s="211"/>
      <c r="O11" s="212"/>
      <c r="Q11" s="65" t="s">
        <v>33</v>
      </c>
      <c r="R11" s="8">
        <v>1000</v>
      </c>
    </row>
    <row r="12" spans="1:19" ht="17.25" thickBot="1"/>
    <row r="13" spans="1:19" ht="17.25" customHeight="1" thickBot="1">
      <c r="A13" s="192" t="s">
        <v>34</v>
      </c>
      <c r="B13" s="193"/>
      <c r="C13" s="193"/>
      <c r="D13" s="193"/>
      <c r="E13" s="193"/>
      <c r="F13" s="193"/>
      <c r="G13" s="193"/>
      <c r="H13" s="193"/>
      <c r="I13" s="193"/>
      <c r="J13" s="193"/>
      <c r="K13" s="193"/>
      <c r="L13" s="193"/>
      <c r="M13" s="193"/>
      <c r="N13" s="193"/>
      <c r="O13" s="194"/>
      <c r="Q13" s="213"/>
      <c r="R13" s="213"/>
      <c r="S13" s="213"/>
    </row>
    <row r="14" spans="1:19" ht="17.25" customHeight="1" thickBot="1">
      <c r="A14" s="157" t="s">
        <v>35</v>
      </c>
      <c r="B14" s="192" t="s">
        <v>36</v>
      </c>
      <c r="C14" s="194"/>
      <c r="D14" s="192" t="s">
        <v>37</v>
      </c>
      <c r="E14" s="193"/>
      <c r="F14" s="194"/>
      <c r="G14" s="219">
        <f>_xlfn.IFNA(VLOOKUP(B14, 현재가테이블!$B$2:$D$200, 2, FALSE), "-")</f>
        <v>38300000</v>
      </c>
      <c r="H14" s="220"/>
      <c r="I14" s="221"/>
      <c r="J14" s="192" t="s">
        <v>38</v>
      </c>
      <c r="K14" s="193"/>
      <c r="L14" s="194"/>
      <c r="M14" s="222">
        <f>_xlfn.IFNA(VLOOKUP(B14, 현재가테이블!$B$2:$D$200, 3, FALSE), "-")</f>
        <v>-1.9557649E-2</v>
      </c>
      <c r="N14" s="223"/>
      <c r="O14" s="224"/>
      <c r="Q14" s="213"/>
      <c r="R14" s="213"/>
      <c r="S14" s="213"/>
    </row>
    <row r="15" spans="1:19" ht="17.25" customHeight="1" thickBot="1">
      <c r="A15" s="257" t="s">
        <v>39</v>
      </c>
      <c r="B15" s="258" t="str">
        <f>TEXT($G$1, "[$-ko-KR]yyyy-mm-dd(ddd) ") &amp; "오전 00:00"</f>
        <v>2021-06-01(화) 오전 00:00</v>
      </c>
      <c r="C15" s="259"/>
      <c r="D15" s="215" t="str">
        <f>TEXT($G$1, "[$-ko-KR]yyyy-mm-dd(ddd) ") &amp; "오후 14:00"</f>
        <v>2021-06-01(화) 오후 14:00</v>
      </c>
      <c r="E15" s="216"/>
      <c r="F15" s="217"/>
      <c r="G15" s="215" t="str">
        <f>TEXT($G$1, "[$-ko-KR]yyyy-mm-dd(ddd) ") &amp; "오후 19:00"</f>
        <v>2021-06-01(화) 오후 19:00</v>
      </c>
      <c r="H15" s="216"/>
      <c r="I15" s="217"/>
      <c r="J15" s="215" t="str">
        <f>TEXT($G$1, "[$-ko-KR]yyyy-mm-dd(ddd) ") &amp; "오후 21:00"</f>
        <v>2021-06-01(화) 오후 21:00</v>
      </c>
      <c r="K15" s="216"/>
      <c r="L15" s="217"/>
      <c r="M15" s="215" t="str">
        <f>TEXT($G$1+1, "[$-ko-KR]yyyy-mm-dd(ddd) ") &amp; "오전 00:00"</f>
        <v>2021-06-02(수) 오전 00:00</v>
      </c>
      <c r="N15" s="216"/>
      <c r="O15" s="217"/>
      <c r="Q15" s="213"/>
      <c r="R15" s="213"/>
      <c r="S15" s="213"/>
    </row>
    <row r="16" spans="1:19" ht="17.25" customHeight="1" thickBot="1">
      <c r="A16" s="25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8"/>
      <c r="R16" s="218"/>
      <c r="S16" s="218"/>
    </row>
    <row r="17" spans="1:19" ht="17.25" customHeight="1" thickBot="1">
      <c r="A17" s="161" t="s">
        <v>359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13"/>
      <c r="R17" s="213"/>
      <c r="S17" s="213"/>
    </row>
    <row r="18" spans="1:19" ht="17.25" customHeight="1" thickBot="1">
      <c r="A18" s="162" t="s">
        <v>360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13"/>
      <c r="R18" s="213"/>
      <c r="S18" s="213"/>
    </row>
    <row r="19" spans="1:19" ht="17.25" customHeight="1" thickBot="1">
      <c r="A19" s="162" t="s">
        <v>361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218"/>
      <c r="R19" s="218"/>
      <c r="S19" s="218"/>
    </row>
    <row r="20" spans="1:19" ht="17.25" customHeight="1" thickBot="1">
      <c r="A20" s="162" t="s">
        <v>362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218"/>
      <c r="R20" s="218"/>
      <c r="S20" s="218"/>
    </row>
    <row r="21" spans="1:19" ht="17.25" customHeight="1" thickBot="1">
      <c r="A21" s="163" t="s">
        <v>363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218"/>
      <c r="R21" s="218"/>
      <c r="S21" s="218"/>
    </row>
    <row r="22" spans="1:19" ht="17.25" customHeight="1" thickBot="1">
      <c r="A22" s="162" t="s">
        <v>364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218"/>
      <c r="R22" s="218"/>
      <c r="S22" s="21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8"/>
      <c r="R23" s="218"/>
      <c r="S23" s="21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8"/>
      <c r="R24" s="218"/>
      <c r="S24" s="21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7"/>
      <c r="R26" s="228"/>
      <c r="S26" s="22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0"/>
      <c r="R27" s="231"/>
      <c r="S27" s="23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3"/>
      <c r="R28" s="234"/>
      <c r="S28" s="23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8"/>
      <c r="R29" s="218"/>
      <c r="S29" s="21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3"/>
      <c r="R30" s="213"/>
      <c r="S30" s="21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3"/>
      <c r="R31" s="213"/>
      <c r="S31" s="21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8"/>
      <c r="R32" s="218"/>
      <c r="S32" s="21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8"/>
      <c r="R33" s="218"/>
      <c r="S33" s="21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8"/>
      <c r="R34" s="218"/>
      <c r="S34" s="21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0"/>
      <c r="R35" s="241"/>
      <c r="S35" s="24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3"/>
      <c r="R36" s="244"/>
      <c r="S36" s="245"/>
    </row>
    <row r="37" spans="1:19" ht="17.25" customHeight="1" thickBot="1">
      <c r="A37" s="132" t="s">
        <v>42</v>
      </c>
      <c r="B37" s="251">
        <v>100000</v>
      </c>
      <c r="C37" s="252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246"/>
      <c r="R37" s="247"/>
      <c r="S37" s="248"/>
    </row>
    <row r="38" spans="1:19" ht="17.25" customHeight="1"/>
    <row r="39" spans="1:19" ht="17.25" customHeight="1" thickBot="1"/>
    <row r="40" spans="1:19" ht="17.25" customHeight="1" thickBot="1">
      <c r="A40" s="192" t="s">
        <v>44</v>
      </c>
      <c r="B40" s="193"/>
      <c r="C40" s="193"/>
      <c r="D40" s="193"/>
      <c r="E40" s="193"/>
      <c r="F40" s="193"/>
      <c r="G40" s="193"/>
      <c r="H40" s="193"/>
      <c r="I40" s="193"/>
      <c r="J40" s="193"/>
      <c r="K40" s="193"/>
      <c r="L40" s="193"/>
      <c r="M40" s="193"/>
      <c r="N40" s="193"/>
      <c r="O40" s="194"/>
      <c r="Q40" s="213"/>
      <c r="R40" s="213"/>
      <c r="S40" s="213"/>
    </row>
    <row r="41" spans="1:19" ht="17.25" customHeight="1" thickBot="1">
      <c r="A41" s="157" t="s">
        <v>297</v>
      </c>
      <c r="B41" s="192" t="s">
        <v>49</v>
      </c>
      <c r="C41" s="194"/>
      <c r="D41" s="192" t="s">
        <v>58</v>
      </c>
      <c r="E41" s="193"/>
      <c r="F41" s="194"/>
      <c r="G41" s="219">
        <f>_xlfn.IFNA(VLOOKUP(B41, 현재가테이블!$B$2:$D$200, 2, FALSE), "-")</f>
        <v>38300000</v>
      </c>
      <c r="H41" s="220"/>
      <c r="I41" s="221"/>
      <c r="J41" s="192" t="s">
        <v>59</v>
      </c>
      <c r="K41" s="193"/>
      <c r="L41" s="194"/>
      <c r="M41" s="222">
        <f>_xlfn.IFNA(VLOOKUP(B41, 현재가테이블!$B$2:$D$200, 3, FALSE), "-")</f>
        <v>-1.9557649E-2</v>
      </c>
      <c r="N41" s="223"/>
      <c r="O41" s="224"/>
      <c r="Q41" s="213"/>
      <c r="R41" s="213"/>
      <c r="S41" s="213"/>
    </row>
    <row r="42" spans="1:19" ht="17.25" customHeight="1" thickBot="1">
      <c r="A42" s="253" t="s">
        <v>55</v>
      </c>
      <c r="B42" s="255" t="str">
        <f>TEXT($G$1, "[$-ko-KR]yyyy-mm-dd(ddd) ") &amp; "오전 00:00"</f>
        <v>2021-06-01(화) 오전 00:00</v>
      </c>
      <c r="C42" s="256"/>
      <c r="D42" s="215" t="str">
        <f>TEXT($G$1, "[$-ko-KR]yyyy-mm-dd(ddd) ") &amp; "오후 14:00"</f>
        <v>2021-06-01(화) 오후 14:00</v>
      </c>
      <c r="E42" s="216"/>
      <c r="F42" s="217"/>
      <c r="G42" s="215" t="str">
        <f>TEXT($G$1, "[$-ko-KR]yyyy-mm-dd(ddd) ") &amp; "오후 19:00"</f>
        <v>2021-06-01(화) 오후 19:00</v>
      </c>
      <c r="H42" s="216"/>
      <c r="I42" s="217"/>
      <c r="J42" s="215" t="str">
        <f>TEXT($G$1, "[$-ko-KR]yyyy-mm-dd(ddd) ") &amp; "오후 21:00"</f>
        <v>2021-06-01(화) 오후 21:00</v>
      </c>
      <c r="K42" s="216"/>
      <c r="L42" s="217"/>
      <c r="M42" s="215" t="str">
        <f>TEXT($G$1+1, "[$-ko-KR]yyyy-mm-dd(ddd) ") &amp; "오전 00:00"</f>
        <v>2021-06-02(수) 오전 00:00</v>
      </c>
      <c r="N42" s="216"/>
      <c r="O42" s="217"/>
      <c r="Q42" s="213"/>
      <c r="R42" s="213"/>
      <c r="S42" s="213"/>
    </row>
    <row r="43" spans="1:19" ht="17.25" customHeight="1" thickBot="1">
      <c r="A43" s="25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58" t="s">
        <v>58</v>
      </c>
      <c r="H43" s="159" t="s">
        <v>298</v>
      </c>
      <c r="I43" s="160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8"/>
      <c r="R43" s="218"/>
      <c r="S43" s="218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13"/>
      <c r="R44" s="213"/>
      <c r="S44" s="213"/>
    </row>
    <row r="45" spans="1:19" ht="17.25" customHeight="1" thickBot="1">
      <c r="A45" s="125" t="s">
        <v>278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13"/>
      <c r="R45" s="213"/>
      <c r="S45" s="213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218"/>
      <c r="R46" s="218"/>
      <c r="S46" s="218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218"/>
      <c r="R47" s="218"/>
      <c r="S47" s="218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218"/>
      <c r="R48" s="218"/>
      <c r="S48" s="218"/>
    </row>
    <row r="49" spans="1:19" ht="17.25" customHeight="1" thickBot="1">
      <c r="A49" s="125" t="s">
        <v>222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218"/>
      <c r="R49" s="218"/>
      <c r="S49" s="218"/>
    </row>
    <row r="50" spans="1:19" ht="17.25" customHeight="1" thickBot="1">
      <c r="A50" s="125" t="s">
        <v>260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218"/>
      <c r="R50" s="218"/>
      <c r="S50" s="218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218"/>
      <c r="R51" s="218"/>
      <c r="S51" s="218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27"/>
      <c r="R53" s="228"/>
      <c r="S53" s="229"/>
    </row>
    <row r="54" spans="1:19" ht="17.25" customHeight="1">
      <c r="A54" s="123" t="s">
        <v>196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30"/>
      <c r="R54" s="231"/>
      <c r="S54" s="232"/>
    </row>
    <row r="55" spans="1:19" ht="17.25" customHeight="1" thickBot="1">
      <c r="A55" s="125" t="s">
        <v>198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33"/>
      <c r="R55" s="234"/>
      <c r="S55" s="235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218"/>
      <c r="R56" s="218"/>
      <c r="S56" s="218"/>
    </row>
    <row r="57" spans="1:19" ht="17.25" customHeight="1" thickBot="1">
      <c r="A57" s="125" t="s">
        <v>214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13"/>
      <c r="R57" s="213"/>
      <c r="S57" s="213"/>
    </row>
    <row r="58" spans="1:19" ht="17.25" customHeight="1" thickBot="1">
      <c r="A58" s="127" t="s">
        <v>212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13"/>
      <c r="R58" s="213"/>
      <c r="S58" s="213"/>
    </row>
    <row r="59" spans="1:19" ht="17.25" customHeight="1" thickBot="1">
      <c r="A59" s="125" t="s">
        <v>186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218"/>
      <c r="R59" s="218"/>
      <c r="S59" s="218"/>
    </row>
    <row r="60" spans="1:19" ht="17.25" customHeight="1" thickBot="1">
      <c r="A60" s="125" t="s">
        <v>228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18"/>
      <c r="R60" s="218"/>
      <c r="S60" s="218"/>
    </row>
    <row r="61" spans="1:19" ht="17.25" customHeight="1" thickBot="1">
      <c r="A61" s="125" t="s">
        <v>236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218"/>
      <c r="R61" s="218"/>
      <c r="S61" s="218"/>
    </row>
    <row r="62" spans="1:19" ht="17.25" customHeight="1">
      <c r="A62" s="125" t="s">
        <v>266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240"/>
      <c r="R62" s="241"/>
      <c r="S62" s="242"/>
    </row>
    <row r="63" spans="1:19" ht="17.25" customHeight="1" thickBot="1">
      <c r="A63" s="130" t="s">
        <v>254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243"/>
      <c r="R63" s="244"/>
      <c r="S63" s="245"/>
    </row>
    <row r="64" spans="1:19" ht="17.25" customHeight="1" thickBot="1">
      <c r="A64" s="132" t="s">
        <v>300</v>
      </c>
      <c r="B64" s="251">
        <f>$B$37</f>
        <v>100000</v>
      </c>
      <c r="C64" s="252"/>
      <c r="D64" s="26" t="s">
        <v>301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301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301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301</v>
      </c>
      <c r="N64" s="27">
        <f>IF(COUNT(N44:N63), SUM(N44:N63) / COUNT(N44:N63), 0)</f>
        <v>-4.7597754982905483E-4</v>
      </c>
      <c r="O64" s="28">
        <f>SUM(O44:O63)</f>
        <v>-951.95509965810902</v>
      </c>
      <c r="Q64" s="246"/>
      <c r="R64" s="247"/>
      <c r="S64" s="248"/>
    </row>
    <row r="65" spans="1:19" ht="17.25" customHeight="1"/>
    <row r="66" spans="1:19" ht="17.25" customHeight="1" thickBot="1"/>
    <row r="67" spans="1:19" ht="17.25" thickBot="1">
      <c r="A67" s="192" t="s">
        <v>45</v>
      </c>
      <c r="B67" s="193"/>
      <c r="C67" s="193"/>
      <c r="D67" s="193"/>
      <c r="E67" s="193"/>
      <c r="F67" s="193"/>
      <c r="G67" s="193"/>
      <c r="H67" s="193"/>
      <c r="I67" s="193"/>
      <c r="J67" s="193"/>
      <c r="K67" s="193"/>
      <c r="L67" s="193"/>
      <c r="M67" s="193"/>
      <c r="N67" s="193"/>
      <c r="O67" s="194"/>
      <c r="Q67" s="213"/>
      <c r="R67" s="213"/>
      <c r="S67" s="213"/>
    </row>
    <row r="68" spans="1:19" ht="17.25" thickBot="1">
      <c r="A68" s="157" t="s">
        <v>297</v>
      </c>
      <c r="B68" s="192" t="s">
        <v>49</v>
      </c>
      <c r="C68" s="194"/>
      <c r="D68" s="192" t="s">
        <v>58</v>
      </c>
      <c r="E68" s="193"/>
      <c r="F68" s="194"/>
      <c r="G68" s="219">
        <f>_xlfn.IFNA(VLOOKUP(B68, 현재가테이블!$B$2:$D$200, 2, FALSE), "-")</f>
        <v>38300000</v>
      </c>
      <c r="H68" s="220"/>
      <c r="I68" s="221"/>
      <c r="J68" s="192" t="s">
        <v>59</v>
      </c>
      <c r="K68" s="193"/>
      <c r="L68" s="194"/>
      <c r="M68" s="222">
        <f>_xlfn.IFNA(VLOOKUP(B68, 현재가테이블!$B$2:$D$200, 3, FALSE), "-")</f>
        <v>-1.9557649E-2</v>
      </c>
      <c r="N68" s="223"/>
      <c r="O68" s="224"/>
      <c r="Q68" s="213"/>
      <c r="R68" s="213"/>
      <c r="S68" s="213"/>
    </row>
    <row r="69" spans="1:19" ht="17.25" thickBot="1">
      <c r="A69" s="253" t="s">
        <v>55</v>
      </c>
      <c r="B69" s="255" t="str">
        <f>TEXT($G$1, "[$-ko-KR]yyyy-mm-dd(ddd) ") &amp; "오전 00:00"</f>
        <v>2021-06-01(화) 오전 00:00</v>
      </c>
      <c r="C69" s="256"/>
      <c r="D69" s="215" t="str">
        <f>TEXT($G$1, "[$-ko-KR]yyyy-mm-dd(ddd) ") &amp; "오후 14:00"</f>
        <v>2021-06-01(화) 오후 14:00</v>
      </c>
      <c r="E69" s="216"/>
      <c r="F69" s="217"/>
      <c r="G69" s="215" t="str">
        <f>TEXT($G$1, "[$-ko-KR]yyyy-mm-dd(ddd) ") &amp; "오후 19:00"</f>
        <v>2021-06-01(화) 오후 19:00</v>
      </c>
      <c r="H69" s="216"/>
      <c r="I69" s="217"/>
      <c r="J69" s="215" t="str">
        <f>TEXT($G$1, "[$-ko-KR]yyyy-mm-dd(ddd) ") &amp; "오후 21:00"</f>
        <v>2021-06-01(화) 오후 21:00</v>
      </c>
      <c r="K69" s="216"/>
      <c r="L69" s="217"/>
      <c r="M69" s="215" t="str">
        <f>TEXT($G$1+1, "[$-ko-KR]yyyy-mm-dd(ddd) ") &amp; "오전 00:00"</f>
        <v>2021-06-02(수) 오전 00:00</v>
      </c>
      <c r="N69" s="216"/>
      <c r="O69" s="217"/>
      <c r="Q69" s="213"/>
      <c r="R69" s="213"/>
      <c r="S69" s="213"/>
    </row>
    <row r="70" spans="1:19" ht="17.25" thickBot="1">
      <c r="A70" s="25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58" t="s">
        <v>58</v>
      </c>
      <c r="H70" s="159" t="s">
        <v>298</v>
      </c>
      <c r="I70" s="160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8"/>
      <c r="R70" s="218"/>
      <c r="S70" s="218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13"/>
      <c r="R71" s="213"/>
      <c r="S71" s="213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13"/>
      <c r="R72" s="213"/>
      <c r="S72" s="213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218"/>
      <c r="R73" s="218"/>
      <c r="S73" s="218"/>
    </row>
    <row r="74" spans="1:19" ht="17.25" thickBot="1">
      <c r="A74" s="125" t="s">
        <v>168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218"/>
      <c r="R74" s="218"/>
      <c r="S74" s="218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218"/>
      <c r="R75" s="218"/>
      <c r="S75" s="218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218"/>
      <c r="R76" s="218"/>
      <c r="S76" s="218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218"/>
      <c r="R77" s="218"/>
      <c r="S77" s="218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218"/>
      <c r="R78" s="218"/>
      <c r="S78" s="218"/>
    </row>
    <row r="79" spans="1:19" ht="17.25" thickBot="1">
      <c r="A79" s="125" t="s">
        <v>230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27"/>
      <c r="R80" s="228"/>
      <c r="S80" s="229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30"/>
      <c r="R81" s="231"/>
      <c r="S81" s="232"/>
    </row>
    <row r="82" spans="1:19" ht="17.25" thickBot="1">
      <c r="A82" s="125" t="s">
        <v>296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33"/>
      <c r="R82" s="234"/>
      <c r="S82" s="235"/>
    </row>
    <row r="83" spans="1:19" ht="17.25" thickBot="1">
      <c r="A83" s="125" t="s">
        <v>270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218"/>
      <c r="R83" s="218"/>
      <c r="S83" s="218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13"/>
      <c r="R84" s="213"/>
      <c r="S84" s="213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13"/>
      <c r="R85" s="213"/>
      <c r="S85" s="213"/>
    </row>
    <row r="86" spans="1:19" ht="17.25" thickBot="1">
      <c r="A86" s="125" t="s">
        <v>174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218"/>
      <c r="R86" s="218"/>
      <c r="S86" s="218"/>
    </row>
    <row r="87" spans="1:19" ht="17.25" thickBot="1">
      <c r="A87" s="125" t="s">
        <v>262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218"/>
      <c r="R87" s="218"/>
      <c r="S87" s="218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218"/>
      <c r="R88" s="218"/>
      <c r="S88" s="218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240"/>
      <c r="R89" s="241"/>
      <c r="S89" s="242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243"/>
      <c r="R90" s="244"/>
      <c r="S90" s="245"/>
    </row>
    <row r="91" spans="1:19" ht="17.25" thickBot="1">
      <c r="A91" s="132" t="s">
        <v>300</v>
      </c>
      <c r="B91" s="251">
        <f>$B$37</f>
        <v>100000</v>
      </c>
      <c r="C91" s="252"/>
      <c r="D91" s="26" t="s">
        <v>301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301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301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301</v>
      </c>
      <c r="N91" s="27">
        <f>IF(COUNT(N71:N90), SUM(N71:N90) / COUNT(N71:N90), 0)</f>
        <v>2.1683338389722643E-2</v>
      </c>
      <c r="O91" s="28">
        <f>SUM(O71:O90)</f>
        <v>43366.676779445283</v>
      </c>
      <c r="Q91" s="246"/>
      <c r="R91" s="247"/>
      <c r="S91" s="248"/>
    </row>
    <row r="93" spans="1:19" ht="17.25" thickBot="1"/>
    <row r="94" spans="1:19" ht="17.25" thickBot="1">
      <c r="A94" s="192" t="s">
        <v>46</v>
      </c>
      <c r="B94" s="193"/>
      <c r="C94" s="193"/>
      <c r="D94" s="193"/>
      <c r="E94" s="193"/>
      <c r="F94" s="193"/>
      <c r="G94" s="193"/>
      <c r="H94" s="193"/>
      <c r="I94" s="193"/>
      <c r="J94" s="193"/>
      <c r="K94" s="193"/>
      <c r="L94" s="193"/>
      <c r="M94" s="193"/>
      <c r="N94" s="193"/>
      <c r="O94" s="194"/>
      <c r="Q94" s="213"/>
      <c r="R94" s="213"/>
      <c r="S94" s="213"/>
    </row>
    <row r="95" spans="1:19" ht="17.25" thickBot="1">
      <c r="A95" s="157" t="s">
        <v>297</v>
      </c>
      <c r="B95" s="192" t="s">
        <v>49</v>
      </c>
      <c r="C95" s="194"/>
      <c r="D95" s="192" t="s">
        <v>58</v>
      </c>
      <c r="E95" s="193"/>
      <c r="F95" s="194"/>
      <c r="G95" s="219">
        <f>_xlfn.IFNA(VLOOKUP(B95, 현재가테이블!$B$2:$D$200, 2, FALSE), "-")</f>
        <v>38300000</v>
      </c>
      <c r="H95" s="220"/>
      <c r="I95" s="221"/>
      <c r="J95" s="192" t="s">
        <v>59</v>
      </c>
      <c r="K95" s="193"/>
      <c r="L95" s="194"/>
      <c r="M95" s="222">
        <f>_xlfn.IFNA(VLOOKUP(B95, 현재가테이블!$B$2:$D$200, 3, FALSE), "-")</f>
        <v>-1.9557649E-2</v>
      </c>
      <c r="N95" s="223"/>
      <c r="O95" s="224"/>
      <c r="Q95" s="213"/>
      <c r="R95" s="213"/>
      <c r="S95" s="213"/>
    </row>
    <row r="96" spans="1:19" ht="17.25" thickBot="1">
      <c r="A96" s="253" t="s">
        <v>55</v>
      </c>
      <c r="B96" s="255" t="str">
        <f>TEXT($G$1, "[$-ko-KR]yyyy-mm-dd(ddd) ") &amp; "오전 00:00"</f>
        <v>2021-06-01(화) 오전 00:00</v>
      </c>
      <c r="C96" s="256"/>
      <c r="D96" s="215" t="str">
        <f>TEXT($G$1, "[$-ko-KR]yyyy-mm-dd(ddd) ") &amp; "오후 14:00"</f>
        <v>2021-06-01(화) 오후 14:00</v>
      </c>
      <c r="E96" s="216"/>
      <c r="F96" s="217"/>
      <c r="G96" s="215" t="str">
        <f>TEXT($G$1, "[$-ko-KR]yyyy-mm-dd(ddd) ") &amp; "오후 19:00"</f>
        <v>2021-06-01(화) 오후 19:00</v>
      </c>
      <c r="H96" s="216"/>
      <c r="I96" s="217"/>
      <c r="J96" s="215" t="str">
        <f>TEXT($G$1, "[$-ko-KR]yyyy-mm-dd(ddd) ") &amp; "오후 21:00"</f>
        <v>2021-06-01(화) 오후 21:00</v>
      </c>
      <c r="K96" s="216"/>
      <c r="L96" s="217"/>
      <c r="M96" s="215" t="str">
        <f>TEXT($G$1+1, "[$-ko-KR]yyyy-mm-dd(ddd) ") &amp; "오전 00:00"</f>
        <v>2021-06-02(수) 오전 00:00</v>
      </c>
      <c r="N96" s="216"/>
      <c r="O96" s="217"/>
      <c r="Q96" s="213"/>
      <c r="R96" s="213"/>
      <c r="S96" s="213"/>
    </row>
    <row r="97" spans="1:19" ht="17.25" thickBot="1">
      <c r="A97" s="25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58" t="s">
        <v>58</v>
      </c>
      <c r="H97" s="159" t="s">
        <v>298</v>
      </c>
      <c r="I97" s="160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8"/>
      <c r="R97" s="218"/>
      <c r="S97" s="218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13"/>
      <c r="R98" s="213"/>
      <c r="S98" s="213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13"/>
      <c r="R99" s="213"/>
      <c r="S99" s="213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218"/>
      <c r="R100" s="218"/>
      <c r="S100" s="218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218"/>
      <c r="R101" s="218"/>
      <c r="S101" s="218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218"/>
      <c r="R102" s="218"/>
      <c r="S102" s="218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218"/>
      <c r="R103" s="218"/>
      <c r="S103" s="218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218"/>
      <c r="R104" s="218"/>
      <c r="S104" s="218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218"/>
      <c r="R105" s="218"/>
      <c r="S105" s="218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168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27"/>
      <c r="R107" s="228"/>
      <c r="S107" s="229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30"/>
      <c r="R108" s="231"/>
      <c r="S108" s="232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33"/>
      <c r="R109" s="234"/>
      <c r="S109" s="235"/>
    </row>
    <row r="110" spans="1:19" ht="17.25" thickBot="1">
      <c r="A110" s="125" t="s">
        <v>166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218"/>
      <c r="R110" s="218"/>
      <c r="S110" s="218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13"/>
      <c r="R111" s="213"/>
      <c r="S111" s="213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13"/>
      <c r="R112" s="213"/>
      <c r="S112" s="213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218"/>
      <c r="R113" s="218"/>
      <c r="S113" s="218"/>
    </row>
    <row r="114" spans="1:19" ht="17.25" thickBot="1">
      <c r="A114" s="125" t="s">
        <v>278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218"/>
      <c r="R114" s="218"/>
      <c r="S114" s="218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218"/>
      <c r="R115" s="218"/>
      <c r="S115" s="218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240"/>
      <c r="R116" s="241"/>
      <c r="S116" s="242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243"/>
      <c r="R117" s="244"/>
      <c r="S117" s="245"/>
    </row>
    <row r="118" spans="1:19" ht="17.25" thickBot="1">
      <c r="A118" s="132" t="s">
        <v>300</v>
      </c>
      <c r="B118" s="251">
        <f>$B$37</f>
        <v>100000</v>
      </c>
      <c r="C118" s="252"/>
      <c r="D118" s="26" t="s">
        <v>301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301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301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301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246"/>
      <c r="R118" s="247"/>
      <c r="S118" s="248"/>
    </row>
    <row r="120" spans="1:19" ht="17.25" thickBot="1"/>
    <row r="121" spans="1:19" ht="17.25" thickBot="1">
      <c r="A121" s="192" t="s">
        <v>288</v>
      </c>
      <c r="B121" s="193"/>
      <c r="C121" s="193"/>
      <c r="D121" s="193"/>
      <c r="E121" s="193"/>
      <c r="F121" s="193"/>
      <c r="G121" s="193"/>
      <c r="H121" s="193"/>
      <c r="I121" s="193"/>
      <c r="J121" s="193"/>
      <c r="K121" s="193"/>
      <c r="L121" s="193"/>
      <c r="M121" s="193"/>
      <c r="N121" s="193"/>
      <c r="O121" s="194"/>
      <c r="Q121" s="213"/>
      <c r="R121" s="213"/>
      <c r="S121" s="213"/>
    </row>
    <row r="122" spans="1:19" ht="17.25" thickBot="1">
      <c r="A122" s="157" t="s">
        <v>297</v>
      </c>
      <c r="B122" s="192" t="s">
        <v>49</v>
      </c>
      <c r="C122" s="194"/>
      <c r="D122" s="192" t="s">
        <v>58</v>
      </c>
      <c r="E122" s="193"/>
      <c r="F122" s="194"/>
      <c r="G122" s="219">
        <f>_xlfn.IFNA(VLOOKUP(B122, 현재가테이블!$B$2:$D$200, 2, FALSE), "-")</f>
        <v>38300000</v>
      </c>
      <c r="H122" s="220"/>
      <c r="I122" s="221"/>
      <c r="J122" s="192" t="s">
        <v>59</v>
      </c>
      <c r="K122" s="193"/>
      <c r="L122" s="194"/>
      <c r="M122" s="222">
        <f>_xlfn.IFNA(VLOOKUP(B122, 현재가테이블!$B$2:$D$200, 3, FALSE), "-")</f>
        <v>-1.9557649E-2</v>
      </c>
      <c r="N122" s="223"/>
      <c r="O122" s="224"/>
      <c r="Q122" s="213"/>
      <c r="R122" s="213"/>
      <c r="S122" s="213"/>
    </row>
    <row r="123" spans="1:19" ht="17.25" thickBot="1">
      <c r="A123" s="253" t="s">
        <v>55</v>
      </c>
      <c r="B123" s="255" t="str">
        <f>TEXT($G$1, "[$-ko-KR]yyyy-mm-dd(ddd) ") &amp; "오전 00:00"</f>
        <v>2021-06-01(화) 오전 00:00</v>
      </c>
      <c r="C123" s="256"/>
      <c r="D123" s="215" t="str">
        <f>TEXT($G$1, "[$-ko-KR]yyyy-mm-dd(ddd) ") &amp; "오후 14:00"</f>
        <v>2021-06-01(화) 오후 14:00</v>
      </c>
      <c r="E123" s="216"/>
      <c r="F123" s="217"/>
      <c r="G123" s="215" t="str">
        <f>TEXT($G$1, "[$-ko-KR]yyyy-mm-dd(ddd) ") &amp; "오후 19:00"</f>
        <v>2021-06-01(화) 오후 19:00</v>
      </c>
      <c r="H123" s="216"/>
      <c r="I123" s="217"/>
      <c r="J123" s="215" t="str">
        <f>TEXT($G$1, "[$-ko-KR]yyyy-mm-dd(ddd) ") &amp; "오후 21:00"</f>
        <v>2021-06-01(화) 오후 21:00</v>
      </c>
      <c r="K123" s="216"/>
      <c r="L123" s="217"/>
      <c r="M123" s="215" t="str">
        <f>TEXT($G$1+1, "[$-ko-KR]yyyy-mm-dd(ddd) ") &amp; "오전 00:00"</f>
        <v>2021-06-02(수) 오전 00:00</v>
      </c>
      <c r="N123" s="216"/>
      <c r="O123" s="217"/>
      <c r="Q123" s="213"/>
      <c r="R123" s="213"/>
      <c r="S123" s="213"/>
    </row>
    <row r="124" spans="1:19" ht="17.25" thickBot="1">
      <c r="A124" s="25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58" t="s">
        <v>58</v>
      </c>
      <c r="H124" s="159" t="s">
        <v>298</v>
      </c>
      <c r="I124" s="160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8"/>
      <c r="R124" s="218"/>
      <c r="S124" s="218"/>
    </row>
    <row r="125" spans="1:19" ht="17.25" thickBot="1">
      <c r="A125" s="123" t="s">
        <v>260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13"/>
      <c r="R125" s="213"/>
      <c r="S125" s="213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13"/>
      <c r="R126" s="213"/>
      <c r="S126" s="213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218"/>
      <c r="R127" s="218"/>
      <c r="S127" s="218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218"/>
      <c r="R128" s="218"/>
      <c r="S128" s="218"/>
    </row>
    <row r="129" spans="1:19" ht="17.25" thickBot="1">
      <c r="A129" s="127" t="s">
        <v>196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218"/>
      <c r="R129" s="218"/>
      <c r="S129" s="218"/>
    </row>
    <row r="130" spans="1:19" ht="17.25" thickBot="1">
      <c r="A130" s="125" t="s">
        <v>198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218"/>
      <c r="R130" s="218"/>
      <c r="S130" s="218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218"/>
      <c r="R131" s="218"/>
      <c r="S131" s="218"/>
    </row>
    <row r="132" spans="1:19" ht="17.25" thickBot="1">
      <c r="A132" s="125" t="s">
        <v>214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218"/>
      <c r="R132" s="218"/>
      <c r="S132" s="218"/>
    </row>
    <row r="133" spans="1:19" ht="17.25" thickBot="1">
      <c r="A133" s="125" t="s">
        <v>212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186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27"/>
      <c r="R134" s="228"/>
      <c r="S134" s="229"/>
    </row>
    <row r="135" spans="1:19">
      <c r="A135" s="123" t="s">
        <v>228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30"/>
      <c r="R135" s="231"/>
      <c r="S135" s="232"/>
    </row>
    <row r="136" spans="1:19" ht="17.25" thickBot="1">
      <c r="A136" s="125" t="s">
        <v>236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33"/>
      <c r="R136" s="234"/>
      <c r="S136" s="235"/>
    </row>
    <row r="137" spans="1:19" ht="17.25" thickBot="1">
      <c r="A137" s="125" t="s">
        <v>266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218"/>
      <c r="R137" s="218"/>
      <c r="S137" s="218"/>
    </row>
    <row r="138" spans="1:19" ht="17.25" thickBot="1">
      <c r="A138" s="125" t="s">
        <v>254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13"/>
      <c r="R138" s="213"/>
      <c r="S138" s="213"/>
    </row>
    <row r="139" spans="1:19" ht="17.25" thickBot="1">
      <c r="A139" s="127" t="s">
        <v>264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13"/>
      <c r="R139" s="213"/>
      <c r="S139" s="213"/>
    </row>
    <row r="140" spans="1:19" ht="17.25" thickBot="1">
      <c r="A140" s="125" t="s">
        <v>218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218"/>
      <c r="R140" s="218"/>
      <c r="S140" s="218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218"/>
      <c r="R141" s="218"/>
      <c r="S141" s="218"/>
    </row>
    <row r="142" spans="1:19" ht="17.25" thickBot="1">
      <c r="A142" s="125" t="s">
        <v>220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218"/>
      <c r="R142" s="218"/>
      <c r="S142" s="218"/>
    </row>
    <row r="143" spans="1:19">
      <c r="A143" s="125" t="s">
        <v>268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240"/>
      <c r="R143" s="241"/>
      <c r="S143" s="242"/>
    </row>
    <row r="144" spans="1:19" ht="17.25" thickBot="1">
      <c r="A144" s="130" t="s">
        <v>172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243"/>
      <c r="R144" s="244"/>
      <c r="S144" s="245"/>
    </row>
    <row r="145" spans="1:19" ht="17.25" thickBot="1">
      <c r="A145" s="132" t="s">
        <v>300</v>
      </c>
      <c r="B145" s="251">
        <f>$B$37</f>
        <v>100000</v>
      </c>
      <c r="C145" s="252"/>
      <c r="D145" s="26" t="s">
        <v>301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301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301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301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246"/>
      <c r="R145" s="247"/>
      <c r="S145" s="248"/>
    </row>
    <row r="147" spans="1:19" ht="17.25" thickBot="1"/>
    <row r="148" spans="1:19" ht="17.25" thickBot="1">
      <c r="A148" s="192" t="s">
        <v>289</v>
      </c>
      <c r="B148" s="193"/>
      <c r="C148" s="193"/>
      <c r="D148" s="193"/>
      <c r="E148" s="193"/>
      <c r="F148" s="193"/>
      <c r="G148" s="193"/>
      <c r="H148" s="193"/>
      <c r="I148" s="193"/>
      <c r="J148" s="193"/>
      <c r="K148" s="193"/>
      <c r="L148" s="193"/>
      <c r="M148" s="193"/>
      <c r="N148" s="193"/>
      <c r="O148" s="194"/>
      <c r="Q148" s="213"/>
      <c r="R148" s="213"/>
      <c r="S148" s="213"/>
    </row>
    <row r="149" spans="1:19" ht="17.25" thickBot="1">
      <c r="A149" s="157" t="s">
        <v>297</v>
      </c>
      <c r="B149" s="192" t="s">
        <v>49</v>
      </c>
      <c r="C149" s="194"/>
      <c r="D149" s="192" t="s">
        <v>58</v>
      </c>
      <c r="E149" s="193"/>
      <c r="F149" s="194"/>
      <c r="G149" s="219">
        <f>_xlfn.IFNA(VLOOKUP(B149, 현재가테이블!$B$2:$D$200, 2, FALSE), "-")</f>
        <v>38300000</v>
      </c>
      <c r="H149" s="220"/>
      <c r="I149" s="221"/>
      <c r="J149" s="192" t="s">
        <v>59</v>
      </c>
      <c r="K149" s="193"/>
      <c r="L149" s="194"/>
      <c r="M149" s="222">
        <f>_xlfn.IFNA(VLOOKUP(B149, 현재가테이블!$B$2:$D$200, 3, FALSE), "-")</f>
        <v>-1.9557649E-2</v>
      </c>
      <c r="N149" s="223"/>
      <c r="O149" s="224"/>
      <c r="Q149" s="213"/>
      <c r="R149" s="213"/>
      <c r="S149" s="213"/>
    </row>
    <row r="150" spans="1:19" ht="17.25" thickBot="1">
      <c r="A150" s="253" t="s">
        <v>55</v>
      </c>
      <c r="B150" s="255" t="str">
        <f>TEXT($G$1, "[$-ko-KR]yyyy-mm-dd(ddd) ") &amp; "오전 00:00"</f>
        <v>2021-06-01(화) 오전 00:00</v>
      </c>
      <c r="C150" s="256"/>
      <c r="D150" s="215" t="str">
        <f>TEXT($G$1, "[$-ko-KR]yyyy-mm-dd(ddd) ") &amp; "오후 14:00"</f>
        <v>2021-06-01(화) 오후 14:00</v>
      </c>
      <c r="E150" s="216"/>
      <c r="F150" s="217"/>
      <c r="G150" s="215" t="str">
        <f>TEXT($G$1, "[$-ko-KR]yyyy-mm-dd(ddd) ") &amp; "오후 19:00"</f>
        <v>2021-06-01(화) 오후 19:00</v>
      </c>
      <c r="H150" s="216"/>
      <c r="I150" s="217"/>
      <c r="J150" s="215" t="str">
        <f>TEXT($G$1, "[$-ko-KR]yyyy-mm-dd(ddd) ") &amp; "오후 21:00"</f>
        <v>2021-06-01(화) 오후 21:00</v>
      </c>
      <c r="K150" s="216"/>
      <c r="L150" s="217"/>
      <c r="M150" s="215" t="str">
        <f>TEXT($G$1+1, "[$-ko-KR]yyyy-mm-dd(ddd) ") &amp; "오전 00:00"</f>
        <v>2021-06-02(수) 오전 00:00</v>
      </c>
      <c r="N150" s="216"/>
      <c r="O150" s="217"/>
      <c r="Q150" s="213"/>
      <c r="R150" s="213"/>
      <c r="S150" s="213"/>
    </row>
    <row r="151" spans="1:19" ht="17.25" thickBot="1">
      <c r="A151" s="25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58" t="s">
        <v>58</v>
      </c>
      <c r="H151" s="159" t="s">
        <v>298</v>
      </c>
      <c r="I151" s="160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8"/>
      <c r="R151" s="218"/>
      <c r="S151" s="218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13"/>
      <c r="R152" s="213"/>
      <c r="S152" s="213"/>
    </row>
    <row r="153" spans="1:19" ht="17.25" thickBot="1">
      <c r="A153" s="125" t="s">
        <v>216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13"/>
      <c r="R153" s="213"/>
      <c r="S153" s="213"/>
    </row>
    <row r="154" spans="1:19" ht="17.25" thickBot="1">
      <c r="A154" s="125" t="s">
        <v>182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218"/>
      <c r="R154" s="218"/>
      <c r="S154" s="218"/>
    </row>
    <row r="155" spans="1:19" ht="17.25" thickBot="1">
      <c r="A155" s="125" t="s">
        <v>256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218"/>
      <c r="R155" s="218"/>
      <c r="S155" s="218"/>
    </row>
    <row r="156" spans="1:19" ht="17.25" thickBot="1">
      <c r="A156" s="127" t="s">
        <v>250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218"/>
      <c r="R156" s="218"/>
      <c r="S156" s="218"/>
    </row>
    <row r="157" spans="1:19" ht="17.25" thickBot="1">
      <c r="A157" s="125" t="s">
        <v>282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218"/>
      <c r="R157" s="218"/>
      <c r="S157" s="218"/>
    </row>
    <row r="158" spans="1:19" ht="17.25" thickBot="1">
      <c r="A158" s="125" t="s">
        <v>284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218"/>
      <c r="R158" s="218"/>
      <c r="S158" s="218"/>
    </row>
    <row r="159" spans="1:19" ht="17.25" thickBot="1">
      <c r="A159" s="125" t="s">
        <v>208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218"/>
      <c r="R159" s="218"/>
      <c r="S159" s="218"/>
    </row>
    <row r="160" spans="1:19" ht="17.25" thickBot="1">
      <c r="A160" s="125" t="s">
        <v>170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200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27"/>
      <c r="R161" s="228"/>
      <c r="S161" s="229"/>
    </row>
    <row r="162" spans="1:19">
      <c r="A162" s="123" t="s">
        <v>258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30"/>
      <c r="R162" s="231"/>
      <c r="S162" s="232"/>
    </row>
    <row r="163" spans="1:19" ht="17.25" thickBot="1">
      <c r="A163" s="125" t="s">
        <v>240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33"/>
      <c r="R163" s="234"/>
      <c r="S163" s="235"/>
    </row>
    <row r="164" spans="1:19" ht="17.25" thickBot="1">
      <c r="A164" s="125" t="s">
        <v>202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218"/>
      <c r="R164" s="218"/>
      <c r="S164" s="218"/>
    </row>
    <row r="165" spans="1:19" ht="17.25" thickBot="1">
      <c r="A165" s="125" t="s">
        <v>232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13"/>
      <c r="R165" s="213"/>
      <c r="S165" s="213"/>
    </row>
    <row r="166" spans="1:19" ht="17.25" thickBot="1">
      <c r="A166" s="127" t="s">
        <v>226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13"/>
      <c r="R166" s="213"/>
      <c r="S166" s="213"/>
    </row>
    <row r="167" spans="1:19" ht="17.25" thickBot="1">
      <c r="A167" s="125" t="s">
        <v>210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218"/>
      <c r="R167" s="218"/>
      <c r="S167" s="218"/>
    </row>
    <row r="168" spans="1:19" ht="17.25" thickBot="1">
      <c r="A168" s="125" t="s">
        <v>234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218"/>
      <c r="R168" s="218"/>
      <c r="S168" s="218"/>
    </row>
    <row r="169" spans="1:19" ht="17.25" thickBot="1">
      <c r="A169" s="125" t="s">
        <v>252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218"/>
      <c r="R169" s="218"/>
      <c r="S169" s="218"/>
    </row>
    <row r="170" spans="1:19">
      <c r="A170" s="125" t="s">
        <v>238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240"/>
      <c r="R170" s="241"/>
      <c r="S170" s="242"/>
    </row>
    <row r="171" spans="1:19" ht="17.25" thickBot="1">
      <c r="A171" s="130" t="s">
        <v>246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243"/>
      <c r="R171" s="244"/>
      <c r="S171" s="245"/>
    </row>
    <row r="172" spans="1:19" ht="17.25" thickBot="1">
      <c r="A172" s="132" t="s">
        <v>300</v>
      </c>
      <c r="B172" s="251">
        <f>$B$37</f>
        <v>100000</v>
      </c>
      <c r="C172" s="252"/>
      <c r="D172" s="26" t="s">
        <v>301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301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301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301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246"/>
      <c r="R172" s="247"/>
      <c r="S172" s="248"/>
    </row>
    <row r="174" spans="1:19" ht="17.25" thickBot="1"/>
    <row r="175" spans="1:19" ht="17.25" thickBot="1">
      <c r="A175" s="192" t="s">
        <v>285</v>
      </c>
      <c r="B175" s="193"/>
      <c r="C175" s="193"/>
      <c r="D175" s="193"/>
      <c r="E175" s="193"/>
      <c r="F175" s="193"/>
      <c r="G175" s="193"/>
      <c r="H175" s="193"/>
      <c r="I175" s="193"/>
      <c r="J175" s="193"/>
      <c r="K175" s="193"/>
      <c r="L175" s="193"/>
      <c r="M175" s="193"/>
      <c r="N175" s="193"/>
      <c r="O175" s="194"/>
      <c r="Q175" s="213"/>
      <c r="R175" s="213"/>
      <c r="S175" s="213"/>
    </row>
    <row r="176" spans="1:19" ht="17.25" thickBot="1">
      <c r="A176" s="157" t="s">
        <v>297</v>
      </c>
      <c r="B176" s="192" t="s">
        <v>49</v>
      </c>
      <c r="C176" s="194"/>
      <c r="D176" s="192" t="s">
        <v>58</v>
      </c>
      <c r="E176" s="193"/>
      <c r="F176" s="194"/>
      <c r="G176" s="219">
        <f>_xlfn.IFNA(VLOOKUP(B176, 현재가테이블!$B$2:$D$200, 2, FALSE), "-")</f>
        <v>38300000</v>
      </c>
      <c r="H176" s="220"/>
      <c r="I176" s="221"/>
      <c r="J176" s="192" t="s">
        <v>59</v>
      </c>
      <c r="K176" s="193"/>
      <c r="L176" s="194"/>
      <c r="M176" s="222">
        <f>_xlfn.IFNA(VLOOKUP(B176, 현재가테이블!$B$2:$D$200, 3, FALSE), "-")</f>
        <v>-1.9557649E-2</v>
      </c>
      <c r="N176" s="223"/>
      <c r="O176" s="224"/>
      <c r="Q176" s="213"/>
      <c r="R176" s="213"/>
      <c r="S176" s="213"/>
    </row>
    <row r="177" spans="1:19" ht="17.25" thickBot="1">
      <c r="A177" s="253" t="s">
        <v>55</v>
      </c>
      <c r="B177" s="255" t="str">
        <f>TEXT($G$1, "[$-ko-KR]yyyy-mm-dd(ddd) ") &amp; "오전 00:00"</f>
        <v>2021-06-01(화) 오전 00:00</v>
      </c>
      <c r="C177" s="256"/>
      <c r="D177" s="215" t="str">
        <f>TEXT($G$1, "[$-ko-KR]yyyy-mm-dd(ddd) ") &amp; "오후 14:00"</f>
        <v>2021-06-01(화) 오후 14:00</v>
      </c>
      <c r="E177" s="216"/>
      <c r="F177" s="217"/>
      <c r="G177" s="215" t="str">
        <f>TEXT($G$1, "[$-ko-KR]yyyy-mm-dd(ddd) ") &amp; "오후 19:00"</f>
        <v>2021-06-01(화) 오후 19:00</v>
      </c>
      <c r="H177" s="216"/>
      <c r="I177" s="217"/>
      <c r="J177" s="215" t="str">
        <f>TEXT($G$1, "[$-ko-KR]yyyy-mm-dd(ddd) ") &amp; "오후 21:00"</f>
        <v>2021-06-01(화) 오후 21:00</v>
      </c>
      <c r="K177" s="216"/>
      <c r="L177" s="217"/>
      <c r="M177" s="215" t="str">
        <f>TEXT($G$1+1, "[$-ko-KR]yyyy-mm-dd(ddd) ") &amp; "오전 00:00"</f>
        <v>2021-06-02(수) 오전 00:00</v>
      </c>
      <c r="N177" s="216"/>
      <c r="O177" s="217"/>
      <c r="Q177" s="213"/>
      <c r="R177" s="213"/>
      <c r="S177" s="213"/>
    </row>
    <row r="178" spans="1:19" ht="17.25" thickBot="1">
      <c r="A178" s="25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58" t="s">
        <v>58</v>
      </c>
      <c r="H178" s="159" t="s">
        <v>298</v>
      </c>
      <c r="I178" s="160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8"/>
      <c r="R178" s="218"/>
      <c r="S178" s="218"/>
    </row>
    <row r="179" spans="1:19" ht="17.25" thickBot="1">
      <c r="A179" s="123" t="s">
        <v>202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13"/>
      <c r="R179" s="213"/>
      <c r="S179" s="213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13"/>
      <c r="R180" s="213"/>
      <c r="S180" s="213"/>
    </row>
    <row r="181" spans="1:19" ht="17.25" thickBot="1">
      <c r="A181" s="125" t="s">
        <v>218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218"/>
      <c r="R181" s="218"/>
      <c r="S181" s="218"/>
    </row>
    <row r="182" spans="1:19" ht="17.25" thickBot="1">
      <c r="A182" s="125" t="s">
        <v>232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218"/>
      <c r="R182" s="218"/>
      <c r="S182" s="218"/>
    </row>
    <row r="183" spans="1:19" ht="17.25" thickBot="1">
      <c r="A183" s="127" t="s">
        <v>226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218"/>
      <c r="R183" s="218"/>
      <c r="S183" s="218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218"/>
      <c r="R184" s="218"/>
      <c r="S184" s="218"/>
    </row>
    <row r="185" spans="1:19" ht="17.25" thickBot="1">
      <c r="A185" s="125" t="s">
        <v>194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218"/>
      <c r="R185" s="218"/>
      <c r="S185" s="218"/>
    </row>
    <row r="186" spans="1:19" ht="17.25" thickBot="1">
      <c r="A186" s="125" t="s">
        <v>210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218"/>
      <c r="R186" s="218"/>
      <c r="S186" s="218"/>
    </row>
    <row r="187" spans="1:19" ht="17.25" thickBot="1">
      <c r="A187" s="125" t="s">
        <v>280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234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27"/>
      <c r="R188" s="228"/>
      <c r="S188" s="229"/>
    </row>
    <row r="189" spans="1:19">
      <c r="A189" s="123" t="s">
        <v>252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30"/>
      <c r="R189" s="231"/>
      <c r="S189" s="232"/>
    </row>
    <row r="190" spans="1:19" ht="17.25" thickBot="1">
      <c r="A190" s="125" t="s">
        <v>220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33"/>
      <c r="R190" s="234"/>
      <c r="S190" s="235"/>
    </row>
    <row r="191" spans="1:19" ht="17.25" thickBot="1">
      <c r="A191" s="125" t="s">
        <v>238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218"/>
      <c r="R191" s="218"/>
      <c r="S191" s="218"/>
    </row>
    <row r="192" spans="1:19" ht="17.25" thickBot="1">
      <c r="A192" s="125" t="s">
        <v>164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13"/>
      <c r="R192" s="213"/>
      <c r="S192" s="213"/>
    </row>
    <row r="193" spans="1:19" ht="17.25" thickBot="1">
      <c r="A193" s="127" t="s">
        <v>268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13"/>
      <c r="R193" s="213"/>
      <c r="S193" s="213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218"/>
      <c r="R194" s="218"/>
      <c r="S194" s="218"/>
    </row>
    <row r="195" spans="1:19" ht="17.25" thickBot="1">
      <c r="A195" s="125" t="s">
        <v>172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218"/>
      <c r="R195" s="218"/>
      <c r="S195" s="218"/>
    </row>
    <row r="196" spans="1:19" ht="17.25" thickBot="1">
      <c r="A196" s="125" t="s">
        <v>192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218"/>
      <c r="R196" s="218"/>
      <c r="S196" s="218"/>
    </row>
    <row r="197" spans="1:19">
      <c r="A197" s="125" t="s">
        <v>274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240"/>
      <c r="R197" s="241"/>
      <c r="S197" s="242"/>
    </row>
    <row r="198" spans="1:19" ht="17.25" thickBot="1">
      <c r="A198" s="130" t="s">
        <v>246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243"/>
      <c r="R198" s="244"/>
      <c r="S198" s="245"/>
    </row>
    <row r="199" spans="1:19" ht="17.25" thickBot="1">
      <c r="A199" s="132" t="s">
        <v>300</v>
      </c>
      <c r="B199" s="251">
        <f>$B$37</f>
        <v>100000</v>
      </c>
      <c r="C199" s="252"/>
      <c r="D199" s="26" t="s">
        <v>301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301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301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301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246"/>
      <c r="R199" s="247"/>
      <c r="S199" s="24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2" t="s">
        <v>0</v>
      </c>
      <c r="B1" s="193"/>
      <c r="C1" s="193"/>
      <c r="D1" s="193"/>
      <c r="E1" s="193"/>
      <c r="F1" s="194"/>
      <c r="G1" s="195">
        <v>44349</v>
      </c>
      <c r="H1" s="196"/>
      <c r="I1" s="197"/>
      <c r="J1" s="192" t="s">
        <v>1</v>
      </c>
      <c r="K1" s="193"/>
      <c r="L1" s="193"/>
      <c r="M1" s="193"/>
      <c r="N1" s="193"/>
      <c r="O1" s="194"/>
      <c r="Q1" s="192" t="s">
        <v>2</v>
      </c>
      <c r="R1" s="194"/>
    </row>
    <row r="2" spans="1:19" ht="17.25" customHeight="1">
      <c r="A2" s="117" t="s">
        <v>3</v>
      </c>
      <c r="B2" s="198" t="s">
        <v>8</v>
      </c>
      <c r="C2" s="199"/>
      <c r="D2" s="199"/>
      <c r="E2" s="199"/>
      <c r="F2" s="200"/>
      <c r="G2" s="201" t="s">
        <v>46</v>
      </c>
      <c r="H2" s="202"/>
      <c r="I2" s="203"/>
      <c r="J2" s="1" t="s">
        <v>3</v>
      </c>
      <c r="K2" s="198" t="s">
        <v>350</v>
      </c>
      <c r="L2" s="199"/>
      <c r="M2" s="199"/>
      <c r="N2" s="199"/>
      <c r="O2" s="200"/>
      <c r="Q2" s="2" t="s">
        <v>6</v>
      </c>
      <c r="R2" s="3">
        <v>0.375</v>
      </c>
    </row>
    <row r="3" spans="1:19" ht="17.25" customHeight="1" thickBot="1">
      <c r="A3" s="118" t="s">
        <v>7</v>
      </c>
      <c r="B3" s="204" t="s">
        <v>358</v>
      </c>
      <c r="C3" s="205"/>
      <c r="D3" s="205"/>
      <c r="E3" s="205"/>
      <c r="F3" s="206"/>
      <c r="G3" s="20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08"/>
      <c r="I3" s="209"/>
      <c r="J3" s="4" t="s">
        <v>7</v>
      </c>
      <c r="K3" s="204" t="s">
        <v>351</v>
      </c>
      <c r="L3" s="205"/>
      <c r="M3" s="205"/>
      <c r="N3" s="205"/>
      <c r="O3" s="2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4" t="s">
        <v>16</v>
      </c>
      <c r="C4" s="205"/>
      <c r="D4" s="205"/>
      <c r="E4" s="205"/>
      <c r="F4" s="206"/>
      <c r="G4" s="201" t="s">
        <v>44</v>
      </c>
      <c r="H4" s="202"/>
      <c r="I4" s="203"/>
      <c r="J4" s="4" t="s">
        <v>11</v>
      </c>
      <c r="K4" s="204" t="s">
        <v>352</v>
      </c>
      <c r="L4" s="205"/>
      <c r="M4" s="205"/>
      <c r="N4" s="205"/>
      <c r="O4" s="2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4" t="s">
        <v>349</v>
      </c>
      <c r="C5" s="205"/>
      <c r="D5" s="205"/>
      <c r="E5" s="205"/>
      <c r="F5" s="206"/>
      <c r="G5" s="20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08"/>
      <c r="I5" s="209"/>
      <c r="J5" s="4" t="s">
        <v>15</v>
      </c>
      <c r="K5" s="204" t="s">
        <v>353</v>
      </c>
      <c r="L5" s="205"/>
      <c r="M5" s="205"/>
      <c r="N5" s="205"/>
      <c r="O5" s="206"/>
    </row>
    <row r="6" spans="1:19">
      <c r="A6" s="118" t="s">
        <v>18</v>
      </c>
      <c r="B6" s="204"/>
      <c r="C6" s="205"/>
      <c r="D6" s="205"/>
      <c r="E6" s="205"/>
      <c r="F6" s="206"/>
      <c r="G6" s="201" t="s">
        <v>45</v>
      </c>
      <c r="H6" s="202"/>
      <c r="I6" s="203"/>
      <c r="J6" s="4" t="s">
        <v>18</v>
      </c>
      <c r="K6" s="204" t="s">
        <v>354</v>
      </c>
      <c r="L6" s="205"/>
      <c r="M6" s="205"/>
      <c r="N6" s="205"/>
      <c r="O6" s="206"/>
    </row>
    <row r="7" spans="1:19" ht="17.25" thickBot="1">
      <c r="A7" s="118" t="s">
        <v>21</v>
      </c>
      <c r="B7" s="204"/>
      <c r="C7" s="205"/>
      <c r="D7" s="205"/>
      <c r="E7" s="205"/>
      <c r="F7" s="206"/>
      <c r="G7" s="20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08"/>
      <c r="I7" s="209"/>
      <c r="J7" s="4" t="s">
        <v>21</v>
      </c>
      <c r="K7" s="204" t="s">
        <v>355</v>
      </c>
      <c r="L7" s="205"/>
      <c r="M7" s="205"/>
      <c r="N7" s="205"/>
      <c r="O7" s="206"/>
    </row>
    <row r="8" spans="1:19" ht="17.25" thickBot="1">
      <c r="A8" s="118" t="s">
        <v>24</v>
      </c>
      <c r="B8" s="204"/>
      <c r="C8" s="205"/>
      <c r="D8" s="205"/>
      <c r="E8" s="205"/>
      <c r="F8" s="206"/>
      <c r="G8" s="201" t="s">
        <v>285</v>
      </c>
      <c r="H8" s="202"/>
      <c r="I8" s="203"/>
      <c r="J8" s="4" t="s">
        <v>24</v>
      </c>
      <c r="K8" s="204"/>
      <c r="L8" s="205"/>
      <c r="M8" s="205"/>
      <c r="N8" s="205"/>
      <c r="O8" s="206"/>
      <c r="Q8" s="192" t="s">
        <v>27</v>
      </c>
      <c r="R8" s="194"/>
    </row>
    <row r="9" spans="1:19" ht="17.25" thickBot="1">
      <c r="A9" s="118" t="s">
        <v>28</v>
      </c>
      <c r="B9" s="204"/>
      <c r="C9" s="205"/>
      <c r="D9" s="205"/>
      <c r="E9" s="205"/>
      <c r="F9" s="206"/>
      <c r="G9" s="20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08"/>
      <c r="I9" s="209"/>
      <c r="J9" s="4" t="s">
        <v>28</v>
      </c>
      <c r="K9" s="204"/>
      <c r="L9" s="205"/>
      <c r="M9" s="205"/>
      <c r="N9" s="205"/>
      <c r="O9" s="206"/>
      <c r="Q9" s="2" t="s">
        <v>29</v>
      </c>
      <c r="R9" s="6">
        <v>10</v>
      </c>
    </row>
    <row r="10" spans="1:19">
      <c r="A10" s="118" t="s">
        <v>30</v>
      </c>
      <c r="B10" s="204"/>
      <c r="C10" s="205"/>
      <c r="D10" s="205"/>
      <c r="E10" s="205"/>
      <c r="F10" s="206"/>
      <c r="G10" s="201" t="s">
        <v>47</v>
      </c>
      <c r="H10" s="202"/>
      <c r="I10" s="203"/>
      <c r="J10" s="4" t="s">
        <v>30</v>
      </c>
      <c r="K10" s="204" t="s">
        <v>356</v>
      </c>
      <c r="L10" s="205"/>
      <c r="M10" s="205"/>
      <c r="N10" s="205"/>
      <c r="O10" s="206"/>
      <c r="Q10" s="2" t="s">
        <v>31</v>
      </c>
      <c r="R10" s="6">
        <v>100</v>
      </c>
    </row>
    <row r="11" spans="1:19" ht="17.25" thickBot="1">
      <c r="A11" s="119" t="s">
        <v>32</v>
      </c>
      <c r="B11" s="210" t="s">
        <v>357</v>
      </c>
      <c r="C11" s="211"/>
      <c r="D11" s="211"/>
      <c r="E11" s="211"/>
      <c r="F11" s="212"/>
      <c r="G11" s="20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08"/>
      <c r="I11" s="209"/>
      <c r="J11" s="7" t="s">
        <v>32</v>
      </c>
      <c r="K11" s="210" t="s">
        <v>348</v>
      </c>
      <c r="L11" s="211"/>
      <c r="M11" s="211"/>
      <c r="N11" s="211"/>
      <c r="O11" s="212"/>
      <c r="Q11" s="65" t="s">
        <v>33</v>
      </c>
      <c r="R11" s="8">
        <v>1000</v>
      </c>
    </row>
    <row r="12" spans="1:19" ht="17.25" thickBot="1"/>
    <row r="13" spans="1:19" ht="17.25" customHeight="1" thickBot="1">
      <c r="A13" s="192" t="s">
        <v>34</v>
      </c>
      <c r="B13" s="193"/>
      <c r="C13" s="193"/>
      <c r="D13" s="193"/>
      <c r="E13" s="193"/>
      <c r="F13" s="193"/>
      <c r="G13" s="193"/>
      <c r="H13" s="193"/>
      <c r="I13" s="193"/>
      <c r="J13" s="193"/>
      <c r="K13" s="193"/>
      <c r="L13" s="193"/>
      <c r="M13" s="193"/>
      <c r="N13" s="193"/>
      <c r="O13" s="194"/>
      <c r="Q13" s="213"/>
      <c r="R13" s="213"/>
      <c r="S13" s="213"/>
    </row>
    <row r="14" spans="1:19" ht="17.25" customHeight="1" thickBot="1">
      <c r="A14" s="164" t="s">
        <v>35</v>
      </c>
      <c r="B14" s="192" t="s">
        <v>36</v>
      </c>
      <c r="C14" s="194"/>
      <c r="D14" s="192" t="s">
        <v>37</v>
      </c>
      <c r="E14" s="193"/>
      <c r="F14" s="194"/>
      <c r="G14" s="219">
        <f>_xlfn.IFNA(VLOOKUP(B14, 현재가테이블!$B$2:$D$200, 2, FALSE), "-")</f>
        <v>38300000</v>
      </c>
      <c r="H14" s="220"/>
      <c r="I14" s="221"/>
      <c r="J14" s="192" t="s">
        <v>38</v>
      </c>
      <c r="K14" s="193"/>
      <c r="L14" s="194"/>
      <c r="M14" s="222">
        <f>_xlfn.IFNA(VLOOKUP(B14, 현재가테이블!$B$2:$D$200, 3, FALSE), "-")</f>
        <v>-1.9557649E-2</v>
      </c>
      <c r="N14" s="223"/>
      <c r="O14" s="224"/>
      <c r="Q14" s="213"/>
      <c r="R14" s="213"/>
      <c r="S14" s="213"/>
    </row>
    <row r="15" spans="1:19" ht="17.25" customHeight="1" thickBot="1">
      <c r="A15" s="257" t="s">
        <v>39</v>
      </c>
      <c r="B15" s="258" t="str">
        <f>TEXT($G$1, "[$-ko-KR]yyyy-mm-dd(ddd) ") &amp; "오전 00:00"</f>
        <v>2021-06-02(수) 오전 00:00</v>
      </c>
      <c r="C15" s="259"/>
      <c r="D15" s="215" t="str">
        <f>TEXT($G$1, "[$-ko-KR]yyyy-mm-dd(ddd) ") &amp; "오후 14:00"</f>
        <v>2021-06-02(수) 오후 14:00</v>
      </c>
      <c r="E15" s="216"/>
      <c r="F15" s="217"/>
      <c r="G15" s="215" t="str">
        <f>TEXT($G$1, "[$-ko-KR]yyyy-mm-dd(ddd) ") &amp; "오후 19:00"</f>
        <v>2021-06-02(수) 오후 19:00</v>
      </c>
      <c r="H15" s="216"/>
      <c r="I15" s="217"/>
      <c r="J15" s="215" t="str">
        <f>TEXT($G$1, "[$-ko-KR]yyyy-mm-dd(ddd) ") &amp; "오후 21:00"</f>
        <v>2021-06-02(수) 오후 21:00</v>
      </c>
      <c r="K15" s="216"/>
      <c r="L15" s="217"/>
      <c r="M15" s="215" t="str">
        <f>TEXT($G$1+1, "[$-ko-KR]yyyy-mm-dd(ddd) ") &amp; "오전 00:00"</f>
        <v>2021-06-03(목) 오전 00:00</v>
      </c>
      <c r="N15" s="216"/>
      <c r="O15" s="217"/>
      <c r="Q15" s="213"/>
      <c r="R15" s="213"/>
      <c r="S15" s="213"/>
    </row>
    <row r="16" spans="1:19" ht="17.25" customHeight="1" thickBot="1">
      <c r="A16" s="25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8"/>
      <c r="R16" s="218"/>
      <c r="S16" s="21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13"/>
      <c r="R17" s="213"/>
      <c r="S17" s="213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13"/>
      <c r="R18" s="213"/>
      <c r="S18" s="213"/>
    </row>
    <row r="19" spans="1:19" ht="17.25" customHeight="1" thickBot="1">
      <c r="A19" s="162" t="s">
        <v>246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218"/>
      <c r="R19" s="218"/>
      <c r="S19" s="218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218"/>
      <c r="R20" s="218"/>
      <c r="S20" s="218"/>
    </row>
    <row r="21" spans="1:19" ht="17.25" customHeight="1" thickBot="1">
      <c r="A21" s="163" t="s">
        <v>202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218"/>
      <c r="R21" s="218"/>
      <c r="S21" s="218"/>
    </row>
    <row r="22" spans="1:19" ht="17.25" customHeight="1" thickBot="1">
      <c r="A22" s="162" t="s">
        <v>212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218"/>
      <c r="R22" s="218"/>
      <c r="S22" s="218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8"/>
      <c r="R23" s="218"/>
      <c r="S23" s="218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8"/>
      <c r="R24" s="218"/>
      <c r="S24" s="218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7"/>
      <c r="R26" s="228"/>
      <c r="S26" s="229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0"/>
      <c r="R27" s="231"/>
      <c r="S27" s="232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3"/>
      <c r="R28" s="234"/>
      <c r="S28" s="235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8"/>
      <c r="R29" s="218"/>
      <c r="S29" s="218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3"/>
      <c r="R30" s="213"/>
      <c r="S30" s="21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3"/>
      <c r="R31" s="213"/>
      <c r="S31" s="21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8"/>
      <c r="R32" s="218"/>
      <c r="S32" s="21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8"/>
      <c r="R33" s="218"/>
      <c r="S33" s="21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8"/>
      <c r="R34" s="218"/>
      <c r="S34" s="21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0"/>
      <c r="R35" s="241"/>
      <c r="S35" s="24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3"/>
      <c r="R36" s="244"/>
      <c r="S36" s="245"/>
    </row>
    <row r="37" spans="1:19" ht="17.25" customHeight="1" thickBot="1">
      <c r="A37" s="132" t="s">
        <v>42</v>
      </c>
      <c r="B37" s="251">
        <v>100000</v>
      </c>
      <c r="C37" s="252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246"/>
      <c r="R37" s="247"/>
      <c r="S37" s="248"/>
    </row>
    <row r="38" spans="1:19" ht="17.25" customHeight="1"/>
    <row r="39" spans="1:19" ht="17.25" customHeight="1" thickBot="1"/>
    <row r="40" spans="1:19" ht="17.25" customHeight="1" thickBot="1">
      <c r="A40" s="192" t="s">
        <v>44</v>
      </c>
      <c r="B40" s="193"/>
      <c r="C40" s="193"/>
      <c r="D40" s="193"/>
      <c r="E40" s="193"/>
      <c r="F40" s="193"/>
      <c r="G40" s="193"/>
      <c r="H40" s="193"/>
      <c r="I40" s="193"/>
      <c r="J40" s="193"/>
      <c r="K40" s="193"/>
      <c r="L40" s="193"/>
      <c r="M40" s="193"/>
      <c r="N40" s="193"/>
      <c r="O40" s="194"/>
      <c r="Q40" s="213"/>
      <c r="R40" s="213"/>
      <c r="S40" s="213"/>
    </row>
    <row r="41" spans="1:19" ht="17.25" customHeight="1" thickBot="1">
      <c r="A41" s="164" t="s">
        <v>297</v>
      </c>
      <c r="B41" s="192" t="s">
        <v>49</v>
      </c>
      <c r="C41" s="194"/>
      <c r="D41" s="192" t="s">
        <v>58</v>
      </c>
      <c r="E41" s="193"/>
      <c r="F41" s="194"/>
      <c r="G41" s="219">
        <f>_xlfn.IFNA(VLOOKUP(B41, 현재가테이블!$B$2:$D$200, 2, FALSE), "-")</f>
        <v>38300000</v>
      </c>
      <c r="H41" s="220"/>
      <c r="I41" s="221"/>
      <c r="J41" s="192" t="s">
        <v>59</v>
      </c>
      <c r="K41" s="193"/>
      <c r="L41" s="194"/>
      <c r="M41" s="222">
        <f>_xlfn.IFNA(VLOOKUP(B41, 현재가테이블!$B$2:$D$200, 3, FALSE), "-")</f>
        <v>-1.9557649E-2</v>
      </c>
      <c r="N41" s="223"/>
      <c r="O41" s="224"/>
      <c r="Q41" s="213"/>
      <c r="R41" s="213"/>
      <c r="S41" s="213"/>
    </row>
    <row r="42" spans="1:19" ht="17.25" customHeight="1" thickBot="1">
      <c r="A42" s="253" t="s">
        <v>55</v>
      </c>
      <c r="B42" s="255" t="str">
        <f>TEXT($G$1, "[$-ko-KR]yyyy-mm-dd(ddd) ") &amp; "오전 00:00"</f>
        <v>2021-06-02(수) 오전 00:00</v>
      </c>
      <c r="C42" s="256"/>
      <c r="D42" s="215" t="str">
        <f>TEXT($G$1, "[$-ko-KR]yyyy-mm-dd(ddd) ") &amp; "오후 14:00"</f>
        <v>2021-06-02(수) 오후 14:00</v>
      </c>
      <c r="E42" s="216"/>
      <c r="F42" s="217"/>
      <c r="G42" s="215" t="str">
        <f>TEXT($G$1, "[$-ko-KR]yyyy-mm-dd(ddd) ") &amp; "오후 19:00"</f>
        <v>2021-06-02(수) 오후 19:00</v>
      </c>
      <c r="H42" s="216"/>
      <c r="I42" s="217"/>
      <c r="J42" s="215" t="str">
        <f>TEXT($G$1, "[$-ko-KR]yyyy-mm-dd(ddd) ") &amp; "오후 21:00"</f>
        <v>2021-06-02(수) 오후 21:00</v>
      </c>
      <c r="K42" s="216"/>
      <c r="L42" s="217"/>
      <c r="M42" s="215" t="str">
        <f>TEXT($G$1+1, "[$-ko-KR]yyyy-mm-dd(ddd) ") &amp; "오전 00:00"</f>
        <v>2021-06-03(목) 오전 00:00</v>
      </c>
      <c r="N42" s="216"/>
      <c r="O42" s="217"/>
      <c r="Q42" s="213"/>
      <c r="R42" s="213"/>
      <c r="S42" s="213"/>
    </row>
    <row r="43" spans="1:19" ht="17.25" customHeight="1" thickBot="1">
      <c r="A43" s="25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5" t="s">
        <v>58</v>
      </c>
      <c r="H43" s="166" t="s">
        <v>298</v>
      </c>
      <c r="I43" s="16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8"/>
      <c r="R43" s="218"/>
      <c r="S43" s="218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13"/>
      <c r="R44" s="213"/>
      <c r="S44" s="213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13"/>
      <c r="R45" s="213"/>
      <c r="S45" s="213"/>
    </row>
    <row r="46" spans="1:19" ht="17.25" customHeight="1" thickBot="1">
      <c r="A46" s="162" t="s">
        <v>278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218"/>
      <c r="R46" s="218"/>
      <c r="S46" s="218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218"/>
      <c r="R47" s="218"/>
      <c r="S47" s="218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218"/>
      <c r="R48" s="218"/>
      <c r="S48" s="218"/>
    </row>
    <row r="49" spans="1:19" ht="17.25" customHeight="1" thickBot="1">
      <c r="A49" s="162" t="s">
        <v>172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218"/>
      <c r="R49" s="218"/>
      <c r="S49" s="218"/>
    </row>
    <row r="50" spans="1:19" ht="17.25" customHeight="1" thickBot="1">
      <c r="A50" s="162" t="s">
        <v>236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218"/>
      <c r="R50" s="218"/>
      <c r="S50" s="218"/>
    </row>
    <row r="51" spans="1:19" ht="17.25" customHeight="1" thickBot="1">
      <c r="A51" s="162" t="s">
        <v>254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218"/>
      <c r="R51" s="218"/>
      <c r="S51" s="218"/>
    </row>
    <row r="52" spans="1:19" ht="17.25" customHeight="1" thickBot="1">
      <c r="A52" s="162" t="s">
        <v>266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220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27"/>
      <c r="R53" s="228"/>
      <c r="S53" s="229"/>
    </row>
    <row r="54" spans="1:19" ht="17.25" customHeight="1">
      <c r="A54" s="161" t="s">
        <v>186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30"/>
      <c r="R54" s="231"/>
      <c r="S54" s="232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33"/>
      <c r="R55" s="234"/>
      <c r="S55" s="235"/>
    </row>
    <row r="56" spans="1:19" ht="17.25" customHeight="1" thickBot="1">
      <c r="A56" s="162" t="s">
        <v>196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218"/>
      <c r="R56" s="218"/>
      <c r="S56" s="218"/>
    </row>
    <row r="57" spans="1:19" ht="17.25" customHeight="1" thickBot="1">
      <c r="A57" s="162" t="s">
        <v>222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13"/>
      <c r="R57" s="213"/>
      <c r="S57" s="213"/>
    </row>
    <row r="58" spans="1:19" ht="17.25" customHeight="1" thickBot="1">
      <c r="A58" s="163" t="s">
        <v>264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13"/>
      <c r="R58" s="213"/>
      <c r="S58" s="213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218"/>
      <c r="R59" s="218"/>
      <c r="S59" s="218"/>
    </row>
    <row r="60" spans="1:19" ht="17.25" customHeight="1" thickBot="1">
      <c r="A60" s="162" t="s">
        <v>268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218"/>
      <c r="R60" s="218"/>
      <c r="S60" s="218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218"/>
      <c r="R61" s="218"/>
      <c r="S61" s="218"/>
    </row>
    <row r="62" spans="1:19" ht="17.25" customHeight="1">
      <c r="A62" s="162" t="s">
        <v>198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240"/>
      <c r="R62" s="241"/>
      <c r="S62" s="242"/>
    </row>
    <row r="63" spans="1:19" ht="17.25" customHeight="1" thickBot="1">
      <c r="A63" s="130" t="s">
        <v>218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243"/>
      <c r="R63" s="244"/>
      <c r="S63" s="245"/>
    </row>
    <row r="64" spans="1:19" ht="17.25" customHeight="1" thickBot="1">
      <c r="A64" s="132" t="s">
        <v>300</v>
      </c>
      <c r="B64" s="251">
        <f>$B$37</f>
        <v>100000</v>
      </c>
      <c r="C64" s="252"/>
      <c r="D64" s="26" t="s">
        <v>301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301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301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301</v>
      </c>
      <c r="N64" s="27">
        <f>IF(COUNT(N44:N63), SUM(N44:N63) / COUNT(N44:N63), 0)</f>
        <v>2.0836356808595181E-2</v>
      </c>
      <c r="O64" s="28">
        <f>SUM(O44:O63)</f>
        <v>41672.713617190377</v>
      </c>
      <c r="Q64" s="246"/>
      <c r="R64" s="247"/>
      <c r="S64" s="248"/>
    </row>
    <row r="65" spans="1:19" ht="17.25" customHeight="1"/>
    <row r="66" spans="1:19" ht="17.25" customHeight="1" thickBot="1"/>
    <row r="67" spans="1:19" ht="17.25" thickBot="1">
      <c r="A67" s="192" t="s">
        <v>45</v>
      </c>
      <c r="B67" s="193"/>
      <c r="C67" s="193"/>
      <c r="D67" s="193"/>
      <c r="E67" s="193"/>
      <c r="F67" s="193"/>
      <c r="G67" s="193"/>
      <c r="H67" s="193"/>
      <c r="I67" s="193"/>
      <c r="J67" s="193"/>
      <c r="K67" s="193"/>
      <c r="L67" s="193"/>
      <c r="M67" s="193"/>
      <c r="N67" s="193"/>
      <c r="O67" s="194"/>
      <c r="Q67" s="213"/>
      <c r="R67" s="213"/>
      <c r="S67" s="213"/>
    </row>
    <row r="68" spans="1:19" ht="17.25" thickBot="1">
      <c r="A68" s="164" t="s">
        <v>297</v>
      </c>
      <c r="B68" s="192" t="s">
        <v>49</v>
      </c>
      <c r="C68" s="194"/>
      <c r="D68" s="192" t="s">
        <v>58</v>
      </c>
      <c r="E68" s="193"/>
      <c r="F68" s="194"/>
      <c r="G68" s="219">
        <f>_xlfn.IFNA(VLOOKUP(B68, 현재가테이블!$B$2:$D$200, 2, FALSE), "-")</f>
        <v>38300000</v>
      </c>
      <c r="H68" s="220"/>
      <c r="I68" s="221"/>
      <c r="J68" s="192" t="s">
        <v>59</v>
      </c>
      <c r="K68" s="193"/>
      <c r="L68" s="194"/>
      <c r="M68" s="222">
        <f>_xlfn.IFNA(VLOOKUP(B68, 현재가테이블!$B$2:$D$200, 3, FALSE), "-")</f>
        <v>-1.9557649E-2</v>
      </c>
      <c r="N68" s="223"/>
      <c r="O68" s="224"/>
      <c r="Q68" s="213"/>
      <c r="R68" s="213"/>
      <c r="S68" s="213"/>
    </row>
    <row r="69" spans="1:19" ht="17.25" thickBot="1">
      <c r="A69" s="253" t="s">
        <v>55</v>
      </c>
      <c r="B69" s="255" t="str">
        <f>TEXT($G$1, "[$-ko-KR]yyyy-mm-dd(ddd) ") &amp; "오전 00:00"</f>
        <v>2021-06-02(수) 오전 00:00</v>
      </c>
      <c r="C69" s="256"/>
      <c r="D69" s="215" t="str">
        <f>TEXT($G$1, "[$-ko-KR]yyyy-mm-dd(ddd) ") &amp; "오후 14:00"</f>
        <v>2021-06-02(수) 오후 14:00</v>
      </c>
      <c r="E69" s="216"/>
      <c r="F69" s="217"/>
      <c r="G69" s="215" t="str">
        <f>TEXT($G$1, "[$-ko-KR]yyyy-mm-dd(ddd) ") &amp; "오후 19:00"</f>
        <v>2021-06-02(수) 오후 19:00</v>
      </c>
      <c r="H69" s="216"/>
      <c r="I69" s="217"/>
      <c r="J69" s="215" t="str">
        <f>TEXT($G$1, "[$-ko-KR]yyyy-mm-dd(ddd) ") &amp; "오후 21:00"</f>
        <v>2021-06-02(수) 오후 21:00</v>
      </c>
      <c r="K69" s="216"/>
      <c r="L69" s="217"/>
      <c r="M69" s="215" t="str">
        <f>TEXT($G$1+1, "[$-ko-KR]yyyy-mm-dd(ddd) ") &amp; "오전 00:00"</f>
        <v>2021-06-03(목) 오전 00:00</v>
      </c>
      <c r="N69" s="216"/>
      <c r="O69" s="217"/>
      <c r="Q69" s="213"/>
      <c r="R69" s="213"/>
      <c r="S69" s="213"/>
    </row>
    <row r="70" spans="1:19" ht="17.25" thickBot="1">
      <c r="A70" s="25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5" t="s">
        <v>58</v>
      </c>
      <c r="H70" s="166" t="s">
        <v>298</v>
      </c>
      <c r="I70" s="16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8"/>
      <c r="R70" s="218"/>
      <c r="S70" s="218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13"/>
      <c r="R71" s="213"/>
      <c r="S71" s="213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13"/>
      <c r="R72" s="213"/>
      <c r="S72" s="213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218"/>
      <c r="R73" s="218"/>
      <c r="S73" s="218"/>
    </row>
    <row r="74" spans="1:19" ht="17.25" thickBot="1">
      <c r="A74" s="162" t="s">
        <v>168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218"/>
      <c r="R74" s="218"/>
      <c r="S74" s="218"/>
    </row>
    <row r="75" spans="1:19" ht="17.25" thickBot="1">
      <c r="A75" s="163" t="s">
        <v>226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218"/>
      <c r="R75" s="218"/>
      <c r="S75" s="218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218"/>
      <c r="R76" s="218"/>
      <c r="S76" s="218"/>
    </row>
    <row r="77" spans="1:19" ht="17.25" thickBot="1">
      <c r="A77" s="162" t="s">
        <v>296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218"/>
      <c r="R77" s="218"/>
      <c r="S77" s="218"/>
    </row>
    <row r="78" spans="1:19" ht="17.25" thickBot="1">
      <c r="A78" s="162" t="s">
        <v>216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218"/>
      <c r="R78" s="218"/>
      <c r="S78" s="218"/>
    </row>
    <row r="79" spans="1:19" ht="17.25" thickBot="1">
      <c r="A79" s="162" t="s">
        <v>210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240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27"/>
      <c r="R80" s="228"/>
      <c r="S80" s="229"/>
    </row>
    <row r="81" spans="1:19">
      <c r="A81" s="161" t="s">
        <v>170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30"/>
      <c r="R81" s="231"/>
      <c r="S81" s="232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33"/>
      <c r="R82" s="234"/>
      <c r="S82" s="235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218"/>
      <c r="R83" s="218"/>
      <c r="S83" s="218"/>
    </row>
    <row r="84" spans="1:19" ht="17.25" thickBot="1">
      <c r="A84" s="162" t="s">
        <v>182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13"/>
      <c r="R84" s="213"/>
      <c r="S84" s="213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13"/>
      <c r="R85" s="213"/>
      <c r="S85" s="213"/>
    </row>
    <row r="86" spans="1:19" ht="17.25" thickBot="1">
      <c r="A86" s="162" t="s">
        <v>250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218"/>
      <c r="R86" s="218"/>
      <c r="S86" s="218"/>
    </row>
    <row r="87" spans="1:19" ht="17.25" thickBot="1">
      <c r="A87" s="162" t="s">
        <v>252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218"/>
      <c r="R87" s="218"/>
      <c r="S87" s="218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218"/>
      <c r="R88" s="218"/>
      <c r="S88" s="218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240"/>
      <c r="R89" s="241"/>
      <c r="S89" s="242"/>
    </row>
    <row r="90" spans="1:19" ht="17.25" thickBot="1">
      <c r="A90" s="130" t="s">
        <v>256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243"/>
      <c r="R90" s="244"/>
      <c r="S90" s="245"/>
    </row>
    <row r="91" spans="1:19" ht="17.25" thickBot="1">
      <c r="A91" s="132" t="s">
        <v>300</v>
      </c>
      <c r="B91" s="251">
        <f>$B$37</f>
        <v>100000</v>
      </c>
      <c r="C91" s="252"/>
      <c r="D91" s="26" t="s">
        <v>301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301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301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301</v>
      </c>
      <c r="N91" s="27">
        <f>IF(COUNT(N71:N90), SUM(N71:N90) / COUNT(N71:N90), 0)</f>
        <v>3.0210636937261115E-2</v>
      </c>
      <c r="O91" s="28">
        <f>SUM(O71:O90)</f>
        <v>60421.27387452223</v>
      </c>
      <c r="Q91" s="246"/>
      <c r="R91" s="247"/>
      <c r="S91" s="248"/>
    </row>
    <row r="93" spans="1:19" ht="17.25" thickBot="1"/>
    <row r="94" spans="1:19" ht="17.25" thickBot="1">
      <c r="A94" s="192" t="s">
        <v>46</v>
      </c>
      <c r="B94" s="193"/>
      <c r="C94" s="193"/>
      <c r="D94" s="193"/>
      <c r="E94" s="193"/>
      <c r="F94" s="193"/>
      <c r="G94" s="193"/>
      <c r="H94" s="193"/>
      <c r="I94" s="193"/>
      <c r="J94" s="193"/>
      <c r="K94" s="193"/>
      <c r="L94" s="193"/>
      <c r="M94" s="193"/>
      <c r="N94" s="193"/>
      <c r="O94" s="194"/>
      <c r="Q94" s="213"/>
      <c r="R94" s="213"/>
      <c r="S94" s="213"/>
    </row>
    <row r="95" spans="1:19" ht="17.25" thickBot="1">
      <c r="A95" s="164" t="s">
        <v>297</v>
      </c>
      <c r="B95" s="192" t="s">
        <v>49</v>
      </c>
      <c r="C95" s="194"/>
      <c r="D95" s="192" t="s">
        <v>58</v>
      </c>
      <c r="E95" s="193"/>
      <c r="F95" s="194"/>
      <c r="G95" s="219">
        <f>_xlfn.IFNA(VLOOKUP(B95, 현재가테이블!$B$2:$D$200, 2, FALSE), "-")</f>
        <v>38300000</v>
      </c>
      <c r="H95" s="220"/>
      <c r="I95" s="221"/>
      <c r="J95" s="192" t="s">
        <v>59</v>
      </c>
      <c r="K95" s="193"/>
      <c r="L95" s="194"/>
      <c r="M95" s="222">
        <f>_xlfn.IFNA(VLOOKUP(B95, 현재가테이블!$B$2:$D$200, 3, FALSE), "-")</f>
        <v>-1.9557649E-2</v>
      </c>
      <c r="N95" s="223"/>
      <c r="O95" s="224"/>
      <c r="Q95" s="213"/>
      <c r="R95" s="213"/>
      <c r="S95" s="213"/>
    </row>
    <row r="96" spans="1:19" ht="17.25" thickBot="1">
      <c r="A96" s="253" t="s">
        <v>55</v>
      </c>
      <c r="B96" s="255" t="str">
        <f>TEXT($G$1, "[$-ko-KR]yyyy-mm-dd(ddd) ") &amp; "오전 00:00"</f>
        <v>2021-06-02(수) 오전 00:00</v>
      </c>
      <c r="C96" s="256"/>
      <c r="D96" s="215" t="str">
        <f>TEXT($G$1, "[$-ko-KR]yyyy-mm-dd(ddd) ") &amp; "오후 14:00"</f>
        <v>2021-06-02(수) 오후 14:00</v>
      </c>
      <c r="E96" s="216"/>
      <c r="F96" s="217"/>
      <c r="G96" s="215" t="str">
        <f>TEXT($G$1, "[$-ko-KR]yyyy-mm-dd(ddd) ") &amp; "오후 19:00"</f>
        <v>2021-06-02(수) 오후 19:00</v>
      </c>
      <c r="H96" s="216"/>
      <c r="I96" s="217"/>
      <c r="J96" s="215" t="str">
        <f>TEXT($G$1, "[$-ko-KR]yyyy-mm-dd(ddd) ") &amp; "오후 21:00"</f>
        <v>2021-06-02(수) 오후 21:00</v>
      </c>
      <c r="K96" s="216"/>
      <c r="L96" s="217"/>
      <c r="M96" s="215" t="str">
        <f>TEXT($G$1+1, "[$-ko-KR]yyyy-mm-dd(ddd) ") &amp; "오전 00:00"</f>
        <v>2021-06-03(목) 오전 00:00</v>
      </c>
      <c r="N96" s="216"/>
      <c r="O96" s="217"/>
      <c r="Q96" s="213"/>
      <c r="R96" s="213"/>
      <c r="S96" s="213"/>
    </row>
    <row r="97" spans="1:19" ht="17.25" thickBot="1">
      <c r="A97" s="25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5" t="s">
        <v>58</v>
      </c>
      <c r="H97" s="166" t="s">
        <v>298</v>
      </c>
      <c r="I97" s="16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8"/>
      <c r="R97" s="218"/>
      <c r="S97" s="218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13"/>
      <c r="R98" s="213"/>
      <c r="S98" s="213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13"/>
      <c r="R99" s="213"/>
      <c r="S99" s="213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218"/>
      <c r="R100" s="218"/>
      <c r="S100" s="218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218"/>
      <c r="R101" s="218"/>
      <c r="S101" s="218"/>
    </row>
    <row r="102" spans="1:19" ht="17.25" thickBot="1">
      <c r="A102" s="163" t="s">
        <v>248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218"/>
      <c r="R102" s="218"/>
      <c r="S102" s="218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218"/>
      <c r="R103" s="218"/>
      <c r="S103" s="218"/>
    </row>
    <row r="104" spans="1:19" ht="17.25" thickBot="1">
      <c r="A104" s="162" t="s">
        <v>168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218"/>
      <c r="R104" s="218"/>
      <c r="S104" s="218"/>
    </row>
    <row r="105" spans="1:19" ht="17.25" thickBot="1">
      <c r="A105" s="162" t="s">
        <v>226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218"/>
      <c r="R105" s="218"/>
      <c r="S105" s="218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27"/>
      <c r="R107" s="228"/>
      <c r="S107" s="229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30"/>
      <c r="R108" s="231"/>
      <c r="S108" s="232"/>
    </row>
    <row r="109" spans="1:19" ht="17.25" thickBot="1">
      <c r="A109" s="162" t="s">
        <v>242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33"/>
      <c r="R109" s="234"/>
      <c r="S109" s="235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218"/>
      <c r="R110" s="218"/>
      <c r="S110" s="218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13"/>
      <c r="R111" s="213"/>
      <c r="S111" s="213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13"/>
      <c r="R112" s="213"/>
      <c r="S112" s="213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218"/>
      <c r="R113" s="218"/>
      <c r="S113" s="218"/>
    </row>
    <row r="114" spans="1:19" ht="17.25" thickBot="1">
      <c r="A114" s="162" t="s">
        <v>296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218"/>
      <c r="R114" s="218"/>
      <c r="S114" s="218"/>
    </row>
    <row r="115" spans="1:19" ht="17.25" thickBot="1">
      <c r="A115" s="162" t="s">
        <v>184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218"/>
      <c r="R115" s="218"/>
      <c r="S115" s="218"/>
    </row>
    <row r="116" spans="1:19">
      <c r="A116" s="162" t="s">
        <v>162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240"/>
      <c r="R116" s="241"/>
      <c r="S116" s="242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243"/>
      <c r="R117" s="244"/>
      <c r="S117" s="245"/>
    </row>
    <row r="118" spans="1:19" ht="17.25" thickBot="1">
      <c r="A118" s="132" t="s">
        <v>300</v>
      </c>
      <c r="B118" s="251">
        <f>$B$37</f>
        <v>100000</v>
      </c>
      <c r="C118" s="252"/>
      <c r="D118" s="26" t="s">
        <v>301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301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301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301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246"/>
      <c r="R118" s="247"/>
      <c r="S118" s="248"/>
    </row>
    <row r="120" spans="1:19" ht="17.25" thickBot="1"/>
    <row r="121" spans="1:19" ht="17.25" thickBot="1">
      <c r="A121" s="192" t="s">
        <v>288</v>
      </c>
      <c r="B121" s="193"/>
      <c r="C121" s="193"/>
      <c r="D121" s="193"/>
      <c r="E121" s="193"/>
      <c r="F121" s="193"/>
      <c r="G121" s="193"/>
      <c r="H121" s="193"/>
      <c r="I121" s="193"/>
      <c r="J121" s="193"/>
      <c r="K121" s="193"/>
      <c r="L121" s="193"/>
      <c r="M121" s="193"/>
      <c r="N121" s="193"/>
      <c r="O121" s="194"/>
      <c r="Q121" s="213"/>
      <c r="R121" s="213"/>
      <c r="S121" s="213"/>
    </row>
    <row r="122" spans="1:19" ht="17.25" thickBot="1">
      <c r="A122" s="164" t="s">
        <v>297</v>
      </c>
      <c r="B122" s="192" t="s">
        <v>49</v>
      </c>
      <c r="C122" s="194"/>
      <c r="D122" s="192" t="s">
        <v>58</v>
      </c>
      <c r="E122" s="193"/>
      <c r="F122" s="194"/>
      <c r="G122" s="219">
        <f>_xlfn.IFNA(VLOOKUP(B122, 현재가테이블!$B$2:$D$200, 2, FALSE), "-")</f>
        <v>38300000</v>
      </c>
      <c r="H122" s="220"/>
      <c r="I122" s="221"/>
      <c r="J122" s="192" t="s">
        <v>59</v>
      </c>
      <c r="K122" s="193"/>
      <c r="L122" s="194"/>
      <c r="M122" s="222">
        <f>_xlfn.IFNA(VLOOKUP(B122, 현재가테이블!$B$2:$D$200, 3, FALSE), "-")</f>
        <v>-1.9557649E-2</v>
      </c>
      <c r="N122" s="223"/>
      <c r="O122" s="224"/>
      <c r="Q122" s="213"/>
      <c r="R122" s="213"/>
      <c r="S122" s="213"/>
    </row>
    <row r="123" spans="1:19" ht="17.25" thickBot="1">
      <c r="A123" s="253" t="s">
        <v>55</v>
      </c>
      <c r="B123" s="255" t="str">
        <f>TEXT($G$1, "[$-ko-KR]yyyy-mm-dd(ddd) ") &amp; "오전 00:00"</f>
        <v>2021-06-02(수) 오전 00:00</v>
      </c>
      <c r="C123" s="256"/>
      <c r="D123" s="215" t="str">
        <f>TEXT($G$1, "[$-ko-KR]yyyy-mm-dd(ddd) ") &amp; "오후 14:00"</f>
        <v>2021-06-02(수) 오후 14:00</v>
      </c>
      <c r="E123" s="216"/>
      <c r="F123" s="217"/>
      <c r="G123" s="215" t="str">
        <f>TEXT($G$1, "[$-ko-KR]yyyy-mm-dd(ddd) ") &amp; "오후 19:00"</f>
        <v>2021-06-02(수) 오후 19:00</v>
      </c>
      <c r="H123" s="216"/>
      <c r="I123" s="217"/>
      <c r="J123" s="215" t="str">
        <f>TEXT($G$1, "[$-ko-KR]yyyy-mm-dd(ddd) ") &amp; "오후 21:00"</f>
        <v>2021-06-02(수) 오후 21:00</v>
      </c>
      <c r="K123" s="216"/>
      <c r="L123" s="217"/>
      <c r="M123" s="215" t="str">
        <f>TEXT($G$1+1, "[$-ko-KR]yyyy-mm-dd(ddd) ") &amp; "오전 00:00"</f>
        <v>2021-06-03(목) 오전 00:00</v>
      </c>
      <c r="N123" s="216"/>
      <c r="O123" s="217"/>
      <c r="Q123" s="213"/>
      <c r="R123" s="213"/>
      <c r="S123" s="213"/>
    </row>
    <row r="124" spans="1:19" ht="17.25" thickBot="1">
      <c r="A124" s="25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5" t="s">
        <v>58</v>
      </c>
      <c r="H124" s="166" t="s">
        <v>298</v>
      </c>
      <c r="I124" s="16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8"/>
      <c r="R124" s="218"/>
      <c r="S124" s="218"/>
    </row>
    <row r="125" spans="1:19" ht="17.25" thickBot="1">
      <c r="A125" s="161" t="s">
        <v>236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13"/>
      <c r="R125" s="213"/>
      <c r="S125" s="213"/>
    </row>
    <row r="126" spans="1:19" ht="17.25" thickBot="1">
      <c r="A126" s="162" t="s">
        <v>254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13"/>
      <c r="R126" s="213"/>
      <c r="S126" s="213"/>
    </row>
    <row r="127" spans="1:19" ht="17.25" thickBot="1">
      <c r="A127" s="162" t="s">
        <v>266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218"/>
      <c r="R127" s="218"/>
      <c r="S127" s="218"/>
    </row>
    <row r="128" spans="1:19" ht="17.25" thickBot="1">
      <c r="A128" s="162" t="s">
        <v>220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218"/>
      <c r="R128" s="218"/>
      <c r="S128" s="218"/>
    </row>
    <row r="129" spans="1:19" ht="17.25" thickBot="1">
      <c r="A129" s="163" t="s">
        <v>186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218"/>
      <c r="R129" s="218"/>
      <c r="S129" s="218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218"/>
      <c r="R130" s="218"/>
      <c r="S130" s="218"/>
    </row>
    <row r="131" spans="1:19" ht="17.25" thickBot="1">
      <c r="A131" s="162" t="s">
        <v>196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218"/>
      <c r="R131" s="218"/>
      <c r="S131" s="218"/>
    </row>
    <row r="132" spans="1:19" ht="17.25" thickBot="1">
      <c r="A132" s="162" t="s">
        <v>222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218"/>
      <c r="R132" s="218"/>
      <c r="S132" s="218"/>
    </row>
    <row r="133" spans="1:19" ht="17.25" thickBot="1">
      <c r="A133" s="162" t="s">
        <v>264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27"/>
      <c r="R134" s="228"/>
      <c r="S134" s="229"/>
    </row>
    <row r="135" spans="1:19">
      <c r="A135" s="161" t="s">
        <v>268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30"/>
      <c r="R135" s="231"/>
      <c r="S135" s="232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33"/>
      <c r="R136" s="234"/>
      <c r="S136" s="235"/>
    </row>
    <row r="137" spans="1:19" ht="17.25" thickBot="1">
      <c r="A137" s="162" t="s">
        <v>198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218"/>
      <c r="R137" s="218"/>
      <c r="S137" s="218"/>
    </row>
    <row r="138" spans="1:19" ht="17.25" thickBot="1">
      <c r="A138" s="162" t="s">
        <v>218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13"/>
      <c r="R138" s="213"/>
      <c r="S138" s="213"/>
    </row>
    <row r="139" spans="1:19" ht="17.25" thickBot="1">
      <c r="A139" s="163" t="s">
        <v>228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13"/>
      <c r="R139" s="213"/>
      <c r="S139" s="213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218"/>
      <c r="R140" s="218"/>
      <c r="S140" s="218"/>
    </row>
    <row r="141" spans="1:19" ht="17.25" thickBot="1">
      <c r="A141" s="162" t="s">
        <v>212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218"/>
      <c r="R141" s="218"/>
      <c r="S141" s="218"/>
    </row>
    <row r="142" spans="1:19" ht="17.25" thickBot="1">
      <c r="A142" s="162" t="s">
        <v>214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218"/>
      <c r="R142" s="218"/>
      <c r="S142" s="218"/>
    </row>
    <row r="143" spans="1:19">
      <c r="A143" s="162" t="s">
        <v>260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240"/>
      <c r="R143" s="241"/>
      <c r="S143" s="242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243"/>
      <c r="R144" s="244"/>
      <c r="S144" s="245"/>
    </row>
    <row r="145" spans="1:19" ht="17.25" thickBot="1">
      <c r="A145" s="132" t="s">
        <v>300</v>
      </c>
      <c r="B145" s="251">
        <f>$B$37</f>
        <v>100000</v>
      </c>
      <c r="C145" s="252"/>
      <c r="D145" s="26" t="s">
        <v>301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301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301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301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246"/>
      <c r="R145" s="247"/>
      <c r="S145" s="248"/>
    </row>
    <row r="147" spans="1:19" ht="17.25" thickBot="1"/>
    <row r="148" spans="1:19" ht="17.25" thickBot="1">
      <c r="A148" s="192" t="s">
        <v>289</v>
      </c>
      <c r="B148" s="193"/>
      <c r="C148" s="193"/>
      <c r="D148" s="193"/>
      <c r="E148" s="193"/>
      <c r="F148" s="193"/>
      <c r="G148" s="193"/>
      <c r="H148" s="193"/>
      <c r="I148" s="193"/>
      <c r="J148" s="193"/>
      <c r="K148" s="193"/>
      <c r="L148" s="193"/>
      <c r="M148" s="193"/>
      <c r="N148" s="193"/>
      <c r="O148" s="194"/>
      <c r="Q148" s="213"/>
      <c r="R148" s="213"/>
      <c r="S148" s="213"/>
    </row>
    <row r="149" spans="1:19" ht="17.25" thickBot="1">
      <c r="A149" s="164" t="s">
        <v>297</v>
      </c>
      <c r="B149" s="192" t="s">
        <v>49</v>
      </c>
      <c r="C149" s="194"/>
      <c r="D149" s="192" t="s">
        <v>58</v>
      </c>
      <c r="E149" s="193"/>
      <c r="F149" s="194"/>
      <c r="G149" s="219">
        <f>_xlfn.IFNA(VLOOKUP(B149, 현재가테이블!$B$2:$D$200, 2, FALSE), "-")</f>
        <v>38300000</v>
      </c>
      <c r="H149" s="220"/>
      <c r="I149" s="221"/>
      <c r="J149" s="192" t="s">
        <v>59</v>
      </c>
      <c r="K149" s="193"/>
      <c r="L149" s="194"/>
      <c r="M149" s="222">
        <f>_xlfn.IFNA(VLOOKUP(B149, 현재가테이블!$B$2:$D$200, 3, FALSE), "-")</f>
        <v>-1.9557649E-2</v>
      </c>
      <c r="N149" s="223"/>
      <c r="O149" s="224"/>
      <c r="Q149" s="213"/>
      <c r="R149" s="213"/>
      <c r="S149" s="213"/>
    </row>
    <row r="150" spans="1:19" ht="17.25" thickBot="1">
      <c r="A150" s="253" t="s">
        <v>55</v>
      </c>
      <c r="B150" s="255" t="str">
        <f>TEXT($G$1, "[$-ko-KR]yyyy-mm-dd(ddd) ") &amp; "오전 00:00"</f>
        <v>2021-06-02(수) 오전 00:00</v>
      </c>
      <c r="C150" s="256"/>
      <c r="D150" s="215" t="str">
        <f>TEXT($G$1, "[$-ko-KR]yyyy-mm-dd(ddd) ") &amp; "오후 14:00"</f>
        <v>2021-06-02(수) 오후 14:00</v>
      </c>
      <c r="E150" s="216"/>
      <c r="F150" s="217"/>
      <c r="G150" s="215" t="str">
        <f>TEXT($G$1, "[$-ko-KR]yyyy-mm-dd(ddd) ") &amp; "오후 19:00"</f>
        <v>2021-06-02(수) 오후 19:00</v>
      </c>
      <c r="H150" s="216"/>
      <c r="I150" s="217"/>
      <c r="J150" s="215" t="str">
        <f>TEXT($G$1, "[$-ko-KR]yyyy-mm-dd(ddd) ") &amp; "오후 21:00"</f>
        <v>2021-06-02(수) 오후 21:00</v>
      </c>
      <c r="K150" s="216"/>
      <c r="L150" s="217"/>
      <c r="M150" s="215" t="str">
        <f>TEXT($G$1+1, "[$-ko-KR]yyyy-mm-dd(ddd) ") &amp; "오전 00:00"</f>
        <v>2021-06-03(목) 오전 00:00</v>
      </c>
      <c r="N150" s="216"/>
      <c r="O150" s="217"/>
      <c r="Q150" s="213"/>
      <c r="R150" s="213"/>
      <c r="S150" s="213"/>
    </row>
    <row r="151" spans="1:19" ht="17.25" thickBot="1">
      <c r="A151" s="25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5" t="s">
        <v>58</v>
      </c>
      <c r="H151" s="166" t="s">
        <v>298</v>
      </c>
      <c r="I151" s="16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8"/>
      <c r="R151" s="218"/>
      <c r="S151" s="218"/>
    </row>
    <row r="152" spans="1:19" ht="17.25" thickBot="1">
      <c r="A152" s="161" t="s">
        <v>256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13"/>
      <c r="R152" s="213"/>
      <c r="S152" s="213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13"/>
      <c r="R153" s="213"/>
      <c r="S153" s="213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218"/>
      <c r="R154" s="218"/>
      <c r="S154" s="218"/>
    </row>
    <row r="155" spans="1:19" ht="17.25" thickBot="1">
      <c r="A155" s="162" t="s">
        <v>208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218"/>
      <c r="R155" s="218"/>
      <c r="S155" s="218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218"/>
      <c r="R156" s="218"/>
      <c r="S156" s="218"/>
    </row>
    <row r="157" spans="1:19" ht="17.25" thickBot="1">
      <c r="A157" s="162" t="s">
        <v>202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218"/>
      <c r="R157" s="218"/>
      <c r="S157" s="218"/>
    </row>
    <row r="158" spans="1:19" ht="17.25" thickBot="1">
      <c r="A158" s="162" t="s">
        <v>234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218"/>
      <c r="R158" s="218"/>
      <c r="S158" s="218"/>
    </row>
    <row r="159" spans="1:19" ht="17.25" thickBot="1">
      <c r="A159" s="162" t="s">
        <v>200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218"/>
      <c r="R159" s="218"/>
      <c r="S159" s="218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270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27"/>
      <c r="R161" s="228"/>
      <c r="S161" s="229"/>
    </row>
    <row r="162" spans="1:19">
      <c r="A162" s="161" t="s">
        <v>232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30"/>
      <c r="R162" s="231"/>
      <c r="S162" s="232"/>
    </row>
    <row r="163" spans="1:19" ht="17.25" thickBot="1">
      <c r="A163" s="162" t="s">
        <v>174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33"/>
      <c r="R163" s="234"/>
      <c r="S163" s="235"/>
    </row>
    <row r="164" spans="1:19" ht="17.25" thickBot="1">
      <c r="A164" s="162" t="s">
        <v>238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218"/>
      <c r="R164" s="218"/>
      <c r="S164" s="218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13"/>
      <c r="R165" s="213"/>
      <c r="S165" s="213"/>
    </row>
    <row r="166" spans="1:19" ht="17.25" thickBot="1">
      <c r="A166" s="163" t="s">
        <v>258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13"/>
      <c r="R166" s="213"/>
      <c r="S166" s="213"/>
    </row>
    <row r="167" spans="1:19" ht="17.25" thickBot="1">
      <c r="A167" s="162" t="s">
        <v>262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218"/>
      <c r="R167" s="218"/>
      <c r="S167" s="218"/>
    </row>
    <row r="168" spans="1:19" ht="17.25" thickBot="1">
      <c r="A168" s="162" t="s">
        <v>284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218"/>
      <c r="R168" s="218"/>
      <c r="S168" s="218"/>
    </row>
    <row r="169" spans="1:19" ht="17.25" thickBot="1">
      <c r="A169" s="162" t="s">
        <v>230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218"/>
      <c r="R169" s="218"/>
      <c r="S169" s="218"/>
    </row>
    <row r="170" spans="1:19">
      <c r="A170" s="162" t="s">
        <v>246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240"/>
      <c r="R170" s="241"/>
      <c r="S170" s="242"/>
    </row>
    <row r="171" spans="1:19" ht="17.25" thickBot="1">
      <c r="A171" s="130" t="s">
        <v>282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243"/>
      <c r="R171" s="244"/>
      <c r="S171" s="245"/>
    </row>
    <row r="172" spans="1:19" ht="17.25" thickBot="1">
      <c r="A172" s="132" t="s">
        <v>300</v>
      </c>
      <c r="B172" s="251">
        <f>$B$37</f>
        <v>100000</v>
      </c>
      <c r="C172" s="252"/>
      <c r="D172" s="26" t="s">
        <v>301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301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301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301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246"/>
      <c r="R172" s="247"/>
      <c r="S172" s="248"/>
    </row>
    <row r="174" spans="1:19" ht="17.25" thickBot="1"/>
    <row r="175" spans="1:19" ht="17.25" thickBot="1">
      <c r="A175" s="192" t="s">
        <v>285</v>
      </c>
      <c r="B175" s="193"/>
      <c r="C175" s="193"/>
      <c r="D175" s="193"/>
      <c r="E175" s="193"/>
      <c r="F175" s="193"/>
      <c r="G175" s="193"/>
      <c r="H175" s="193"/>
      <c r="I175" s="193"/>
      <c r="J175" s="193"/>
      <c r="K175" s="193"/>
      <c r="L175" s="193"/>
      <c r="M175" s="193"/>
      <c r="N175" s="193"/>
      <c r="O175" s="194"/>
      <c r="Q175" s="213"/>
      <c r="R175" s="213"/>
      <c r="S175" s="213"/>
    </row>
    <row r="176" spans="1:19" ht="17.25" thickBot="1">
      <c r="A176" s="164" t="s">
        <v>297</v>
      </c>
      <c r="B176" s="192" t="s">
        <v>49</v>
      </c>
      <c r="C176" s="194"/>
      <c r="D176" s="192" t="s">
        <v>58</v>
      </c>
      <c r="E176" s="193"/>
      <c r="F176" s="194"/>
      <c r="G176" s="219">
        <f>_xlfn.IFNA(VLOOKUP(B176, 현재가테이블!$B$2:$D$200, 2, FALSE), "-")</f>
        <v>38300000</v>
      </c>
      <c r="H176" s="220"/>
      <c r="I176" s="221"/>
      <c r="J176" s="192" t="s">
        <v>59</v>
      </c>
      <c r="K176" s="193"/>
      <c r="L176" s="194"/>
      <c r="M176" s="222">
        <f>_xlfn.IFNA(VLOOKUP(B176, 현재가테이블!$B$2:$D$200, 3, FALSE), "-")</f>
        <v>-1.9557649E-2</v>
      </c>
      <c r="N176" s="223"/>
      <c r="O176" s="224"/>
      <c r="Q176" s="213"/>
      <c r="R176" s="213"/>
      <c r="S176" s="213"/>
    </row>
    <row r="177" spans="1:19" ht="17.25" thickBot="1">
      <c r="A177" s="253" t="s">
        <v>55</v>
      </c>
      <c r="B177" s="255" t="str">
        <f>TEXT($G$1, "[$-ko-KR]yyyy-mm-dd(ddd) ") &amp; "오전 00:00"</f>
        <v>2021-06-02(수) 오전 00:00</v>
      </c>
      <c r="C177" s="256"/>
      <c r="D177" s="215" t="str">
        <f>TEXT($G$1, "[$-ko-KR]yyyy-mm-dd(ddd) ") &amp; "오후 14:00"</f>
        <v>2021-06-02(수) 오후 14:00</v>
      </c>
      <c r="E177" s="216"/>
      <c r="F177" s="217"/>
      <c r="G177" s="215" t="str">
        <f>TEXT($G$1, "[$-ko-KR]yyyy-mm-dd(ddd) ") &amp; "오후 19:00"</f>
        <v>2021-06-02(수) 오후 19:00</v>
      </c>
      <c r="H177" s="216"/>
      <c r="I177" s="217"/>
      <c r="J177" s="215" t="str">
        <f>TEXT($G$1, "[$-ko-KR]yyyy-mm-dd(ddd) ") &amp; "오후 21:00"</f>
        <v>2021-06-02(수) 오후 21:00</v>
      </c>
      <c r="K177" s="216"/>
      <c r="L177" s="217"/>
      <c r="M177" s="215" t="str">
        <f>TEXT($G$1+1, "[$-ko-KR]yyyy-mm-dd(ddd) ") &amp; "오전 00:00"</f>
        <v>2021-06-03(목) 오전 00:00</v>
      </c>
      <c r="N177" s="216"/>
      <c r="O177" s="217"/>
      <c r="Q177" s="213"/>
      <c r="R177" s="213"/>
      <c r="S177" s="213"/>
    </row>
    <row r="178" spans="1:19" ht="17.25" thickBot="1">
      <c r="A178" s="25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5" t="s">
        <v>58</v>
      </c>
      <c r="H178" s="166" t="s">
        <v>298</v>
      </c>
      <c r="I178" s="16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8"/>
      <c r="R178" s="218"/>
      <c r="S178" s="218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13"/>
      <c r="R179" s="213"/>
      <c r="S179" s="213"/>
    </row>
    <row r="180" spans="1:19" ht="17.25" thickBot="1">
      <c r="A180" s="162" t="s">
        <v>258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13"/>
      <c r="R180" s="213"/>
      <c r="S180" s="213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218"/>
      <c r="R181" s="218"/>
      <c r="S181" s="218"/>
    </row>
    <row r="182" spans="1:19" ht="17.25" thickBot="1">
      <c r="A182" s="162" t="s">
        <v>212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218"/>
      <c r="R182" s="218"/>
      <c r="S182" s="218"/>
    </row>
    <row r="183" spans="1:19" ht="17.25" thickBot="1">
      <c r="A183" s="163" t="s">
        <v>192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218"/>
      <c r="R183" s="218"/>
      <c r="S183" s="218"/>
    </row>
    <row r="184" spans="1:19" ht="17.25" thickBot="1">
      <c r="A184" s="162" t="s">
        <v>214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218"/>
      <c r="R184" s="218"/>
      <c r="S184" s="218"/>
    </row>
    <row r="185" spans="1:19" ht="17.25" thickBot="1">
      <c r="A185" s="162" t="s">
        <v>262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218"/>
      <c r="R185" s="218"/>
      <c r="S185" s="218"/>
    </row>
    <row r="186" spans="1:19" ht="17.25" thickBot="1">
      <c r="A186" s="162" t="s">
        <v>284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218"/>
      <c r="R186" s="218"/>
      <c r="S186" s="218"/>
    </row>
    <row r="187" spans="1:19" ht="17.25" thickBot="1">
      <c r="A187" s="162" t="s">
        <v>230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194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27"/>
      <c r="R188" s="228"/>
      <c r="S188" s="229"/>
    </row>
    <row r="189" spans="1:19">
      <c r="A189" s="161" t="s">
        <v>246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30"/>
      <c r="R189" s="231"/>
      <c r="S189" s="232"/>
    </row>
    <row r="190" spans="1:19" ht="17.25" thickBot="1">
      <c r="A190" s="162" t="s">
        <v>282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33"/>
      <c r="R190" s="234"/>
      <c r="S190" s="235"/>
    </row>
    <row r="191" spans="1:19" ht="17.25" thickBot="1">
      <c r="A191" s="162" t="s">
        <v>260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218"/>
      <c r="R191" s="218"/>
      <c r="S191" s="218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13"/>
      <c r="R192" s="213"/>
      <c r="S192" s="213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13"/>
      <c r="R193" s="213"/>
      <c r="S193" s="213"/>
    </row>
    <row r="194" spans="1:19" ht="17.25" thickBot="1">
      <c r="A194" s="162" t="s">
        <v>164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218"/>
      <c r="R194" s="218"/>
      <c r="S194" s="218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218"/>
      <c r="R195" s="218"/>
      <c r="S195" s="218"/>
    </row>
    <row r="196" spans="1:19" ht="17.25" thickBot="1">
      <c r="A196" s="162" t="s">
        <v>224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218"/>
      <c r="R196" s="218"/>
      <c r="S196" s="218"/>
    </row>
    <row r="197" spans="1:19">
      <c r="A197" s="162" t="s">
        <v>188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240"/>
      <c r="R197" s="241"/>
      <c r="S197" s="242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243"/>
      <c r="R198" s="244"/>
      <c r="S198" s="245"/>
    </row>
    <row r="199" spans="1:19" ht="17.25" thickBot="1">
      <c r="A199" s="132" t="s">
        <v>300</v>
      </c>
      <c r="B199" s="251">
        <f>$B$37</f>
        <v>100000</v>
      </c>
      <c r="C199" s="252"/>
      <c r="D199" s="26" t="s">
        <v>301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301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301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301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246"/>
      <c r="R199" s="247"/>
      <c r="S199" s="24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2" t="s">
        <v>0</v>
      </c>
      <c r="B1" s="193"/>
      <c r="C1" s="193"/>
      <c r="D1" s="193"/>
      <c r="E1" s="193"/>
      <c r="F1" s="194"/>
      <c r="G1" s="195">
        <v>44350</v>
      </c>
      <c r="H1" s="196"/>
      <c r="I1" s="197"/>
      <c r="J1" s="192" t="s">
        <v>1</v>
      </c>
      <c r="K1" s="193"/>
      <c r="L1" s="193"/>
      <c r="M1" s="193"/>
      <c r="N1" s="193"/>
      <c r="O1" s="194"/>
      <c r="Q1" s="192" t="s">
        <v>2</v>
      </c>
      <c r="R1" s="194"/>
    </row>
    <row r="2" spans="1:19" ht="17.25" customHeight="1">
      <c r="A2" s="117" t="s">
        <v>3</v>
      </c>
      <c r="B2" s="198" t="s">
        <v>8</v>
      </c>
      <c r="C2" s="199"/>
      <c r="D2" s="199"/>
      <c r="E2" s="199"/>
      <c r="F2" s="200"/>
      <c r="G2" s="201" t="s">
        <v>46</v>
      </c>
      <c r="H2" s="202"/>
      <c r="I2" s="203"/>
      <c r="J2" s="1" t="s">
        <v>3</v>
      </c>
      <c r="K2" s="198" t="s">
        <v>350</v>
      </c>
      <c r="L2" s="199"/>
      <c r="M2" s="199"/>
      <c r="N2" s="199"/>
      <c r="O2" s="200"/>
      <c r="Q2" s="2" t="s">
        <v>6</v>
      </c>
      <c r="R2" s="3">
        <v>0.375</v>
      </c>
    </row>
    <row r="3" spans="1:19" ht="17.25" customHeight="1" thickBot="1">
      <c r="A3" s="118" t="s">
        <v>7</v>
      </c>
      <c r="B3" s="204" t="s">
        <v>358</v>
      </c>
      <c r="C3" s="205"/>
      <c r="D3" s="205"/>
      <c r="E3" s="205"/>
      <c r="F3" s="206"/>
      <c r="G3" s="20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208"/>
      <c r="I3" s="209"/>
      <c r="J3" s="4" t="s">
        <v>7</v>
      </c>
      <c r="K3" s="204" t="s">
        <v>351</v>
      </c>
      <c r="L3" s="205"/>
      <c r="M3" s="205"/>
      <c r="N3" s="205"/>
      <c r="O3" s="2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4" t="s">
        <v>16</v>
      </c>
      <c r="C4" s="205"/>
      <c r="D4" s="205"/>
      <c r="E4" s="205"/>
      <c r="F4" s="206"/>
      <c r="G4" s="201" t="s">
        <v>44</v>
      </c>
      <c r="H4" s="202"/>
      <c r="I4" s="203"/>
      <c r="J4" s="4" t="s">
        <v>11</v>
      </c>
      <c r="K4" s="204" t="s">
        <v>352</v>
      </c>
      <c r="L4" s="205"/>
      <c r="M4" s="205"/>
      <c r="N4" s="205"/>
      <c r="O4" s="2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4" t="s">
        <v>349</v>
      </c>
      <c r="C5" s="205"/>
      <c r="D5" s="205"/>
      <c r="E5" s="205"/>
      <c r="F5" s="206"/>
      <c r="G5" s="20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208"/>
      <c r="I5" s="209"/>
      <c r="J5" s="4" t="s">
        <v>15</v>
      </c>
      <c r="K5" s="204" t="s">
        <v>353</v>
      </c>
      <c r="L5" s="205"/>
      <c r="M5" s="205"/>
      <c r="N5" s="205"/>
      <c r="O5" s="206"/>
    </row>
    <row r="6" spans="1:19">
      <c r="A6" s="118" t="s">
        <v>18</v>
      </c>
      <c r="B6" s="204"/>
      <c r="C6" s="205"/>
      <c r="D6" s="205"/>
      <c r="E6" s="205"/>
      <c r="F6" s="206"/>
      <c r="G6" s="201" t="s">
        <v>45</v>
      </c>
      <c r="H6" s="202"/>
      <c r="I6" s="203"/>
      <c r="J6" s="4" t="s">
        <v>18</v>
      </c>
      <c r="K6" s="204" t="s">
        <v>354</v>
      </c>
      <c r="L6" s="205"/>
      <c r="M6" s="205"/>
      <c r="N6" s="205"/>
      <c r="O6" s="206"/>
    </row>
    <row r="7" spans="1:19" ht="17.25" thickBot="1">
      <c r="A7" s="118" t="s">
        <v>21</v>
      </c>
      <c r="B7" s="204"/>
      <c r="C7" s="205"/>
      <c r="D7" s="205"/>
      <c r="E7" s="205"/>
      <c r="F7" s="206"/>
      <c r="G7" s="20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208"/>
      <c r="I7" s="209"/>
      <c r="J7" s="4" t="s">
        <v>21</v>
      </c>
      <c r="K7" s="204" t="s">
        <v>355</v>
      </c>
      <c r="L7" s="205"/>
      <c r="M7" s="205"/>
      <c r="N7" s="205"/>
      <c r="O7" s="206"/>
    </row>
    <row r="8" spans="1:19" ht="17.25" thickBot="1">
      <c r="A8" s="118" t="s">
        <v>24</v>
      </c>
      <c r="B8" s="204"/>
      <c r="C8" s="205"/>
      <c r="D8" s="205"/>
      <c r="E8" s="205"/>
      <c r="F8" s="206"/>
      <c r="G8" s="201" t="s">
        <v>285</v>
      </c>
      <c r="H8" s="202"/>
      <c r="I8" s="203"/>
      <c r="J8" s="4" t="s">
        <v>24</v>
      </c>
      <c r="K8" s="204"/>
      <c r="L8" s="205"/>
      <c r="M8" s="205"/>
      <c r="N8" s="205"/>
      <c r="O8" s="206"/>
      <c r="Q8" s="192" t="s">
        <v>27</v>
      </c>
      <c r="R8" s="194"/>
    </row>
    <row r="9" spans="1:19" ht="17.25" thickBot="1">
      <c r="A9" s="118" t="s">
        <v>28</v>
      </c>
      <c r="B9" s="204"/>
      <c r="C9" s="205"/>
      <c r="D9" s="205"/>
      <c r="E9" s="205"/>
      <c r="F9" s="206"/>
      <c r="G9" s="20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208"/>
      <c r="I9" s="209"/>
      <c r="J9" s="4" t="s">
        <v>28</v>
      </c>
      <c r="K9" s="204"/>
      <c r="L9" s="205"/>
      <c r="M9" s="205"/>
      <c r="N9" s="205"/>
      <c r="O9" s="206"/>
      <c r="Q9" s="2" t="s">
        <v>29</v>
      </c>
      <c r="R9" s="6">
        <v>10</v>
      </c>
    </row>
    <row r="10" spans="1:19">
      <c r="A10" s="118" t="s">
        <v>30</v>
      </c>
      <c r="B10" s="204"/>
      <c r="C10" s="205"/>
      <c r="D10" s="205"/>
      <c r="E10" s="205"/>
      <c r="F10" s="206"/>
      <c r="G10" s="201" t="s">
        <v>47</v>
      </c>
      <c r="H10" s="202"/>
      <c r="I10" s="203"/>
      <c r="J10" s="4" t="s">
        <v>30</v>
      </c>
      <c r="K10" s="204" t="s">
        <v>356</v>
      </c>
      <c r="L10" s="205"/>
      <c r="M10" s="205"/>
      <c r="N10" s="205"/>
      <c r="O10" s="206"/>
      <c r="Q10" s="2" t="s">
        <v>31</v>
      </c>
      <c r="R10" s="6">
        <v>100</v>
      </c>
    </row>
    <row r="11" spans="1:19" ht="17.25" thickBot="1">
      <c r="A11" s="119" t="s">
        <v>32</v>
      </c>
      <c r="B11" s="210" t="s">
        <v>357</v>
      </c>
      <c r="C11" s="211"/>
      <c r="D11" s="211"/>
      <c r="E11" s="211"/>
      <c r="F11" s="212"/>
      <c r="G11" s="20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208"/>
      <c r="I11" s="209"/>
      <c r="J11" s="7" t="s">
        <v>32</v>
      </c>
      <c r="K11" s="210" t="s">
        <v>348</v>
      </c>
      <c r="L11" s="211"/>
      <c r="M11" s="211"/>
      <c r="N11" s="211"/>
      <c r="O11" s="212"/>
      <c r="Q11" s="65" t="s">
        <v>33</v>
      </c>
      <c r="R11" s="8">
        <v>1000</v>
      </c>
    </row>
    <row r="12" spans="1:19" ht="17.25" thickBot="1"/>
    <row r="13" spans="1:19" ht="17.25" customHeight="1" thickBot="1">
      <c r="A13" s="192" t="s">
        <v>34</v>
      </c>
      <c r="B13" s="193"/>
      <c r="C13" s="193"/>
      <c r="D13" s="193"/>
      <c r="E13" s="193"/>
      <c r="F13" s="193"/>
      <c r="G13" s="193"/>
      <c r="H13" s="193"/>
      <c r="I13" s="193"/>
      <c r="J13" s="193"/>
      <c r="K13" s="193"/>
      <c r="L13" s="193"/>
      <c r="M13" s="193"/>
      <c r="N13" s="193"/>
      <c r="O13" s="194"/>
      <c r="Q13" s="213"/>
      <c r="R13" s="213"/>
      <c r="S13" s="213"/>
    </row>
    <row r="14" spans="1:19" ht="17.25" customHeight="1" thickBot="1">
      <c r="A14" s="168" t="s">
        <v>35</v>
      </c>
      <c r="B14" s="192" t="s">
        <v>36</v>
      </c>
      <c r="C14" s="194"/>
      <c r="D14" s="192" t="s">
        <v>37</v>
      </c>
      <c r="E14" s="193"/>
      <c r="F14" s="194"/>
      <c r="G14" s="219">
        <f>_xlfn.IFNA(VLOOKUP(B14, 현재가테이블!$B$2:$D$200, 2, FALSE), "-")</f>
        <v>38300000</v>
      </c>
      <c r="H14" s="220"/>
      <c r="I14" s="221"/>
      <c r="J14" s="192" t="s">
        <v>38</v>
      </c>
      <c r="K14" s="193"/>
      <c r="L14" s="194"/>
      <c r="M14" s="222">
        <f>_xlfn.IFNA(VLOOKUP(B14, 현재가테이블!$B$2:$D$200, 3, FALSE), "-")</f>
        <v>-1.9557649E-2</v>
      </c>
      <c r="N14" s="223"/>
      <c r="O14" s="224"/>
      <c r="Q14" s="213"/>
      <c r="R14" s="213"/>
      <c r="S14" s="213"/>
    </row>
    <row r="15" spans="1:19" ht="17.25" customHeight="1" thickBot="1">
      <c r="A15" s="257" t="s">
        <v>39</v>
      </c>
      <c r="B15" s="258" t="str">
        <f>TEXT($G$1, "[$-ko-KR]yyyy-mm-dd(ddd) ") &amp; "오전 00:00"</f>
        <v>2021-06-03(목) 오전 00:00</v>
      </c>
      <c r="C15" s="259"/>
      <c r="D15" s="215" t="str">
        <f>TEXT($G$1, "[$-ko-KR]yyyy-mm-dd(ddd) ") &amp; "오후 14:00"</f>
        <v>2021-06-03(목) 오후 14:00</v>
      </c>
      <c r="E15" s="216"/>
      <c r="F15" s="217"/>
      <c r="G15" s="215" t="str">
        <f>TEXT($G$1, "[$-ko-KR]yyyy-mm-dd(ddd) ") &amp; "오후 19:00"</f>
        <v>2021-06-03(목) 오후 19:00</v>
      </c>
      <c r="H15" s="216"/>
      <c r="I15" s="217"/>
      <c r="J15" s="215" t="str">
        <f>TEXT($G$1, "[$-ko-KR]yyyy-mm-dd(ddd) ") &amp; "오후 21:00"</f>
        <v>2021-06-03(목) 오후 21:00</v>
      </c>
      <c r="K15" s="216"/>
      <c r="L15" s="217"/>
      <c r="M15" s="215" t="str">
        <f>TEXT($G$1+1, "[$-ko-KR]yyyy-mm-dd(ddd) ") &amp; "오전 00:00"</f>
        <v>2021-06-04(금) 오전 00:00</v>
      </c>
      <c r="N15" s="216"/>
      <c r="O15" s="217"/>
      <c r="Q15" s="213"/>
      <c r="R15" s="213"/>
      <c r="S15" s="213"/>
    </row>
    <row r="16" spans="1:19" ht="17.25" customHeight="1" thickBot="1">
      <c r="A16" s="25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8"/>
      <c r="R16" s="218"/>
      <c r="S16" s="21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13"/>
      <c r="R17" s="213"/>
      <c r="S17" s="213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13"/>
      <c r="R18" s="213"/>
      <c r="S18" s="213"/>
    </row>
    <row r="19" spans="1:19" ht="17.25" customHeight="1" thickBot="1">
      <c r="A19" s="162" t="s">
        <v>246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218"/>
      <c r="R19" s="218"/>
      <c r="S19" s="218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218"/>
      <c r="R20" s="218"/>
      <c r="S20" s="218"/>
    </row>
    <row r="21" spans="1:19" ht="17.25" customHeight="1" thickBot="1">
      <c r="A21" s="163" t="s">
        <v>202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218"/>
      <c r="R21" s="218"/>
      <c r="S21" s="218"/>
    </row>
    <row r="22" spans="1:19" ht="17.25" customHeight="1" thickBot="1">
      <c r="A22" s="162" t="s">
        <v>212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218"/>
      <c r="R22" s="218"/>
      <c r="S22" s="218"/>
    </row>
    <row r="23" spans="1:19" ht="17.25" customHeight="1" thickBot="1">
      <c r="A23" s="162" t="s">
        <v>184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218"/>
      <c r="R23" s="218"/>
      <c r="S23" s="218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218"/>
      <c r="R24" s="218"/>
      <c r="S24" s="218"/>
    </row>
    <row r="25" spans="1:19" ht="17.25" customHeight="1" thickBot="1">
      <c r="A25" s="162" t="s">
        <v>166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27"/>
      <c r="R26" s="228"/>
      <c r="S26" s="229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230"/>
      <c r="R27" s="231"/>
      <c r="S27" s="232"/>
    </row>
    <row r="28" spans="1:19" ht="17.25" customHeight="1" thickBot="1">
      <c r="A28" s="162" t="s">
        <v>220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233"/>
      <c r="R28" s="234"/>
      <c r="S28" s="235"/>
    </row>
    <row r="29" spans="1:19" ht="17.25" customHeight="1" thickBot="1">
      <c r="A29" s="162" t="s">
        <v>164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218"/>
      <c r="R29" s="218"/>
      <c r="S29" s="218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13"/>
      <c r="R30" s="213"/>
      <c r="S30" s="213"/>
    </row>
    <row r="31" spans="1:19" ht="17.25" customHeight="1" thickBot="1">
      <c r="A31" s="163" t="s">
        <v>178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13"/>
      <c r="R31" s="213"/>
      <c r="S31" s="213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218"/>
      <c r="R32" s="218"/>
      <c r="S32" s="21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8"/>
      <c r="R33" s="218"/>
      <c r="S33" s="21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8"/>
      <c r="R34" s="218"/>
      <c r="S34" s="21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0"/>
      <c r="R35" s="241"/>
      <c r="S35" s="24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3"/>
      <c r="R36" s="244"/>
      <c r="S36" s="245"/>
    </row>
    <row r="37" spans="1:19" ht="17.25" customHeight="1" thickBot="1">
      <c r="A37" s="132" t="s">
        <v>42</v>
      </c>
      <c r="B37" s="251">
        <v>100000</v>
      </c>
      <c r="C37" s="252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246"/>
      <c r="R37" s="247"/>
      <c r="S37" s="248"/>
    </row>
    <row r="38" spans="1:19" ht="17.25" customHeight="1"/>
    <row r="39" spans="1:19" ht="17.25" customHeight="1" thickBot="1"/>
    <row r="40" spans="1:19" ht="17.25" customHeight="1" thickBot="1">
      <c r="A40" s="192" t="s">
        <v>44</v>
      </c>
      <c r="B40" s="193"/>
      <c r="C40" s="193"/>
      <c r="D40" s="193"/>
      <c r="E40" s="193"/>
      <c r="F40" s="193"/>
      <c r="G40" s="193"/>
      <c r="H40" s="193"/>
      <c r="I40" s="193"/>
      <c r="J40" s="193"/>
      <c r="K40" s="193"/>
      <c r="L40" s="193"/>
      <c r="M40" s="193"/>
      <c r="N40" s="193"/>
      <c r="O40" s="194"/>
      <c r="Q40" s="213"/>
      <c r="R40" s="213"/>
      <c r="S40" s="213"/>
    </row>
    <row r="41" spans="1:19" ht="17.25" customHeight="1" thickBot="1">
      <c r="A41" s="168" t="s">
        <v>297</v>
      </c>
      <c r="B41" s="192" t="s">
        <v>49</v>
      </c>
      <c r="C41" s="194"/>
      <c r="D41" s="192" t="s">
        <v>58</v>
      </c>
      <c r="E41" s="193"/>
      <c r="F41" s="194"/>
      <c r="G41" s="219">
        <f>_xlfn.IFNA(VLOOKUP(B41, 현재가테이블!$B$2:$D$200, 2, FALSE), "-")</f>
        <v>38300000</v>
      </c>
      <c r="H41" s="220"/>
      <c r="I41" s="221"/>
      <c r="J41" s="192" t="s">
        <v>59</v>
      </c>
      <c r="K41" s="193"/>
      <c r="L41" s="194"/>
      <c r="M41" s="222">
        <f>_xlfn.IFNA(VLOOKUP(B41, 현재가테이블!$B$2:$D$200, 3, FALSE), "-")</f>
        <v>-1.9557649E-2</v>
      </c>
      <c r="N41" s="223"/>
      <c r="O41" s="224"/>
      <c r="Q41" s="213"/>
      <c r="R41" s="213"/>
      <c r="S41" s="213"/>
    </row>
    <row r="42" spans="1:19" ht="17.25" customHeight="1" thickBot="1">
      <c r="A42" s="253" t="s">
        <v>55</v>
      </c>
      <c r="B42" s="255" t="str">
        <f>TEXT($G$1, "[$-ko-KR]yyyy-mm-dd(ddd) ") &amp; "오전 00:00"</f>
        <v>2021-06-03(목) 오전 00:00</v>
      </c>
      <c r="C42" s="256"/>
      <c r="D42" s="215" t="str">
        <f>TEXT($G$1, "[$-ko-KR]yyyy-mm-dd(ddd) ") &amp; "오후 14:00"</f>
        <v>2021-06-03(목) 오후 14:00</v>
      </c>
      <c r="E42" s="216"/>
      <c r="F42" s="217"/>
      <c r="G42" s="215" t="str">
        <f>TEXT($G$1, "[$-ko-KR]yyyy-mm-dd(ddd) ") &amp; "오후 19:00"</f>
        <v>2021-06-03(목) 오후 19:00</v>
      </c>
      <c r="H42" s="216"/>
      <c r="I42" s="217"/>
      <c r="J42" s="215" t="str">
        <f>TEXT($G$1, "[$-ko-KR]yyyy-mm-dd(ddd) ") &amp; "오후 21:00"</f>
        <v>2021-06-03(목) 오후 21:00</v>
      </c>
      <c r="K42" s="216"/>
      <c r="L42" s="217"/>
      <c r="M42" s="215" t="str">
        <f>TEXT($G$1+1, "[$-ko-KR]yyyy-mm-dd(ddd) ") &amp; "오전 00:00"</f>
        <v>2021-06-04(금) 오전 00:00</v>
      </c>
      <c r="N42" s="216"/>
      <c r="O42" s="217"/>
      <c r="Q42" s="213"/>
      <c r="R42" s="213"/>
      <c r="S42" s="213"/>
    </row>
    <row r="43" spans="1:19" ht="17.25" customHeight="1" thickBot="1">
      <c r="A43" s="25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9" t="s">
        <v>58</v>
      </c>
      <c r="H43" s="170" t="s">
        <v>298</v>
      </c>
      <c r="I43" s="17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8"/>
      <c r="R43" s="218"/>
      <c r="S43" s="218"/>
    </row>
    <row r="44" spans="1:19" ht="17.25" customHeight="1" thickBot="1">
      <c r="A44" s="161" t="s">
        <v>220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13"/>
      <c r="R44" s="213"/>
      <c r="S44" s="213"/>
    </row>
    <row r="45" spans="1:19" ht="17.25" customHeight="1" thickBot="1">
      <c r="A45" s="162" t="s">
        <v>198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13"/>
      <c r="R45" s="213"/>
      <c r="S45" s="213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218"/>
      <c r="R46" s="218"/>
      <c r="S46" s="218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218"/>
      <c r="R47" s="218"/>
      <c r="S47" s="218"/>
    </row>
    <row r="48" spans="1:19" ht="17.25" customHeight="1" thickBot="1">
      <c r="A48" s="163" t="s">
        <v>214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218"/>
      <c r="R48" s="218"/>
      <c r="S48" s="218"/>
    </row>
    <row r="49" spans="1:19" ht="17.25" customHeight="1" thickBot="1">
      <c r="A49" s="162" t="s">
        <v>278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218"/>
      <c r="R49" s="218"/>
      <c r="S49" s="218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218"/>
      <c r="R50" s="218"/>
      <c r="S50" s="218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218"/>
      <c r="R51" s="218"/>
      <c r="S51" s="218"/>
    </row>
    <row r="52" spans="1:19" ht="17.25" customHeight="1" thickBot="1">
      <c r="A52" s="162" t="s">
        <v>196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27"/>
      <c r="R53" s="228"/>
      <c r="S53" s="229"/>
    </row>
    <row r="54" spans="1:19" ht="17.25" customHeight="1">
      <c r="A54" s="161" t="s">
        <v>218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230"/>
      <c r="R54" s="231"/>
      <c r="S54" s="232"/>
    </row>
    <row r="55" spans="1:19" ht="17.25" customHeight="1" thickBot="1">
      <c r="A55" s="162" t="s">
        <v>236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233"/>
      <c r="R55" s="234"/>
      <c r="S55" s="235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218"/>
      <c r="R56" s="218"/>
      <c r="S56" s="218"/>
    </row>
    <row r="57" spans="1:19" ht="17.25" customHeight="1" thickBot="1">
      <c r="A57" s="162" t="s">
        <v>228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13"/>
      <c r="R57" s="213"/>
      <c r="S57" s="213"/>
    </row>
    <row r="58" spans="1:19" ht="17.25" customHeight="1" thickBot="1">
      <c r="A58" s="163" t="s">
        <v>212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13"/>
      <c r="R58" s="213"/>
      <c r="S58" s="213"/>
    </row>
    <row r="59" spans="1:19" ht="17.25" customHeight="1" thickBot="1">
      <c r="A59" s="162" t="s">
        <v>254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218"/>
      <c r="R59" s="218"/>
      <c r="S59" s="218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218"/>
      <c r="R60" s="218"/>
      <c r="S60" s="218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218"/>
      <c r="R61" s="218"/>
      <c r="S61" s="218"/>
    </row>
    <row r="62" spans="1:19" ht="17.25" customHeight="1">
      <c r="A62" s="162" t="s">
        <v>264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240"/>
      <c r="R62" s="241"/>
      <c r="S62" s="242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243"/>
      <c r="R63" s="244"/>
      <c r="S63" s="245"/>
    </row>
    <row r="64" spans="1:19" ht="17.25" customHeight="1" thickBot="1">
      <c r="A64" s="132" t="s">
        <v>300</v>
      </c>
      <c r="B64" s="251">
        <f>$B$37</f>
        <v>100000</v>
      </c>
      <c r="C64" s="252"/>
      <c r="D64" s="26" t="s">
        <v>301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301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301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301</v>
      </c>
      <c r="N64" s="27">
        <f>IF(COUNT(N44:N63), SUM(N44:N63) / COUNT(N44:N63), 0)</f>
        <v>1.8179595803991418E-2</v>
      </c>
      <c r="O64" s="28">
        <f>SUM(O44:O63)</f>
        <v>36359.191607982844</v>
      </c>
      <c r="Q64" s="246"/>
      <c r="R64" s="247"/>
      <c r="S64" s="248"/>
    </row>
    <row r="65" spans="1:19" ht="17.25" customHeight="1"/>
    <row r="66" spans="1:19" ht="17.25" customHeight="1" thickBot="1"/>
    <row r="67" spans="1:19" ht="17.25" thickBot="1">
      <c r="A67" s="192" t="s">
        <v>45</v>
      </c>
      <c r="B67" s="193"/>
      <c r="C67" s="193"/>
      <c r="D67" s="193"/>
      <c r="E67" s="193"/>
      <c r="F67" s="193"/>
      <c r="G67" s="193"/>
      <c r="H67" s="193"/>
      <c r="I67" s="193"/>
      <c r="J67" s="193"/>
      <c r="K67" s="193"/>
      <c r="L67" s="193"/>
      <c r="M67" s="193"/>
      <c r="N67" s="193"/>
      <c r="O67" s="194"/>
      <c r="Q67" s="213"/>
      <c r="R67" s="213"/>
      <c r="S67" s="213"/>
    </row>
    <row r="68" spans="1:19" ht="17.25" thickBot="1">
      <c r="A68" s="168" t="s">
        <v>297</v>
      </c>
      <c r="B68" s="192" t="s">
        <v>49</v>
      </c>
      <c r="C68" s="194"/>
      <c r="D68" s="192" t="s">
        <v>58</v>
      </c>
      <c r="E68" s="193"/>
      <c r="F68" s="194"/>
      <c r="G68" s="219">
        <f>_xlfn.IFNA(VLOOKUP(B68, 현재가테이블!$B$2:$D$200, 2, FALSE), "-")</f>
        <v>38300000</v>
      </c>
      <c r="H68" s="220"/>
      <c r="I68" s="221"/>
      <c r="J68" s="192" t="s">
        <v>59</v>
      </c>
      <c r="K68" s="193"/>
      <c r="L68" s="194"/>
      <c r="M68" s="222">
        <f>_xlfn.IFNA(VLOOKUP(B68, 현재가테이블!$B$2:$D$200, 3, FALSE), "-")</f>
        <v>-1.9557649E-2</v>
      </c>
      <c r="N68" s="223"/>
      <c r="O68" s="224"/>
      <c r="Q68" s="213"/>
      <c r="R68" s="213"/>
      <c r="S68" s="213"/>
    </row>
    <row r="69" spans="1:19" ht="17.25" thickBot="1">
      <c r="A69" s="253" t="s">
        <v>55</v>
      </c>
      <c r="B69" s="255" t="str">
        <f>TEXT($G$1, "[$-ko-KR]yyyy-mm-dd(ddd) ") &amp; "오전 00:00"</f>
        <v>2021-06-03(목) 오전 00:00</v>
      </c>
      <c r="C69" s="256"/>
      <c r="D69" s="215" t="str">
        <f>TEXT($G$1, "[$-ko-KR]yyyy-mm-dd(ddd) ") &amp; "오후 14:00"</f>
        <v>2021-06-03(목) 오후 14:00</v>
      </c>
      <c r="E69" s="216"/>
      <c r="F69" s="217"/>
      <c r="G69" s="215" t="str">
        <f>TEXT($G$1, "[$-ko-KR]yyyy-mm-dd(ddd) ") &amp; "오후 19:00"</f>
        <v>2021-06-03(목) 오후 19:00</v>
      </c>
      <c r="H69" s="216"/>
      <c r="I69" s="217"/>
      <c r="J69" s="215" t="str">
        <f>TEXT($G$1, "[$-ko-KR]yyyy-mm-dd(ddd) ") &amp; "오후 21:00"</f>
        <v>2021-06-03(목) 오후 21:00</v>
      </c>
      <c r="K69" s="216"/>
      <c r="L69" s="217"/>
      <c r="M69" s="215" t="str">
        <f>TEXT($G$1+1, "[$-ko-KR]yyyy-mm-dd(ddd) ") &amp; "오전 00:00"</f>
        <v>2021-06-04(금) 오전 00:00</v>
      </c>
      <c r="N69" s="216"/>
      <c r="O69" s="217"/>
      <c r="Q69" s="213"/>
      <c r="R69" s="213"/>
      <c r="S69" s="213"/>
    </row>
    <row r="70" spans="1:19" ht="17.25" thickBot="1">
      <c r="A70" s="25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9" t="s">
        <v>58</v>
      </c>
      <c r="H70" s="170" t="s">
        <v>298</v>
      </c>
      <c r="I70" s="17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8"/>
      <c r="R70" s="218"/>
      <c r="S70" s="218"/>
    </row>
    <row r="71" spans="1:19" ht="17.25" thickBot="1">
      <c r="A71" s="161" t="s">
        <v>296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13"/>
      <c r="R71" s="213"/>
      <c r="S71" s="213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13"/>
      <c r="R72" s="213"/>
      <c r="S72" s="213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218"/>
      <c r="R73" s="218"/>
      <c r="S73" s="218"/>
    </row>
    <row r="74" spans="1:19" ht="17.25" thickBot="1">
      <c r="A74" s="162" t="s">
        <v>232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218"/>
      <c r="R74" s="218"/>
      <c r="S74" s="218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218"/>
      <c r="R75" s="218"/>
      <c r="S75" s="218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218"/>
      <c r="R76" s="218"/>
      <c r="S76" s="218"/>
    </row>
    <row r="77" spans="1:19" ht="17.25" thickBot="1">
      <c r="A77" s="162" t="s">
        <v>202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218"/>
      <c r="R77" s="218"/>
      <c r="S77" s="218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218"/>
      <c r="R78" s="218"/>
      <c r="S78" s="218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216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27"/>
      <c r="R80" s="228"/>
      <c r="S80" s="229"/>
    </row>
    <row r="81" spans="1:19">
      <c r="A81" s="161" t="s">
        <v>240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230"/>
      <c r="R81" s="231"/>
      <c r="S81" s="232"/>
    </row>
    <row r="82" spans="1:19" ht="17.25" thickBot="1">
      <c r="A82" s="162" t="s">
        <v>284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233"/>
      <c r="R82" s="234"/>
      <c r="S82" s="235"/>
    </row>
    <row r="83" spans="1:19" ht="17.25" thickBot="1">
      <c r="A83" s="162" t="s">
        <v>210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218"/>
      <c r="R83" s="218"/>
      <c r="S83" s="218"/>
    </row>
    <row r="84" spans="1:19" ht="17.25" thickBot="1">
      <c r="A84" s="162" t="s">
        <v>256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13"/>
      <c r="R84" s="213"/>
      <c r="S84" s="213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13"/>
      <c r="R85" s="213"/>
      <c r="S85" s="213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218"/>
      <c r="R86" s="218"/>
      <c r="S86" s="218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218"/>
      <c r="R87" s="218"/>
      <c r="S87" s="218"/>
    </row>
    <row r="88" spans="1:19" ht="17.25" thickBot="1">
      <c r="A88" s="162" t="s">
        <v>182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218"/>
      <c r="R88" s="218"/>
      <c r="S88" s="218"/>
    </row>
    <row r="89" spans="1:19">
      <c r="A89" s="162" t="s">
        <v>270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240"/>
      <c r="R89" s="241"/>
      <c r="S89" s="242"/>
    </row>
    <row r="90" spans="1:19" ht="17.25" thickBot="1">
      <c r="A90" s="130" t="s">
        <v>262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243"/>
      <c r="R90" s="244"/>
      <c r="S90" s="245"/>
    </row>
    <row r="91" spans="1:19" ht="17.25" thickBot="1">
      <c r="A91" s="132" t="s">
        <v>300</v>
      </c>
      <c r="B91" s="251">
        <f>$B$37</f>
        <v>100000</v>
      </c>
      <c r="C91" s="252"/>
      <c r="D91" s="26" t="s">
        <v>301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301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301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301</v>
      </c>
      <c r="N91" s="27">
        <f>IF(COUNT(N71:N90), SUM(N71:N90) / COUNT(N71:N90), 0)</f>
        <v>2.7547899196957503E-2</v>
      </c>
      <c r="O91" s="28">
        <f>SUM(O71:O90)</f>
        <v>55095.798393914993</v>
      </c>
      <c r="Q91" s="246"/>
      <c r="R91" s="247"/>
      <c r="S91" s="248"/>
    </row>
    <row r="93" spans="1:19" ht="17.25" thickBot="1"/>
    <row r="94" spans="1:19" ht="17.25" thickBot="1">
      <c r="A94" s="192" t="s">
        <v>46</v>
      </c>
      <c r="B94" s="193"/>
      <c r="C94" s="193"/>
      <c r="D94" s="193"/>
      <c r="E94" s="193"/>
      <c r="F94" s="193"/>
      <c r="G94" s="193"/>
      <c r="H94" s="193"/>
      <c r="I94" s="193"/>
      <c r="J94" s="193"/>
      <c r="K94" s="193"/>
      <c r="L94" s="193"/>
      <c r="M94" s="193"/>
      <c r="N94" s="193"/>
      <c r="O94" s="194"/>
      <c r="Q94" s="213"/>
      <c r="R94" s="213"/>
      <c r="S94" s="213"/>
    </row>
    <row r="95" spans="1:19" ht="17.25" thickBot="1">
      <c r="A95" s="168" t="s">
        <v>297</v>
      </c>
      <c r="B95" s="192" t="s">
        <v>49</v>
      </c>
      <c r="C95" s="194"/>
      <c r="D95" s="192" t="s">
        <v>58</v>
      </c>
      <c r="E95" s="193"/>
      <c r="F95" s="194"/>
      <c r="G95" s="219">
        <f>_xlfn.IFNA(VLOOKUP(B95, 현재가테이블!$B$2:$D$200, 2, FALSE), "-")</f>
        <v>38300000</v>
      </c>
      <c r="H95" s="220"/>
      <c r="I95" s="221"/>
      <c r="J95" s="192" t="s">
        <v>59</v>
      </c>
      <c r="K95" s="193"/>
      <c r="L95" s="194"/>
      <c r="M95" s="222">
        <f>_xlfn.IFNA(VLOOKUP(B95, 현재가테이블!$B$2:$D$200, 3, FALSE), "-")</f>
        <v>-1.9557649E-2</v>
      </c>
      <c r="N95" s="223"/>
      <c r="O95" s="224"/>
      <c r="Q95" s="213"/>
      <c r="R95" s="213"/>
      <c r="S95" s="213"/>
    </row>
    <row r="96" spans="1:19" ht="17.25" thickBot="1">
      <c r="A96" s="253" t="s">
        <v>55</v>
      </c>
      <c r="B96" s="255" t="str">
        <f>TEXT($G$1, "[$-ko-KR]yyyy-mm-dd(ddd) ") &amp; "오전 00:00"</f>
        <v>2021-06-03(목) 오전 00:00</v>
      </c>
      <c r="C96" s="256"/>
      <c r="D96" s="215" t="str">
        <f>TEXT($G$1, "[$-ko-KR]yyyy-mm-dd(ddd) ") &amp; "오후 14:00"</f>
        <v>2021-06-03(목) 오후 14:00</v>
      </c>
      <c r="E96" s="216"/>
      <c r="F96" s="217"/>
      <c r="G96" s="215" t="str">
        <f>TEXT($G$1, "[$-ko-KR]yyyy-mm-dd(ddd) ") &amp; "오후 19:00"</f>
        <v>2021-06-03(목) 오후 19:00</v>
      </c>
      <c r="H96" s="216"/>
      <c r="I96" s="217"/>
      <c r="J96" s="215" t="str">
        <f>TEXT($G$1, "[$-ko-KR]yyyy-mm-dd(ddd) ") &amp; "오후 21:00"</f>
        <v>2021-06-03(목) 오후 21:00</v>
      </c>
      <c r="K96" s="216"/>
      <c r="L96" s="217"/>
      <c r="M96" s="215" t="str">
        <f>TEXT($G$1+1, "[$-ko-KR]yyyy-mm-dd(ddd) ") &amp; "오전 00:00"</f>
        <v>2021-06-04(금) 오전 00:00</v>
      </c>
      <c r="N96" s="216"/>
      <c r="O96" s="217"/>
      <c r="Q96" s="213"/>
      <c r="R96" s="213"/>
      <c r="S96" s="213"/>
    </row>
    <row r="97" spans="1:19" ht="17.25" thickBot="1">
      <c r="A97" s="25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9" t="s">
        <v>58</v>
      </c>
      <c r="H97" s="170" t="s">
        <v>298</v>
      </c>
      <c r="I97" s="17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8"/>
      <c r="R97" s="218"/>
      <c r="S97" s="218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13"/>
      <c r="R98" s="213"/>
      <c r="S98" s="213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13"/>
      <c r="R99" s="213"/>
      <c r="S99" s="213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218"/>
      <c r="R100" s="218"/>
      <c r="S100" s="218"/>
    </row>
    <row r="101" spans="1:19" ht="17.25" thickBot="1">
      <c r="A101" s="162" t="s">
        <v>296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218"/>
      <c r="R101" s="218"/>
      <c r="S101" s="218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218"/>
      <c r="R102" s="218"/>
      <c r="S102" s="218"/>
    </row>
    <row r="103" spans="1:19" ht="17.25" thickBot="1">
      <c r="A103" s="162" t="s">
        <v>184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218"/>
      <c r="R103" s="218"/>
      <c r="S103" s="218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218"/>
      <c r="R104" s="218"/>
      <c r="S104" s="218"/>
    </row>
    <row r="105" spans="1:19" ht="17.25" thickBot="1">
      <c r="A105" s="162" t="s">
        <v>166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218"/>
      <c r="R105" s="218"/>
      <c r="S105" s="218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27"/>
      <c r="R107" s="228"/>
      <c r="S107" s="229"/>
    </row>
    <row r="108" spans="1:19">
      <c r="A108" s="161" t="s">
        <v>220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230"/>
      <c r="R108" s="231"/>
      <c r="S108" s="232"/>
    </row>
    <row r="109" spans="1:19" ht="17.25" thickBot="1">
      <c r="A109" s="162" t="s">
        <v>164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233"/>
      <c r="R109" s="234"/>
      <c r="S109" s="235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218"/>
      <c r="R110" s="218"/>
      <c r="S110" s="218"/>
    </row>
    <row r="111" spans="1:19" ht="17.25" thickBot="1">
      <c r="A111" s="162" t="s">
        <v>178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13"/>
      <c r="R111" s="213"/>
      <c r="S111" s="213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13"/>
      <c r="R112" s="213"/>
      <c r="S112" s="213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218"/>
      <c r="R113" s="218"/>
      <c r="S113" s="218"/>
    </row>
    <row r="114" spans="1:19" ht="17.25" thickBot="1">
      <c r="A114" s="162" t="s">
        <v>180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218"/>
      <c r="R114" s="218"/>
      <c r="S114" s="218"/>
    </row>
    <row r="115" spans="1:19" ht="17.25" thickBot="1">
      <c r="A115" s="162" t="s">
        <v>232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218"/>
      <c r="R115" s="218"/>
      <c r="S115" s="218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240"/>
      <c r="R116" s="241"/>
      <c r="S116" s="242"/>
    </row>
    <row r="117" spans="1:19" ht="17.25" thickBot="1">
      <c r="A117" s="130" t="s">
        <v>242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243"/>
      <c r="R117" s="244"/>
      <c r="S117" s="245"/>
    </row>
    <row r="118" spans="1:19" ht="17.25" thickBot="1">
      <c r="A118" s="132" t="s">
        <v>300</v>
      </c>
      <c r="B118" s="251">
        <f>$B$37</f>
        <v>100000</v>
      </c>
      <c r="C118" s="252"/>
      <c r="D118" s="26" t="s">
        <v>301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301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301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301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246"/>
      <c r="R118" s="247"/>
      <c r="S118" s="248"/>
    </row>
    <row r="120" spans="1:19" ht="17.25" thickBot="1"/>
    <row r="121" spans="1:19" ht="17.25" thickBot="1">
      <c r="A121" s="192" t="s">
        <v>288</v>
      </c>
      <c r="B121" s="193"/>
      <c r="C121" s="193"/>
      <c r="D121" s="193"/>
      <c r="E121" s="193"/>
      <c r="F121" s="193"/>
      <c r="G121" s="193"/>
      <c r="H121" s="193"/>
      <c r="I121" s="193"/>
      <c r="J121" s="193"/>
      <c r="K121" s="193"/>
      <c r="L121" s="193"/>
      <c r="M121" s="193"/>
      <c r="N121" s="193"/>
      <c r="O121" s="194"/>
      <c r="Q121" s="213"/>
      <c r="R121" s="213"/>
      <c r="S121" s="213"/>
    </row>
    <row r="122" spans="1:19" ht="17.25" thickBot="1">
      <c r="A122" s="168" t="s">
        <v>297</v>
      </c>
      <c r="B122" s="192" t="s">
        <v>49</v>
      </c>
      <c r="C122" s="194"/>
      <c r="D122" s="192" t="s">
        <v>58</v>
      </c>
      <c r="E122" s="193"/>
      <c r="F122" s="194"/>
      <c r="G122" s="219">
        <f>_xlfn.IFNA(VLOOKUP(B122, 현재가테이블!$B$2:$D$200, 2, FALSE), "-")</f>
        <v>38300000</v>
      </c>
      <c r="H122" s="220"/>
      <c r="I122" s="221"/>
      <c r="J122" s="192" t="s">
        <v>59</v>
      </c>
      <c r="K122" s="193"/>
      <c r="L122" s="194"/>
      <c r="M122" s="222">
        <f>_xlfn.IFNA(VLOOKUP(B122, 현재가테이블!$B$2:$D$200, 3, FALSE), "-")</f>
        <v>-1.9557649E-2</v>
      </c>
      <c r="N122" s="223"/>
      <c r="O122" s="224"/>
      <c r="Q122" s="213"/>
      <c r="R122" s="213"/>
      <c r="S122" s="213"/>
    </row>
    <row r="123" spans="1:19" ht="17.25" thickBot="1">
      <c r="A123" s="253" t="s">
        <v>55</v>
      </c>
      <c r="B123" s="255" t="str">
        <f>TEXT($G$1, "[$-ko-KR]yyyy-mm-dd(ddd) ") &amp; "오전 00:00"</f>
        <v>2021-06-03(목) 오전 00:00</v>
      </c>
      <c r="C123" s="256"/>
      <c r="D123" s="215" t="str">
        <f>TEXT($G$1, "[$-ko-KR]yyyy-mm-dd(ddd) ") &amp; "오후 14:00"</f>
        <v>2021-06-03(목) 오후 14:00</v>
      </c>
      <c r="E123" s="216"/>
      <c r="F123" s="217"/>
      <c r="G123" s="215" t="str">
        <f>TEXT($G$1, "[$-ko-KR]yyyy-mm-dd(ddd) ") &amp; "오후 19:00"</f>
        <v>2021-06-03(목) 오후 19:00</v>
      </c>
      <c r="H123" s="216"/>
      <c r="I123" s="217"/>
      <c r="J123" s="215" t="str">
        <f>TEXT($G$1, "[$-ko-KR]yyyy-mm-dd(ddd) ") &amp; "오후 21:00"</f>
        <v>2021-06-03(목) 오후 21:00</v>
      </c>
      <c r="K123" s="216"/>
      <c r="L123" s="217"/>
      <c r="M123" s="215" t="str">
        <f>TEXT($G$1+1, "[$-ko-KR]yyyy-mm-dd(ddd) ") &amp; "오전 00:00"</f>
        <v>2021-06-04(금) 오전 00:00</v>
      </c>
      <c r="N123" s="216"/>
      <c r="O123" s="217"/>
      <c r="Q123" s="213"/>
      <c r="R123" s="213"/>
      <c r="S123" s="213"/>
    </row>
    <row r="124" spans="1:19" ht="17.25" thickBot="1">
      <c r="A124" s="25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9" t="s">
        <v>58</v>
      </c>
      <c r="H124" s="170" t="s">
        <v>298</v>
      </c>
      <c r="I124" s="17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8"/>
      <c r="R124" s="218"/>
      <c r="S124" s="218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13"/>
      <c r="R125" s="213"/>
      <c r="S125" s="213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13"/>
      <c r="R126" s="213"/>
      <c r="S126" s="213"/>
    </row>
    <row r="127" spans="1:19" ht="17.25" thickBot="1">
      <c r="A127" s="162" t="s">
        <v>196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218"/>
      <c r="R127" s="218"/>
      <c r="S127" s="218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218"/>
      <c r="R128" s="218"/>
      <c r="S128" s="218"/>
    </row>
    <row r="129" spans="1:19" ht="17.25" thickBot="1">
      <c r="A129" s="163" t="s">
        <v>218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218"/>
      <c r="R129" s="218"/>
      <c r="S129" s="218"/>
    </row>
    <row r="130" spans="1:19" ht="17.25" thickBot="1">
      <c r="A130" s="162" t="s">
        <v>236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218"/>
      <c r="R130" s="218"/>
      <c r="S130" s="218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218"/>
      <c r="R131" s="218"/>
      <c r="S131" s="218"/>
    </row>
    <row r="132" spans="1:19" ht="17.25" thickBot="1">
      <c r="A132" s="162" t="s">
        <v>228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218"/>
      <c r="R132" s="218"/>
      <c r="S132" s="218"/>
    </row>
    <row r="133" spans="1:19" ht="17.25" thickBot="1">
      <c r="A133" s="162" t="s">
        <v>212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254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27"/>
      <c r="R134" s="228"/>
      <c r="S134" s="229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230"/>
      <c r="R135" s="231"/>
      <c r="S135" s="232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233"/>
      <c r="R136" s="234"/>
      <c r="S136" s="235"/>
    </row>
    <row r="137" spans="1:19" ht="17.25" thickBot="1">
      <c r="A137" s="162" t="s">
        <v>264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218"/>
      <c r="R137" s="218"/>
      <c r="S137" s="218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13"/>
      <c r="R138" s="213"/>
      <c r="S138" s="213"/>
    </row>
    <row r="139" spans="1:19" ht="17.25" thickBot="1">
      <c r="A139" s="163" t="s">
        <v>268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13"/>
      <c r="R139" s="213"/>
      <c r="S139" s="213"/>
    </row>
    <row r="140" spans="1:19" ht="17.25" thickBot="1">
      <c r="A140" s="162" t="s">
        <v>222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218"/>
      <c r="R140" s="218"/>
      <c r="S140" s="218"/>
    </row>
    <row r="141" spans="1:19" ht="17.25" thickBot="1">
      <c r="A141" s="162" t="s">
        <v>266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218"/>
      <c r="R141" s="218"/>
      <c r="S141" s="218"/>
    </row>
    <row r="142" spans="1:19" ht="17.25" thickBot="1">
      <c r="A142" s="162" t="s">
        <v>172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218"/>
      <c r="R142" s="218"/>
      <c r="S142" s="218"/>
    </row>
    <row r="143" spans="1:19">
      <c r="A143" s="162" t="s">
        <v>186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240"/>
      <c r="R143" s="241"/>
      <c r="S143" s="242"/>
    </row>
    <row r="144" spans="1:19" ht="17.25" thickBot="1">
      <c r="A144" s="130" t="s">
        <v>260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243"/>
      <c r="R144" s="244"/>
      <c r="S144" s="245"/>
    </row>
    <row r="145" spans="1:19" ht="17.25" thickBot="1">
      <c r="A145" s="132" t="s">
        <v>300</v>
      </c>
      <c r="B145" s="251">
        <f>$B$37</f>
        <v>100000</v>
      </c>
      <c r="C145" s="252"/>
      <c r="D145" s="26" t="s">
        <v>301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301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301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301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246"/>
      <c r="R145" s="247"/>
      <c r="S145" s="248"/>
    </row>
    <row r="147" spans="1:19" ht="17.25" thickBot="1"/>
    <row r="148" spans="1:19" ht="17.25" thickBot="1">
      <c r="A148" s="192" t="s">
        <v>289</v>
      </c>
      <c r="B148" s="193"/>
      <c r="C148" s="193"/>
      <c r="D148" s="193"/>
      <c r="E148" s="193"/>
      <c r="F148" s="193"/>
      <c r="G148" s="193"/>
      <c r="H148" s="193"/>
      <c r="I148" s="193"/>
      <c r="J148" s="193"/>
      <c r="K148" s="193"/>
      <c r="L148" s="193"/>
      <c r="M148" s="193"/>
      <c r="N148" s="193"/>
      <c r="O148" s="194"/>
      <c r="Q148" s="213"/>
      <c r="R148" s="213"/>
      <c r="S148" s="213"/>
    </row>
    <row r="149" spans="1:19" ht="17.25" thickBot="1">
      <c r="A149" s="168" t="s">
        <v>297</v>
      </c>
      <c r="B149" s="192" t="s">
        <v>49</v>
      </c>
      <c r="C149" s="194"/>
      <c r="D149" s="192" t="s">
        <v>58</v>
      </c>
      <c r="E149" s="193"/>
      <c r="F149" s="194"/>
      <c r="G149" s="219">
        <f>_xlfn.IFNA(VLOOKUP(B149, 현재가테이블!$B$2:$D$200, 2, FALSE), "-")</f>
        <v>38300000</v>
      </c>
      <c r="H149" s="220"/>
      <c r="I149" s="221"/>
      <c r="J149" s="192" t="s">
        <v>59</v>
      </c>
      <c r="K149" s="193"/>
      <c r="L149" s="194"/>
      <c r="M149" s="222">
        <f>_xlfn.IFNA(VLOOKUP(B149, 현재가테이블!$B$2:$D$200, 3, FALSE), "-")</f>
        <v>-1.9557649E-2</v>
      </c>
      <c r="N149" s="223"/>
      <c r="O149" s="224"/>
      <c r="Q149" s="213"/>
      <c r="R149" s="213"/>
      <c r="S149" s="213"/>
    </row>
    <row r="150" spans="1:19" ht="17.25" thickBot="1">
      <c r="A150" s="253" t="s">
        <v>55</v>
      </c>
      <c r="B150" s="255" t="str">
        <f>TEXT($G$1, "[$-ko-KR]yyyy-mm-dd(ddd) ") &amp; "오전 00:00"</f>
        <v>2021-06-03(목) 오전 00:00</v>
      </c>
      <c r="C150" s="256"/>
      <c r="D150" s="215" t="str">
        <f>TEXT($G$1, "[$-ko-KR]yyyy-mm-dd(ddd) ") &amp; "오후 14:00"</f>
        <v>2021-06-03(목) 오후 14:00</v>
      </c>
      <c r="E150" s="216"/>
      <c r="F150" s="217"/>
      <c r="G150" s="215" t="str">
        <f>TEXT($G$1, "[$-ko-KR]yyyy-mm-dd(ddd) ") &amp; "오후 19:00"</f>
        <v>2021-06-03(목) 오후 19:00</v>
      </c>
      <c r="H150" s="216"/>
      <c r="I150" s="217"/>
      <c r="J150" s="215" t="str">
        <f>TEXT($G$1, "[$-ko-KR]yyyy-mm-dd(ddd) ") &amp; "오후 21:00"</f>
        <v>2021-06-03(목) 오후 21:00</v>
      </c>
      <c r="K150" s="216"/>
      <c r="L150" s="217"/>
      <c r="M150" s="215" t="str">
        <f>TEXT($G$1+1, "[$-ko-KR]yyyy-mm-dd(ddd) ") &amp; "오전 00:00"</f>
        <v>2021-06-04(금) 오전 00:00</v>
      </c>
      <c r="N150" s="216"/>
      <c r="O150" s="217"/>
      <c r="Q150" s="213"/>
      <c r="R150" s="213"/>
      <c r="S150" s="213"/>
    </row>
    <row r="151" spans="1:19" ht="17.25" thickBot="1">
      <c r="A151" s="25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9" t="s">
        <v>58</v>
      </c>
      <c r="H151" s="170" t="s">
        <v>298</v>
      </c>
      <c r="I151" s="17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8"/>
      <c r="R151" s="218"/>
      <c r="S151" s="218"/>
    </row>
    <row r="152" spans="1:19" ht="17.25" thickBot="1">
      <c r="A152" s="161" t="s">
        <v>262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13"/>
      <c r="R152" s="213"/>
      <c r="S152" s="213"/>
    </row>
    <row r="153" spans="1:19" ht="17.25" thickBot="1">
      <c r="A153" s="162" t="s">
        <v>200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13"/>
      <c r="R153" s="213"/>
      <c r="S153" s="213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218"/>
      <c r="R154" s="218"/>
      <c r="S154" s="218"/>
    </row>
    <row r="155" spans="1:19" ht="17.25" thickBot="1">
      <c r="A155" s="162" t="s">
        <v>282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218"/>
      <c r="R155" s="218"/>
      <c r="S155" s="218"/>
    </row>
    <row r="156" spans="1:19" ht="17.25" thickBot="1">
      <c r="A156" s="163" t="s">
        <v>168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218"/>
      <c r="R156" s="218"/>
      <c r="S156" s="218"/>
    </row>
    <row r="157" spans="1:19" ht="17.25" thickBot="1">
      <c r="A157" s="162" t="s">
        <v>250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218"/>
      <c r="R157" s="218"/>
      <c r="S157" s="218"/>
    </row>
    <row r="158" spans="1:19" ht="17.25" thickBot="1">
      <c r="A158" s="162" t="s">
        <v>238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218"/>
      <c r="R158" s="218"/>
      <c r="S158" s="218"/>
    </row>
    <row r="159" spans="1:19" ht="17.25" thickBot="1">
      <c r="A159" s="162" t="s">
        <v>174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218"/>
      <c r="R159" s="218"/>
      <c r="S159" s="218"/>
    </row>
    <row r="160" spans="1:19" ht="17.25" thickBot="1">
      <c r="A160" s="162" t="s">
        <v>234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170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27"/>
      <c r="R161" s="228"/>
      <c r="S161" s="229"/>
    </row>
    <row r="162" spans="1:19">
      <c r="A162" s="161" t="s">
        <v>208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230"/>
      <c r="R162" s="231"/>
      <c r="S162" s="232"/>
    </row>
    <row r="163" spans="1:19" ht="17.25" thickBot="1">
      <c r="A163" s="162" t="s">
        <v>258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233"/>
      <c r="R163" s="234"/>
      <c r="S163" s="235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218"/>
      <c r="R164" s="218"/>
      <c r="S164" s="218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13"/>
      <c r="R165" s="213"/>
      <c r="S165" s="213"/>
    </row>
    <row r="166" spans="1:19" ht="17.25" thickBot="1">
      <c r="A166" s="163" t="s">
        <v>252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13"/>
      <c r="R166" s="213"/>
      <c r="S166" s="213"/>
    </row>
    <row r="167" spans="1:19" ht="17.25" thickBot="1">
      <c r="A167" s="162" t="s">
        <v>226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218"/>
      <c r="R167" s="218"/>
      <c r="S167" s="218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218"/>
      <c r="R168" s="218"/>
      <c r="S168" s="218"/>
    </row>
    <row r="169" spans="1:19" ht="17.25" thickBot="1">
      <c r="A169" s="162" t="s">
        <v>230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18"/>
      <c r="R169" s="218"/>
      <c r="S169" s="218"/>
    </row>
    <row r="170" spans="1:19">
      <c r="A170" s="162" t="s">
        <v>246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240"/>
      <c r="R170" s="241"/>
      <c r="S170" s="242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243"/>
      <c r="R171" s="244"/>
      <c r="S171" s="245"/>
    </row>
    <row r="172" spans="1:19" ht="17.25" thickBot="1">
      <c r="A172" s="132" t="s">
        <v>300</v>
      </c>
      <c r="B172" s="251">
        <f>$B$37</f>
        <v>100000</v>
      </c>
      <c r="C172" s="252"/>
      <c r="D172" s="26" t="s">
        <v>301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301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301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301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246"/>
      <c r="R172" s="247"/>
      <c r="S172" s="248"/>
    </row>
    <row r="174" spans="1:19" ht="17.25" thickBot="1"/>
    <row r="175" spans="1:19" ht="17.25" thickBot="1">
      <c r="A175" s="192" t="s">
        <v>285</v>
      </c>
      <c r="B175" s="193"/>
      <c r="C175" s="193"/>
      <c r="D175" s="193"/>
      <c r="E175" s="193"/>
      <c r="F175" s="193"/>
      <c r="G175" s="193"/>
      <c r="H175" s="193"/>
      <c r="I175" s="193"/>
      <c r="J175" s="193"/>
      <c r="K175" s="193"/>
      <c r="L175" s="193"/>
      <c r="M175" s="193"/>
      <c r="N175" s="193"/>
      <c r="O175" s="194"/>
      <c r="Q175" s="213"/>
      <c r="R175" s="213"/>
      <c r="S175" s="213"/>
    </row>
    <row r="176" spans="1:19" ht="17.25" thickBot="1">
      <c r="A176" s="168" t="s">
        <v>297</v>
      </c>
      <c r="B176" s="192" t="s">
        <v>49</v>
      </c>
      <c r="C176" s="194"/>
      <c r="D176" s="192" t="s">
        <v>58</v>
      </c>
      <c r="E176" s="193"/>
      <c r="F176" s="194"/>
      <c r="G176" s="219">
        <f>_xlfn.IFNA(VLOOKUP(B176, 현재가테이블!$B$2:$D$200, 2, FALSE), "-")</f>
        <v>38300000</v>
      </c>
      <c r="H176" s="220"/>
      <c r="I176" s="221"/>
      <c r="J176" s="192" t="s">
        <v>59</v>
      </c>
      <c r="K176" s="193"/>
      <c r="L176" s="194"/>
      <c r="M176" s="222">
        <f>_xlfn.IFNA(VLOOKUP(B176, 현재가테이블!$B$2:$D$200, 3, FALSE), "-")</f>
        <v>-1.9557649E-2</v>
      </c>
      <c r="N176" s="223"/>
      <c r="O176" s="224"/>
      <c r="Q176" s="213"/>
      <c r="R176" s="213"/>
      <c r="S176" s="213"/>
    </row>
    <row r="177" spans="1:19" ht="17.25" thickBot="1">
      <c r="A177" s="253" t="s">
        <v>55</v>
      </c>
      <c r="B177" s="255" t="str">
        <f>TEXT($G$1, "[$-ko-KR]yyyy-mm-dd(ddd) ") &amp; "오전 00:00"</f>
        <v>2021-06-03(목) 오전 00:00</v>
      </c>
      <c r="C177" s="256"/>
      <c r="D177" s="215" t="str">
        <f>TEXT($G$1, "[$-ko-KR]yyyy-mm-dd(ddd) ") &amp; "오후 14:00"</f>
        <v>2021-06-03(목) 오후 14:00</v>
      </c>
      <c r="E177" s="216"/>
      <c r="F177" s="217"/>
      <c r="G177" s="215" t="str">
        <f>TEXT($G$1, "[$-ko-KR]yyyy-mm-dd(ddd) ") &amp; "오후 19:00"</f>
        <v>2021-06-03(목) 오후 19:00</v>
      </c>
      <c r="H177" s="216"/>
      <c r="I177" s="217"/>
      <c r="J177" s="215" t="str">
        <f>TEXT($G$1, "[$-ko-KR]yyyy-mm-dd(ddd) ") &amp; "오후 21:00"</f>
        <v>2021-06-03(목) 오후 21:00</v>
      </c>
      <c r="K177" s="216"/>
      <c r="L177" s="217"/>
      <c r="M177" s="215" t="str">
        <f>TEXT($G$1+1, "[$-ko-KR]yyyy-mm-dd(ddd) ") &amp; "오전 00:00"</f>
        <v>2021-06-04(금) 오전 00:00</v>
      </c>
      <c r="N177" s="216"/>
      <c r="O177" s="217"/>
      <c r="Q177" s="213"/>
      <c r="R177" s="213"/>
      <c r="S177" s="213"/>
    </row>
    <row r="178" spans="1:19" ht="17.25" thickBot="1">
      <c r="A178" s="25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9" t="s">
        <v>58</v>
      </c>
      <c r="H178" s="170" t="s">
        <v>298</v>
      </c>
      <c r="I178" s="17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8"/>
      <c r="R178" s="218"/>
      <c r="S178" s="218"/>
    </row>
    <row r="179" spans="1:19" ht="17.25" thickBot="1">
      <c r="A179" s="161" t="s">
        <v>224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13"/>
      <c r="R179" s="213"/>
      <c r="S179" s="213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13"/>
      <c r="R180" s="213"/>
      <c r="S180" s="213"/>
    </row>
    <row r="181" spans="1:19" ht="17.25" thickBot="1">
      <c r="A181" s="162" t="s">
        <v>222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218"/>
      <c r="R181" s="218"/>
      <c r="S181" s="218"/>
    </row>
    <row r="182" spans="1:19" ht="17.25" thickBot="1">
      <c r="A182" s="162" t="s">
        <v>162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218"/>
      <c r="R182" s="218"/>
      <c r="S182" s="218"/>
    </row>
    <row r="183" spans="1:19" ht="17.25" thickBot="1">
      <c r="A183" s="163" t="s">
        <v>204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218"/>
      <c r="R183" s="218"/>
      <c r="S183" s="218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218"/>
      <c r="R184" s="218"/>
      <c r="S184" s="218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218"/>
      <c r="R185" s="218"/>
      <c r="S185" s="218"/>
    </row>
    <row r="186" spans="1:19" ht="17.25" thickBot="1">
      <c r="A186" s="162" t="s">
        <v>266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218"/>
      <c r="R186" s="218"/>
      <c r="S186" s="218"/>
    </row>
    <row r="187" spans="1:19" ht="17.25" thickBot="1">
      <c r="A187" s="162" t="s">
        <v>252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27"/>
      <c r="R188" s="228"/>
      <c r="S188" s="229"/>
    </row>
    <row r="189" spans="1:19">
      <c r="A189" s="161" t="s">
        <v>172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230"/>
      <c r="R189" s="231"/>
      <c r="S189" s="232"/>
    </row>
    <row r="190" spans="1:19" ht="17.25" thickBot="1">
      <c r="A190" s="162" t="s">
        <v>226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233"/>
      <c r="R190" s="234"/>
      <c r="S190" s="235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218"/>
      <c r="R191" s="218"/>
      <c r="S191" s="218"/>
    </row>
    <row r="192" spans="1:19" ht="17.25" thickBot="1">
      <c r="A192" s="162" t="s">
        <v>186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13"/>
      <c r="R192" s="213"/>
      <c r="S192" s="213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13"/>
      <c r="R193" s="213"/>
      <c r="S193" s="213"/>
    </row>
    <row r="194" spans="1:19" ht="17.25" thickBot="1">
      <c r="A194" s="162" t="s">
        <v>260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218"/>
      <c r="R194" s="218"/>
      <c r="S194" s="218"/>
    </row>
    <row r="195" spans="1:19" ht="17.25" thickBot="1">
      <c r="A195" s="162" t="s">
        <v>230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218"/>
      <c r="R195" s="218"/>
      <c r="S195" s="218"/>
    </row>
    <row r="196" spans="1:19" ht="17.25" thickBot="1">
      <c r="A196" s="162" t="s">
        <v>246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218"/>
      <c r="R196" s="218"/>
      <c r="S196" s="218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240"/>
      <c r="R197" s="241"/>
      <c r="S197" s="242"/>
    </row>
    <row r="198" spans="1:19" ht="17.25" thickBot="1">
      <c r="A198" s="130" t="s">
        <v>274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243"/>
      <c r="R198" s="244"/>
      <c r="S198" s="245"/>
    </row>
    <row r="199" spans="1:19" ht="17.25" thickBot="1">
      <c r="A199" s="132" t="s">
        <v>300</v>
      </c>
      <c r="B199" s="251">
        <f>$B$37</f>
        <v>100000</v>
      </c>
      <c r="C199" s="252"/>
      <c r="D199" s="26" t="s">
        <v>301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301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301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301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246"/>
      <c r="R199" s="247"/>
      <c r="S199" s="24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3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2" t="s">
        <v>0</v>
      </c>
      <c r="B1" s="193"/>
      <c r="C1" s="193"/>
      <c r="D1" s="193"/>
      <c r="E1" s="193"/>
      <c r="F1" s="194"/>
      <c r="G1" s="195">
        <v>44351</v>
      </c>
      <c r="H1" s="196"/>
      <c r="I1" s="197"/>
      <c r="J1" s="192" t="s">
        <v>1</v>
      </c>
      <c r="K1" s="193"/>
      <c r="L1" s="193"/>
      <c r="M1" s="193"/>
      <c r="N1" s="193"/>
      <c r="O1" s="194"/>
      <c r="Q1" s="192" t="s">
        <v>2</v>
      </c>
      <c r="R1" s="194"/>
    </row>
    <row r="2" spans="1:19" ht="17.25" customHeight="1">
      <c r="A2" s="117" t="s">
        <v>3</v>
      </c>
      <c r="B2" s="198" t="s">
        <v>8</v>
      </c>
      <c r="C2" s="199"/>
      <c r="D2" s="199"/>
      <c r="E2" s="199"/>
      <c r="F2" s="200"/>
      <c r="G2" s="201" t="s">
        <v>46</v>
      </c>
      <c r="H2" s="202"/>
      <c r="I2" s="203"/>
      <c r="J2" s="1" t="s">
        <v>3</v>
      </c>
      <c r="K2" s="198" t="s">
        <v>350</v>
      </c>
      <c r="L2" s="199"/>
      <c r="M2" s="199"/>
      <c r="N2" s="199"/>
      <c r="O2" s="200"/>
      <c r="Q2" s="2" t="s">
        <v>6</v>
      </c>
      <c r="R2" s="3">
        <v>0.375</v>
      </c>
    </row>
    <row r="3" spans="1:19" ht="17.25" customHeight="1" thickBot="1">
      <c r="A3" s="118" t="s">
        <v>7</v>
      </c>
      <c r="B3" s="204" t="s">
        <v>358</v>
      </c>
      <c r="C3" s="205"/>
      <c r="D3" s="205"/>
      <c r="E3" s="205"/>
      <c r="F3" s="206"/>
      <c r="G3" s="20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208"/>
      <c r="I3" s="209"/>
      <c r="J3" s="4" t="s">
        <v>7</v>
      </c>
      <c r="K3" s="204" t="s">
        <v>351</v>
      </c>
      <c r="L3" s="205"/>
      <c r="M3" s="205"/>
      <c r="N3" s="205"/>
      <c r="O3" s="2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4" t="s">
        <v>16</v>
      </c>
      <c r="C4" s="205"/>
      <c r="D4" s="205"/>
      <c r="E4" s="205"/>
      <c r="F4" s="206"/>
      <c r="G4" s="201" t="s">
        <v>44</v>
      </c>
      <c r="H4" s="202"/>
      <c r="I4" s="203"/>
      <c r="J4" s="4" t="s">
        <v>11</v>
      </c>
      <c r="K4" s="204" t="s">
        <v>352</v>
      </c>
      <c r="L4" s="205"/>
      <c r="M4" s="205"/>
      <c r="N4" s="205"/>
      <c r="O4" s="2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4" t="s">
        <v>349</v>
      </c>
      <c r="C5" s="205"/>
      <c r="D5" s="205"/>
      <c r="E5" s="205"/>
      <c r="F5" s="206"/>
      <c r="G5" s="20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208"/>
      <c r="I5" s="209"/>
      <c r="J5" s="4" t="s">
        <v>15</v>
      </c>
      <c r="K5" s="204" t="s">
        <v>353</v>
      </c>
      <c r="L5" s="205"/>
      <c r="M5" s="205"/>
      <c r="N5" s="205"/>
      <c r="O5" s="206"/>
    </row>
    <row r="6" spans="1:19">
      <c r="A6" s="118" t="s">
        <v>18</v>
      </c>
      <c r="B6" s="204"/>
      <c r="C6" s="205"/>
      <c r="D6" s="205"/>
      <c r="E6" s="205"/>
      <c r="F6" s="206"/>
      <c r="G6" s="201" t="s">
        <v>45</v>
      </c>
      <c r="H6" s="202"/>
      <c r="I6" s="203"/>
      <c r="J6" s="4" t="s">
        <v>18</v>
      </c>
      <c r="K6" s="204" t="s">
        <v>354</v>
      </c>
      <c r="L6" s="205"/>
      <c r="M6" s="205"/>
      <c r="N6" s="205"/>
      <c r="O6" s="206"/>
    </row>
    <row r="7" spans="1:19" ht="17.25" thickBot="1">
      <c r="A7" s="118" t="s">
        <v>21</v>
      </c>
      <c r="B7" s="204"/>
      <c r="C7" s="205"/>
      <c r="D7" s="205"/>
      <c r="E7" s="205"/>
      <c r="F7" s="206"/>
      <c r="G7" s="20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208"/>
      <c r="I7" s="209"/>
      <c r="J7" s="4" t="s">
        <v>21</v>
      </c>
      <c r="K7" s="204" t="s">
        <v>355</v>
      </c>
      <c r="L7" s="205"/>
      <c r="M7" s="205"/>
      <c r="N7" s="205"/>
      <c r="O7" s="206"/>
    </row>
    <row r="8" spans="1:19" ht="17.25" thickBot="1">
      <c r="A8" s="118" t="s">
        <v>24</v>
      </c>
      <c r="B8" s="204"/>
      <c r="C8" s="205"/>
      <c r="D8" s="205"/>
      <c r="E8" s="205"/>
      <c r="F8" s="206"/>
      <c r="G8" s="201" t="s">
        <v>285</v>
      </c>
      <c r="H8" s="202"/>
      <c r="I8" s="203"/>
      <c r="J8" s="4" t="s">
        <v>24</v>
      </c>
      <c r="K8" s="204"/>
      <c r="L8" s="205"/>
      <c r="M8" s="205"/>
      <c r="N8" s="205"/>
      <c r="O8" s="206"/>
      <c r="Q8" s="192" t="s">
        <v>27</v>
      </c>
      <c r="R8" s="194"/>
    </row>
    <row r="9" spans="1:19" ht="17.25" thickBot="1">
      <c r="A9" s="118" t="s">
        <v>28</v>
      </c>
      <c r="B9" s="204"/>
      <c r="C9" s="205"/>
      <c r="D9" s="205"/>
      <c r="E9" s="205"/>
      <c r="F9" s="206"/>
      <c r="G9" s="20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208"/>
      <c r="I9" s="209"/>
      <c r="J9" s="4" t="s">
        <v>28</v>
      </c>
      <c r="K9" s="204"/>
      <c r="L9" s="205"/>
      <c r="M9" s="205"/>
      <c r="N9" s="205"/>
      <c r="O9" s="206"/>
      <c r="Q9" s="2" t="s">
        <v>29</v>
      </c>
      <c r="R9" s="6">
        <v>10</v>
      </c>
    </row>
    <row r="10" spans="1:19">
      <c r="A10" s="118" t="s">
        <v>30</v>
      </c>
      <c r="B10" s="204"/>
      <c r="C10" s="205"/>
      <c r="D10" s="205"/>
      <c r="E10" s="205"/>
      <c r="F10" s="206"/>
      <c r="G10" s="201" t="s">
        <v>47</v>
      </c>
      <c r="H10" s="202"/>
      <c r="I10" s="203"/>
      <c r="J10" s="4" t="s">
        <v>30</v>
      </c>
      <c r="K10" s="204" t="s">
        <v>356</v>
      </c>
      <c r="L10" s="205"/>
      <c r="M10" s="205"/>
      <c r="N10" s="205"/>
      <c r="O10" s="206"/>
      <c r="Q10" s="2" t="s">
        <v>31</v>
      </c>
      <c r="R10" s="6">
        <v>100</v>
      </c>
    </row>
    <row r="11" spans="1:19" ht="17.25" thickBot="1">
      <c r="A11" s="119" t="s">
        <v>32</v>
      </c>
      <c r="B11" s="210" t="s">
        <v>357</v>
      </c>
      <c r="C11" s="211"/>
      <c r="D11" s="211"/>
      <c r="E11" s="211"/>
      <c r="F11" s="212"/>
      <c r="G11" s="20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208"/>
      <c r="I11" s="209"/>
      <c r="J11" s="7" t="s">
        <v>32</v>
      </c>
      <c r="K11" s="210" t="s">
        <v>348</v>
      </c>
      <c r="L11" s="211"/>
      <c r="M11" s="211"/>
      <c r="N11" s="211"/>
      <c r="O11" s="212"/>
      <c r="Q11" s="65" t="s">
        <v>33</v>
      </c>
      <c r="R11" s="8">
        <v>1000</v>
      </c>
    </row>
    <row r="12" spans="1:19" ht="17.25" thickBot="1"/>
    <row r="13" spans="1:19" ht="17.25" customHeight="1" thickBot="1">
      <c r="A13" s="192" t="s">
        <v>34</v>
      </c>
      <c r="B13" s="193"/>
      <c r="C13" s="193"/>
      <c r="D13" s="193"/>
      <c r="E13" s="193"/>
      <c r="F13" s="193"/>
      <c r="G13" s="193"/>
      <c r="H13" s="193"/>
      <c r="I13" s="193"/>
      <c r="J13" s="193"/>
      <c r="K13" s="193"/>
      <c r="L13" s="193"/>
      <c r="M13" s="193"/>
      <c r="N13" s="193"/>
      <c r="O13" s="194"/>
      <c r="Q13" s="213"/>
      <c r="R13" s="213"/>
      <c r="S13" s="213"/>
    </row>
    <row r="14" spans="1:19" ht="17.25" customHeight="1" thickBot="1">
      <c r="A14" s="172" t="s">
        <v>35</v>
      </c>
      <c r="B14" s="192" t="s">
        <v>36</v>
      </c>
      <c r="C14" s="194"/>
      <c r="D14" s="192" t="s">
        <v>37</v>
      </c>
      <c r="E14" s="193"/>
      <c r="F14" s="194"/>
      <c r="G14" s="219">
        <f>_xlfn.IFNA(VLOOKUP(B14, 현재가테이블!$B$2:$D$200, 2, FALSE), "-")</f>
        <v>38300000</v>
      </c>
      <c r="H14" s="220"/>
      <c r="I14" s="221"/>
      <c r="J14" s="192" t="s">
        <v>38</v>
      </c>
      <c r="K14" s="193"/>
      <c r="L14" s="194"/>
      <c r="M14" s="222">
        <f>_xlfn.IFNA(VLOOKUP(B14, 현재가테이블!$B$2:$D$200, 3, FALSE), "-")</f>
        <v>-1.9557649E-2</v>
      </c>
      <c r="N14" s="223"/>
      <c r="O14" s="224"/>
      <c r="Q14" s="213"/>
      <c r="R14" s="213"/>
      <c r="S14" s="213"/>
    </row>
    <row r="15" spans="1:19" ht="17.25" customHeight="1" thickBot="1">
      <c r="A15" s="257" t="s">
        <v>39</v>
      </c>
      <c r="B15" s="258" t="str">
        <f>TEXT($G$1, "[$-ko-KR]yyyy-mm-dd(ddd) ") &amp; "오전 00:00"</f>
        <v>2021-06-04(금) 오전 00:00</v>
      </c>
      <c r="C15" s="259"/>
      <c r="D15" s="215" t="str">
        <f>TEXT($G$1, "[$-ko-KR]yyyy-mm-dd(ddd) ") &amp; "오후 14:00"</f>
        <v>2021-06-04(금) 오후 14:00</v>
      </c>
      <c r="E15" s="216"/>
      <c r="F15" s="217"/>
      <c r="G15" s="215" t="str">
        <f>TEXT($G$1, "[$-ko-KR]yyyy-mm-dd(ddd) ") &amp; "오후 19:00"</f>
        <v>2021-06-04(금) 오후 19:00</v>
      </c>
      <c r="H15" s="216"/>
      <c r="I15" s="217"/>
      <c r="J15" s="215" t="str">
        <f>TEXT($G$1, "[$-ko-KR]yyyy-mm-dd(ddd) ") &amp; "오후 21:00"</f>
        <v>2021-06-04(금) 오후 21:00</v>
      </c>
      <c r="K15" s="216"/>
      <c r="L15" s="217"/>
      <c r="M15" s="215" t="str">
        <f>TEXT($G$1+1, "[$-ko-KR]yyyy-mm-dd(ddd) ") &amp; "오전 00:00"</f>
        <v>2021-06-05(토) 오전 00:00</v>
      </c>
      <c r="N15" s="216"/>
      <c r="O15" s="217"/>
      <c r="Q15" s="213"/>
      <c r="R15" s="213"/>
      <c r="S15" s="213"/>
    </row>
    <row r="16" spans="1:19" ht="17.25" customHeight="1" thickBot="1">
      <c r="A16" s="25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8"/>
      <c r="R16" s="218"/>
      <c r="S16" s="21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13"/>
      <c r="R17" s="213"/>
      <c r="S17" s="213"/>
    </row>
    <row r="18" spans="1:19" ht="17.25" customHeight="1" thickBot="1">
      <c r="A18" s="162" t="s">
        <v>364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13"/>
      <c r="R18" s="213"/>
      <c r="S18" s="213"/>
    </row>
    <row r="19" spans="1:19" ht="17.25" customHeight="1" thickBot="1">
      <c r="A19" s="162" t="s">
        <v>363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218"/>
      <c r="R19" s="218"/>
      <c r="S19" s="218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218"/>
      <c r="R20" s="218"/>
      <c r="S20" s="218"/>
    </row>
    <row r="21" spans="1:19" ht="17.25" customHeight="1" thickBot="1">
      <c r="A21" s="163" t="s">
        <v>361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218"/>
      <c r="R21" s="218"/>
      <c r="S21" s="218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8"/>
      <c r="R22" s="218"/>
      <c r="S22" s="218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8"/>
      <c r="R23" s="218"/>
      <c r="S23" s="218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8"/>
      <c r="R24" s="218"/>
      <c r="S24" s="218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7"/>
      <c r="R26" s="228"/>
      <c r="S26" s="229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0"/>
      <c r="R27" s="231"/>
      <c r="S27" s="232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3"/>
      <c r="R28" s="234"/>
      <c r="S28" s="235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8"/>
      <c r="R29" s="218"/>
      <c r="S29" s="218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3"/>
      <c r="R30" s="213"/>
      <c r="S30" s="21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3"/>
      <c r="R31" s="213"/>
      <c r="S31" s="21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8"/>
      <c r="R32" s="218"/>
      <c r="S32" s="21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8"/>
      <c r="R33" s="218"/>
      <c r="S33" s="21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8"/>
      <c r="R34" s="218"/>
      <c r="S34" s="21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0"/>
      <c r="R35" s="241"/>
      <c r="S35" s="24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3"/>
      <c r="R36" s="244"/>
      <c r="S36" s="245"/>
    </row>
    <row r="37" spans="1:19" ht="17.25" customHeight="1" thickBot="1">
      <c r="A37" s="132" t="s">
        <v>42</v>
      </c>
      <c r="B37" s="251">
        <v>100000</v>
      </c>
      <c r="C37" s="252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246"/>
      <c r="R37" s="247"/>
      <c r="S37" s="248"/>
    </row>
    <row r="38" spans="1:19" ht="17.25" customHeight="1"/>
    <row r="39" spans="1:19" ht="17.25" customHeight="1" thickBot="1"/>
    <row r="40" spans="1:19" ht="17.25" customHeight="1" thickBot="1">
      <c r="A40" s="192" t="s">
        <v>44</v>
      </c>
      <c r="B40" s="193"/>
      <c r="C40" s="193"/>
      <c r="D40" s="193"/>
      <c r="E40" s="193"/>
      <c r="F40" s="193"/>
      <c r="G40" s="193"/>
      <c r="H40" s="193"/>
      <c r="I40" s="193"/>
      <c r="J40" s="193"/>
      <c r="K40" s="193"/>
      <c r="L40" s="193"/>
      <c r="M40" s="193"/>
      <c r="N40" s="193"/>
      <c r="O40" s="194"/>
      <c r="Q40" s="213"/>
      <c r="R40" s="213"/>
      <c r="S40" s="213"/>
    </row>
    <row r="41" spans="1:19" ht="17.25" customHeight="1" thickBot="1">
      <c r="A41" s="172" t="s">
        <v>297</v>
      </c>
      <c r="B41" s="192" t="s">
        <v>49</v>
      </c>
      <c r="C41" s="194"/>
      <c r="D41" s="192" t="s">
        <v>58</v>
      </c>
      <c r="E41" s="193"/>
      <c r="F41" s="194"/>
      <c r="G41" s="219">
        <f>_xlfn.IFNA(VLOOKUP(B41, 현재가테이블!$B$2:$D$200, 2, FALSE), "-")</f>
        <v>38300000</v>
      </c>
      <c r="H41" s="220"/>
      <c r="I41" s="221"/>
      <c r="J41" s="192" t="s">
        <v>59</v>
      </c>
      <c r="K41" s="193"/>
      <c r="L41" s="194"/>
      <c r="M41" s="222">
        <f>_xlfn.IFNA(VLOOKUP(B41, 현재가테이블!$B$2:$D$200, 3, FALSE), "-")</f>
        <v>-1.9557649E-2</v>
      </c>
      <c r="N41" s="223"/>
      <c r="O41" s="224"/>
      <c r="Q41" s="213"/>
      <c r="R41" s="213"/>
      <c r="S41" s="213"/>
    </row>
    <row r="42" spans="1:19" ht="17.25" customHeight="1" thickBot="1">
      <c r="A42" s="253" t="s">
        <v>55</v>
      </c>
      <c r="B42" s="255" t="str">
        <f>TEXT($G$1, "[$-ko-KR]yyyy-mm-dd(ddd) ") &amp; "오전 00:00"</f>
        <v>2021-06-04(금) 오전 00:00</v>
      </c>
      <c r="C42" s="256"/>
      <c r="D42" s="215" t="str">
        <f>TEXT($G$1, "[$-ko-KR]yyyy-mm-dd(ddd) ") &amp; "오후 14:00"</f>
        <v>2021-06-04(금) 오후 14:00</v>
      </c>
      <c r="E42" s="216"/>
      <c r="F42" s="217"/>
      <c r="G42" s="215" t="str">
        <f>TEXT($G$1, "[$-ko-KR]yyyy-mm-dd(ddd) ") &amp; "오후 19:00"</f>
        <v>2021-06-04(금) 오후 19:00</v>
      </c>
      <c r="H42" s="216"/>
      <c r="I42" s="217"/>
      <c r="J42" s="215" t="str">
        <f>TEXT($G$1, "[$-ko-KR]yyyy-mm-dd(ddd) ") &amp; "오후 21:00"</f>
        <v>2021-06-04(금) 오후 21:00</v>
      </c>
      <c r="K42" s="216"/>
      <c r="L42" s="217"/>
      <c r="M42" s="215" t="str">
        <f>TEXT($G$1+1, "[$-ko-KR]yyyy-mm-dd(ddd) ") &amp; "오전 00:00"</f>
        <v>2021-06-05(토) 오전 00:00</v>
      </c>
      <c r="N42" s="216"/>
      <c r="O42" s="217"/>
      <c r="Q42" s="213"/>
      <c r="R42" s="213"/>
      <c r="S42" s="213"/>
    </row>
    <row r="43" spans="1:19" ht="17.25" customHeight="1" thickBot="1">
      <c r="A43" s="25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3" t="s">
        <v>58</v>
      </c>
      <c r="H43" s="174" t="s">
        <v>298</v>
      </c>
      <c r="I43" s="17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8"/>
      <c r="R43" s="218"/>
      <c r="S43" s="218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13"/>
      <c r="R44" s="213"/>
      <c r="S44" s="213"/>
    </row>
    <row r="45" spans="1:19" ht="17.25" customHeight="1" thickBot="1">
      <c r="A45" s="162" t="s">
        <v>218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13"/>
      <c r="R45" s="213"/>
      <c r="S45" s="213"/>
    </row>
    <row r="46" spans="1:19" ht="17.25" customHeight="1" thickBot="1">
      <c r="A46" s="162" t="s">
        <v>266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218"/>
      <c r="R46" s="218"/>
      <c r="S46" s="218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218"/>
      <c r="R47" s="218"/>
      <c r="S47" s="218"/>
    </row>
    <row r="48" spans="1:19" ht="17.25" customHeight="1" thickBot="1">
      <c r="A48" s="163" t="s">
        <v>254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218"/>
      <c r="R48" s="218"/>
      <c r="S48" s="218"/>
    </row>
    <row r="49" spans="1:19" ht="17.25" customHeight="1" thickBot="1">
      <c r="A49" s="162" t="s">
        <v>278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218"/>
      <c r="R49" s="218"/>
      <c r="S49" s="218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218"/>
      <c r="R50" s="218"/>
      <c r="S50" s="218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218"/>
      <c r="R51" s="218"/>
      <c r="S51" s="218"/>
    </row>
    <row r="52" spans="1:19" ht="17.25" customHeight="1" thickBot="1">
      <c r="A52" s="162" t="s">
        <v>220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236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227"/>
      <c r="R53" s="228"/>
      <c r="S53" s="229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230"/>
      <c r="R54" s="231"/>
      <c r="S54" s="232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233"/>
      <c r="R55" s="234"/>
      <c r="S55" s="235"/>
    </row>
    <row r="56" spans="1:19" ht="17.25" customHeight="1" thickBot="1">
      <c r="A56" s="162" t="s">
        <v>268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218"/>
      <c r="R56" s="218"/>
      <c r="S56" s="218"/>
    </row>
    <row r="57" spans="1:19" ht="17.25" customHeight="1" thickBot="1">
      <c r="A57" s="162" t="s">
        <v>264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13"/>
      <c r="R57" s="213"/>
      <c r="S57" s="213"/>
    </row>
    <row r="58" spans="1:19" ht="17.25" customHeight="1" thickBot="1">
      <c r="A58" s="163" t="s">
        <v>196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13"/>
      <c r="R58" s="213"/>
      <c r="S58" s="213"/>
    </row>
    <row r="59" spans="1:19" ht="17.25" customHeight="1" thickBot="1">
      <c r="A59" s="162" t="s">
        <v>186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218"/>
      <c r="R59" s="218"/>
      <c r="S59" s="218"/>
    </row>
    <row r="60" spans="1:19" ht="17.25" customHeight="1" thickBot="1">
      <c r="A60" s="162" t="s">
        <v>214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218"/>
      <c r="R60" s="218"/>
      <c r="S60" s="218"/>
    </row>
    <row r="61" spans="1:19" ht="17.25" customHeight="1" thickBot="1">
      <c r="A61" s="162" t="s">
        <v>212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218"/>
      <c r="R61" s="218"/>
      <c r="S61" s="218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240"/>
      <c r="R62" s="241"/>
      <c r="S62" s="242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243"/>
      <c r="R63" s="244"/>
      <c r="S63" s="245"/>
    </row>
    <row r="64" spans="1:19" ht="17.25" customHeight="1" thickBot="1">
      <c r="A64" s="132" t="s">
        <v>300</v>
      </c>
      <c r="B64" s="251">
        <f>$B$37</f>
        <v>100000</v>
      </c>
      <c r="C64" s="252"/>
      <c r="D64" s="26" t="s">
        <v>301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301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301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301</v>
      </c>
      <c r="N64" s="27">
        <f>IF(COUNT(N44:N63), SUM(N44:N63) / COUNT(N44:N63), 0)</f>
        <v>-3.1797201201717681E-2</v>
      </c>
      <c r="O64" s="28">
        <f>SUM(O44:O63)</f>
        <v>-63594.402403435364</v>
      </c>
      <c r="Q64" s="246"/>
      <c r="R64" s="247"/>
      <c r="S64" s="248"/>
    </row>
    <row r="65" spans="1:19" ht="17.25" customHeight="1"/>
    <row r="66" spans="1:19" ht="17.25" customHeight="1" thickBot="1"/>
    <row r="67" spans="1:19" ht="17.25" thickBot="1">
      <c r="A67" s="192" t="s">
        <v>45</v>
      </c>
      <c r="B67" s="193"/>
      <c r="C67" s="193"/>
      <c r="D67" s="193"/>
      <c r="E67" s="193"/>
      <c r="F67" s="193"/>
      <c r="G67" s="193"/>
      <c r="H67" s="193"/>
      <c r="I67" s="193"/>
      <c r="J67" s="193"/>
      <c r="K67" s="193"/>
      <c r="L67" s="193"/>
      <c r="M67" s="193"/>
      <c r="N67" s="193"/>
      <c r="O67" s="194"/>
      <c r="Q67" s="213"/>
      <c r="R67" s="213"/>
      <c r="S67" s="213"/>
    </row>
    <row r="68" spans="1:19" ht="17.25" thickBot="1">
      <c r="A68" s="172" t="s">
        <v>297</v>
      </c>
      <c r="B68" s="192" t="s">
        <v>49</v>
      </c>
      <c r="C68" s="194"/>
      <c r="D68" s="192" t="s">
        <v>58</v>
      </c>
      <c r="E68" s="193"/>
      <c r="F68" s="194"/>
      <c r="G68" s="219">
        <f>_xlfn.IFNA(VLOOKUP(B68, 현재가테이블!$B$2:$D$200, 2, FALSE), "-")</f>
        <v>38300000</v>
      </c>
      <c r="H68" s="220"/>
      <c r="I68" s="221"/>
      <c r="J68" s="192" t="s">
        <v>59</v>
      </c>
      <c r="K68" s="193"/>
      <c r="L68" s="194"/>
      <c r="M68" s="222">
        <f>_xlfn.IFNA(VLOOKUP(B68, 현재가테이블!$B$2:$D$200, 3, FALSE), "-")</f>
        <v>-1.9557649E-2</v>
      </c>
      <c r="N68" s="223"/>
      <c r="O68" s="224"/>
      <c r="Q68" s="213"/>
      <c r="R68" s="213"/>
      <c r="S68" s="213"/>
    </row>
    <row r="69" spans="1:19" ht="17.25" thickBot="1">
      <c r="A69" s="253" t="s">
        <v>55</v>
      </c>
      <c r="B69" s="255" t="str">
        <f>TEXT($G$1, "[$-ko-KR]yyyy-mm-dd(ddd) ") &amp; "오전 00:00"</f>
        <v>2021-06-04(금) 오전 00:00</v>
      </c>
      <c r="C69" s="256"/>
      <c r="D69" s="215" t="str">
        <f>TEXT($G$1, "[$-ko-KR]yyyy-mm-dd(ddd) ") &amp; "오후 14:00"</f>
        <v>2021-06-04(금) 오후 14:00</v>
      </c>
      <c r="E69" s="216"/>
      <c r="F69" s="217"/>
      <c r="G69" s="215" t="str">
        <f>TEXT($G$1, "[$-ko-KR]yyyy-mm-dd(ddd) ") &amp; "오후 19:00"</f>
        <v>2021-06-04(금) 오후 19:00</v>
      </c>
      <c r="H69" s="216"/>
      <c r="I69" s="217"/>
      <c r="J69" s="215" t="str">
        <f>TEXT($G$1, "[$-ko-KR]yyyy-mm-dd(ddd) ") &amp; "오후 21:00"</f>
        <v>2021-06-04(금) 오후 21:00</v>
      </c>
      <c r="K69" s="216"/>
      <c r="L69" s="217"/>
      <c r="M69" s="215" t="str">
        <f>TEXT($G$1+1, "[$-ko-KR]yyyy-mm-dd(ddd) ") &amp; "오전 00:00"</f>
        <v>2021-06-05(토) 오전 00:00</v>
      </c>
      <c r="N69" s="216"/>
      <c r="O69" s="217"/>
      <c r="Q69" s="213"/>
      <c r="R69" s="213"/>
      <c r="S69" s="213"/>
    </row>
    <row r="70" spans="1:19" ht="17.25" thickBot="1">
      <c r="A70" s="25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3" t="s">
        <v>58</v>
      </c>
      <c r="H70" s="174" t="s">
        <v>298</v>
      </c>
      <c r="I70" s="17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8"/>
      <c r="R70" s="218"/>
      <c r="S70" s="218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13"/>
      <c r="R71" s="213"/>
      <c r="S71" s="213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13"/>
      <c r="R72" s="213"/>
      <c r="S72" s="213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218"/>
      <c r="R73" s="218"/>
      <c r="S73" s="218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218"/>
      <c r="R74" s="218"/>
      <c r="S74" s="218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218"/>
      <c r="R75" s="218"/>
      <c r="S75" s="218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218"/>
      <c r="R76" s="218"/>
      <c r="S76" s="218"/>
    </row>
    <row r="77" spans="1:19" ht="17.25" thickBot="1">
      <c r="A77" s="162" t="s">
        <v>240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218"/>
      <c r="R77" s="218"/>
      <c r="S77" s="218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218"/>
      <c r="R78" s="218"/>
      <c r="S78" s="218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202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227"/>
      <c r="R80" s="228"/>
      <c r="S80" s="229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230"/>
      <c r="R81" s="231"/>
      <c r="S81" s="232"/>
    </row>
    <row r="82" spans="1:19" ht="17.25" thickBot="1">
      <c r="A82" s="162" t="s">
        <v>200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233"/>
      <c r="R82" s="234"/>
      <c r="S82" s="235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218"/>
      <c r="R83" s="218"/>
      <c r="S83" s="218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13"/>
      <c r="R84" s="213"/>
      <c r="S84" s="213"/>
    </row>
    <row r="85" spans="1:19" ht="17.25" thickBot="1">
      <c r="A85" s="163" t="s">
        <v>230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13"/>
      <c r="R85" s="213"/>
      <c r="S85" s="213"/>
    </row>
    <row r="86" spans="1:19" ht="17.25" thickBot="1">
      <c r="A86" s="162" t="s">
        <v>262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218"/>
      <c r="R86" s="218"/>
      <c r="S86" s="218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218"/>
      <c r="R87" s="218"/>
      <c r="S87" s="218"/>
    </row>
    <row r="88" spans="1:19" ht="17.25" thickBot="1">
      <c r="A88" s="162" t="s">
        <v>270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218"/>
      <c r="R88" s="218"/>
      <c r="S88" s="218"/>
    </row>
    <row r="89" spans="1:19">
      <c r="A89" s="162" t="s">
        <v>282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240"/>
      <c r="R89" s="241"/>
      <c r="S89" s="242"/>
    </row>
    <row r="90" spans="1:19" ht="17.25" thickBot="1">
      <c r="A90" s="130" t="s">
        <v>234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243"/>
      <c r="R90" s="244"/>
      <c r="S90" s="245"/>
    </row>
    <row r="91" spans="1:19" ht="17.25" thickBot="1">
      <c r="A91" s="132" t="s">
        <v>300</v>
      </c>
      <c r="B91" s="251">
        <f>$B$37</f>
        <v>100000</v>
      </c>
      <c r="C91" s="252"/>
      <c r="D91" s="26" t="s">
        <v>301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301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301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301</v>
      </c>
      <c r="N91" s="27">
        <f>IF(COUNT(N71:N90), SUM(N71:N90) / COUNT(N71:N90), 0)</f>
        <v>-3.9606271557127044E-2</v>
      </c>
      <c r="O91" s="28">
        <f>SUM(O71:O90)</f>
        <v>-79212.543114254076</v>
      </c>
      <c r="Q91" s="246"/>
      <c r="R91" s="247"/>
      <c r="S91" s="248"/>
    </row>
    <row r="93" spans="1:19" ht="17.25" thickBot="1"/>
    <row r="94" spans="1:19" ht="17.25" thickBot="1">
      <c r="A94" s="192" t="s">
        <v>46</v>
      </c>
      <c r="B94" s="193"/>
      <c r="C94" s="193"/>
      <c r="D94" s="193"/>
      <c r="E94" s="193"/>
      <c r="F94" s="193"/>
      <c r="G94" s="193"/>
      <c r="H94" s="193"/>
      <c r="I94" s="193"/>
      <c r="J94" s="193"/>
      <c r="K94" s="193"/>
      <c r="L94" s="193"/>
      <c r="M94" s="193"/>
      <c r="N94" s="193"/>
      <c r="O94" s="194"/>
      <c r="Q94" s="213"/>
      <c r="R94" s="213"/>
      <c r="S94" s="213"/>
    </row>
    <row r="95" spans="1:19" ht="17.25" thickBot="1">
      <c r="A95" s="172" t="s">
        <v>297</v>
      </c>
      <c r="B95" s="192" t="s">
        <v>49</v>
      </c>
      <c r="C95" s="194"/>
      <c r="D95" s="192" t="s">
        <v>58</v>
      </c>
      <c r="E95" s="193"/>
      <c r="F95" s="194"/>
      <c r="G95" s="219">
        <f>_xlfn.IFNA(VLOOKUP(B95, 현재가테이블!$B$2:$D$200, 2, FALSE), "-")</f>
        <v>38300000</v>
      </c>
      <c r="H95" s="220"/>
      <c r="I95" s="221"/>
      <c r="J95" s="192" t="s">
        <v>59</v>
      </c>
      <c r="K95" s="193"/>
      <c r="L95" s="194"/>
      <c r="M95" s="222">
        <f>_xlfn.IFNA(VLOOKUP(B95, 현재가테이블!$B$2:$D$200, 3, FALSE), "-")</f>
        <v>-1.9557649E-2</v>
      </c>
      <c r="N95" s="223"/>
      <c r="O95" s="224"/>
      <c r="Q95" s="213"/>
      <c r="R95" s="213"/>
      <c r="S95" s="213"/>
    </row>
    <row r="96" spans="1:19" ht="17.25" thickBot="1">
      <c r="A96" s="253" t="s">
        <v>55</v>
      </c>
      <c r="B96" s="255" t="str">
        <f>TEXT($G$1, "[$-ko-KR]yyyy-mm-dd(ddd) ") &amp; "오전 00:00"</f>
        <v>2021-06-04(금) 오전 00:00</v>
      </c>
      <c r="C96" s="256"/>
      <c r="D96" s="215" t="str">
        <f>TEXT($G$1, "[$-ko-KR]yyyy-mm-dd(ddd) ") &amp; "오후 14:00"</f>
        <v>2021-06-04(금) 오후 14:00</v>
      </c>
      <c r="E96" s="216"/>
      <c r="F96" s="217"/>
      <c r="G96" s="215" t="str">
        <f>TEXT($G$1, "[$-ko-KR]yyyy-mm-dd(ddd) ") &amp; "오후 19:00"</f>
        <v>2021-06-04(금) 오후 19:00</v>
      </c>
      <c r="H96" s="216"/>
      <c r="I96" s="217"/>
      <c r="J96" s="215" t="str">
        <f>TEXT($G$1, "[$-ko-KR]yyyy-mm-dd(ddd) ") &amp; "오후 21:00"</f>
        <v>2021-06-04(금) 오후 21:00</v>
      </c>
      <c r="K96" s="216"/>
      <c r="L96" s="217"/>
      <c r="M96" s="215" t="str">
        <f>TEXT($G$1+1, "[$-ko-KR]yyyy-mm-dd(ddd) ") &amp; "오전 00:00"</f>
        <v>2021-06-05(토) 오전 00:00</v>
      </c>
      <c r="N96" s="216"/>
      <c r="O96" s="217"/>
      <c r="Q96" s="213"/>
      <c r="R96" s="213"/>
      <c r="S96" s="213"/>
    </row>
    <row r="97" spans="1:19" ht="17.25" thickBot="1">
      <c r="A97" s="25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3" t="s">
        <v>58</v>
      </c>
      <c r="H97" s="174" t="s">
        <v>298</v>
      </c>
      <c r="I97" s="17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8"/>
      <c r="R97" s="218"/>
      <c r="S97" s="218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13"/>
      <c r="R98" s="213"/>
      <c r="S98" s="213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13"/>
      <c r="R99" s="213"/>
      <c r="S99" s="213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218"/>
      <c r="R100" s="218"/>
      <c r="S100" s="218"/>
    </row>
    <row r="101" spans="1:19" ht="17.25" thickBot="1">
      <c r="A101" s="162" t="s">
        <v>184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218"/>
      <c r="R101" s="218"/>
      <c r="S101" s="218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218"/>
      <c r="R102" s="218"/>
      <c r="S102" s="218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218"/>
      <c r="R103" s="218"/>
      <c r="S103" s="218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218"/>
      <c r="R104" s="218"/>
      <c r="S104" s="218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218"/>
      <c r="R105" s="218"/>
      <c r="S105" s="218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227"/>
      <c r="R107" s="228"/>
      <c r="S107" s="229"/>
    </row>
    <row r="108" spans="1:19">
      <c r="A108" s="161" t="s">
        <v>240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230"/>
      <c r="R108" s="231"/>
      <c r="S108" s="232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233"/>
      <c r="R109" s="234"/>
      <c r="S109" s="235"/>
    </row>
    <row r="110" spans="1:19" ht="17.25" thickBot="1">
      <c r="A110" s="162" t="s">
        <v>178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218"/>
      <c r="R110" s="218"/>
      <c r="S110" s="218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13"/>
      <c r="R111" s="213"/>
      <c r="S111" s="213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13"/>
      <c r="R112" s="213"/>
      <c r="S112" s="213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218"/>
      <c r="R113" s="218"/>
      <c r="S113" s="218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218"/>
      <c r="R114" s="218"/>
      <c r="S114" s="218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218"/>
      <c r="R115" s="218"/>
      <c r="S115" s="218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240"/>
      <c r="R116" s="241"/>
      <c r="S116" s="242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243"/>
      <c r="R117" s="244"/>
      <c r="S117" s="245"/>
    </row>
    <row r="118" spans="1:19" ht="17.25" thickBot="1">
      <c r="A118" s="132" t="s">
        <v>300</v>
      </c>
      <c r="B118" s="251">
        <f>$B$37</f>
        <v>100000</v>
      </c>
      <c r="C118" s="252"/>
      <c r="D118" s="26" t="s">
        <v>301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301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301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301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246"/>
      <c r="R118" s="247"/>
      <c r="S118" s="248"/>
    </row>
    <row r="120" spans="1:19" ht="17.25" thickBot="1"/>
    <row r="121" spans="1:19" ht="17.25" thickBot="1">
      <c r="A121" s="192" t="s">
        <v>288</v>
      </c>
      <c r="B121" s="193"/>
      <c r="C121" s="193"/>
      <c r="D121" s="193"/>
      <c r="E121" s="193"/>
      <c r="F121" s="193"/>
      <c r="G121" s="193"/>
      <c r="H121" s="193"/>
      <c r="I121" s="193"/>
      <c r="J121" s="193"/>
      <c r="K121" s="193"/>
      <c r="L121" s="193"/>
      <c r="M121" s="193"/>
      <c r="N121" s="193"/>
      <c r="O121" s="194"/>
      <c r="Q121" s="213"/>
      <c r="R121" s="213"/>
      <c r="S121" s="213"/>
    </row>
    <row r="122" spans="1:19" ht="17.25" thickBot="1">
      <c r="A122" s="172" t="s">
        <v>297</v>
      </c>
      <c r="B122" s="192" t="s">
        <v>49</v>
      </c>
      <c r="C122" s="194"/>
      <c r="D122" s="192" t="s">
        <v>58</v>
      </c>
      <c r="E122" s="193"/>
      <c r="F122" s="194"/>
      <c r="G122" s="219">
        <f>_xlfn.IFNA(VLOOKUP(B122, 현재가테이블!$B$2:$D$200, 2, FALSE), "-")</f>
        <v>38300000</v>
      </c>
      <c r="H122" s="220"/>
      <c r="I122" s="221"/>
      <c r="J122" s="192" t="s">
        <v>59</v>
      </c>
      <c r="K122" s="193"/>
      <c r="L122" s="194"/>
      <c r="M122" s="222">
        <f>_xlfn.IFNA(VLOOKUP(B122, 현재가테이블!$B$2:$D$200, 3, FALSE), "-")</f>
        <v>-1.9557649E-2</v>
      </c>
      <c r="N122" s="223"/>
      <c r="O122" s="224"/>
      <c r="Q122" s="213"/>
      <c r="R122" s="213"/>
      <c r="S122" s="213"/>
    </row>
    <row r="123" spans="1:19" ht="17.25" thickBot="1">
      <c r="A123" s="253" t="s">
        <v>55</v>
      </c>
      <c r="B123" s="255" t="str">
        <f>TEXT($G$1, "[$-ko-KR]yyyy-mm-dd(ddd) ") &amp; "오전 00:00"</f>
        <v>2021-06-04(금) 오전 00:00</v>
      </c>
      <c r="C123" s="256"/>
      <c r="D123" s="215" t="str">
        <f>TEXT($G$1, "[$-ko-KR]yyyy-mm-dd(ddd) ") &amp; "오후 14:00"</f>
        <v>2021-06-04(금) 오후 14:00</v>
      </c>
      <c r="E123" s="216"/>
      <c r="F123" s="217"/>
      <c r="G123" s="215" t="str">
        <f>TEXT($G$1, "[$-ko-KR]yyyy-mm-dd(ddd) ") &amp; "오후 19:00"</f>
        <v>2021-06-04(금) 오후 19:00</v>
      </c>
      <c r="H123" s="216"/>
      <c r="I123" s="217"/>
      <c r="J123" s="215" t="str">
        <f>TEXT($G$1, "[$-ko-KR]yyyy-mm-dd(ddd) ") &amp; "오후 21:00"</f>
        <v>2021-06-04(금) 오후 21:00</v>
      </c>
      <c r="K123" s="216"/>
      <c r="L123" s="217"/>
      <c r="M123" s="215" t="str">
        <f>TEXT($G$1+1, "[$-ko-KR]yyyy-mm-dd(ddd) ") &amp; "오전 00:00"</f>
        <v>2021-06-05(토) 오전 00:00</v>
      </c>
      <c r="N123" s="216"/>
      <c r="O123" s="217"/>
      <c r="Q123" s="213"/>
      <c r="R123" s="213"/>
      <c r="S123" s="213"/>
    </row>
    <row r="124" spans="1:19" ht="17.25" thickBot="1">
      <c r="A124" s="25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3" t="s">
        <v>58</v>
      </c>
      <c r="H124" s="174" t="s">
        <v>298</v>
      </c>
      <c r="I124" s="17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8"/>
      <c r="R124" s="218"/>
      <c r="S124" s="218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13"/>
      <c r="R125" s="213"/>
      <c r="S125" s="213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13"/>
      <c r="R126" s="213"/>
      <c r="S126" s="213"/>
    </row>
    <row r="127" spans="1:19" ht="17.25" thickBot="1">
      <c r="A127" s="162" t="s">
        <v>220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218"/>
      <c r="R127" s="218"/>
      <c r="S127" s="218"/>
    </row>
    <row r="128" spans="1:19" ht="17.25" thickBot="1">
      <c r="A128" s="162" t="s">
        <v>236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218"/>
      <c r="R128" s="218"/>
      <c r="S128" s="218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218"/>
      <c r="R129" s="218"/>
      <c r="S129" s="218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218"/>
      <c r="R130" s="218"/>
      <c r="S130" s="218"/>
    </row>
    <row r="131" spans="1:19" ht="17.25" thickBot="1">
      <c r="A131" s="162" t="s">
        <v>268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218"/>
      <c r="R131" s="218"/>
      <c r="S131" s="218"/>
    </row>
    <row r="132" spans="1:19" ht="17.25" thickBot="1">
      <c r="A132" s="162" t="s">
        <v>264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218"/>
      <c r="R132" s="218"/>
      <c r="S132" s="218"/>
    </row>
    <row r="133" spans="1:19" ht="17.25" thickBot="1">
      <c r="A133" s="162" t="s">
        <v>196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186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227"/>
      <c r="R134" s="228"/>
      <c r="S134" s="229"/>
    </row>
    <row r="135" spans="1:19">
      <c r="A135" s="161" t="s">
        <v>214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230"/>
      <c r="R135" s="231"/>
      <c r="S135" s="232"/>
    </row>
    <row r="136" spans="1:19" ht="17.25" thickBot="1">
      <c r="A136" s="162" t="s">
        <v>212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233"/>
      <c r="R136" s="234"/>
      <c r="S136" s="235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218"/>
      <c r="R137" s="218"/>
      <c r="S137" s="218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13"/>
      <c r="R138" s="213"/>
      <c r="S138" s="213"/>
    </row>
    <row r="139" spans="1:19" ht="17.25" thickBot="1">
      <c r="A139" s="163" t="s">
        <v>228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13"/>
      <c r="R139" s="213"/>
      <c r="S139" s="213"/>
    </row>
    <row r="140" spans="1:19" ht="17.25" thickBot="1">
      <c r="A140" s="162" t="s">
        <v>172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218"/>
      <c r="R140" s="218"/>
      <c r="S140" s="218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218"/>
      <c r="R141" s="218"/>
      <c r="S141" s="218"/>
    </row>
    <row r="142" spans="1:19" ht="17.25" thickBot="1">
      <c r="A142" s="162" t="s">
        <v>222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218"/>
      <c r="R142" s="218"/>
      <c r="S142" s="218"/>
    </row>
    <row r="143" spans="1:19">
      <c r="A143" s="162" t="s">
        <v>198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240"/>
      <c r="R143" s="241"/>
      <c r="S143" s="242"/>
    </row>
    <row r="144" spans="1:19" ht="17.25" thickBot="1">
      <c r="A144" s="130" t="s">
        <v>260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243"/>
      <c r="R144" s="244"/>
      <c r="S144" s="245"/>
    </row>
    <row r="145" spans="1:19" ht="17.25" thickBot="1">
      <c r="A145" s="132" t="s">
        <v>300</v>
      </c>
      <c r="B145" s="251">
        <f>$B$37</f>
        <v>100000</v>
      </c>
      <c r="C145" s="252"/>
      <c r="D145" s="26" t="s">
        <v>301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301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301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301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246"/>
      <c r="R145" s="247"/>
      <c r="S145" s="248"/>
    </row>
    <row r="147" spans="1:19" ht="17.25" thickBot="1"/>
    <row r="148" spans="1:19" ht="17.25" thickBot="1">
      <c r="A148" s="192" t="s">
        <v>289</v>
      </c>
      <c r="B148" s="193"/>
      <c r="C148" s="193"/>
      <c r="D148" s="193"/>
      <c r="E148" s="193"/>
      <c r="F148" s="193"/>
      <c r="G148" s="193"/>
      <c r="H148" s="193"/>
      <c r="I148" s="193"/>
      <c r="J148" s="193"/>
      <c r="K148" s="193"/>
      <c r="L148" s="193"/>
      <c r="M148" s="193"/>
      <c r="N148" s="193"/>
      <c r="O148" s="194"/>
      <c r="Q148" s="213"/>
      <c r="R148" s="213"/>
      <c r="S148" s="213"/>
    </row>
    <row r="149" spans="1:19" ht="17.25" thickBot="1">
      <c r="A149" s="172" t="s">
        <v>297</v>
      </c>
      <c r="B149" s="192" t="s">
        <v>49</v>
      </c>
      <c r="C149" s="194"/>
      <c r="D149" s="192" t="s">
        <v>58</v>
      </c>
      <c r="E149" s="193"/>
      <c r="F149" s="194"/>
      <c r="G149" s="219">
        <f>_xlfn.IFNA(VLOOKUP(B149, 현재가테이블!$B$2:$D$200, 2, FALSE), "-")</f>
        <v>38300000</v>
      </c>
      <c r="H149" s="220"/>
      <c r="I149" s="221"/>
      <c r="J149" s="192" t="s">
        <v>59</v>
      </c>
      <c r="K149" s="193"/>
      <c r="L149" s="194"/>
      <c r="M149" s="222">
        <f>_xlfn.IFNA(VLOOKUP(B149, 현재가테이블!$B$2:$D$200, 3, FALSE), "-")</f>
        <v>-1.9557649E-2</v>
      </c>
      <c r="N149" s="223"/>
      <c r="O149" s="224"/>
      <c r="Q149" s="213"/>
      <c r="R149" s="213"/>
      <c r="S149" s="213"/>
    </row>
    <row r="150" spans="1:19" ht="17.25" thickBot="1">
      <c r="A150" s="253" t="s">
        <v>55</v>
      </c>
      <c r="B150" s="255" t="str">
        <f>TEXT($G$1, "[$-ko-KR]yyyy-mm-dd(ddd) ") &amp; "오전 00:00"</f>
        <v>2021-06-04(금) 오전 00:00</v>
      </c>
      <c r="C150" s="256"/>
      <c r="D150" s="215" t="str">
        <f>TEXT($G$1, "[$-ko-KR]yyyy-mm-dd(ddd) ") &amp; "오후 14:00"</f>
        <v>2021-06-04(금) 오후 14:00</v>
      </c>
      <c r="E150" s="216"/>
      <c r="F150" s="217"/>
      <c r="G150" s="215" t="str">
        <f>TEXT($G$1, "[$-ko-KR]yyyy-mm-dd(ddd) ") &amp; "오후 19:00"</f>
        <v>2021-06-04(금) 오후 19:00</v>
      </c>
      <c r="H150" s="216"/>
      <c r="I150" s="217"/>
      <c r="J150" s="215" t="str">
        <f>TEXT($G$1, "[$-ko-KR]yyyy-mm-dd(ddd) ") &amp; "오후 21:00"</f>
        <v>2021-06-04(금) 오후 21:00</v>
      </c>
      <c r="K150" s="216"/>
      <c r="L150" s="217"/>
      <c r="M150" s="215" t="str">
        <f>TEXT($G$1+1, "[$-ko-KR]yyyy-mm-dd(ddd) ") &amp; "오전 00:00"</f>
        <v>2021-06-05(토) 오전 00:00</v>
      </c>
      <c r="N150" s="216"/>
      <c r="O150" s="217"/>
      <c r="Q150" s="213"/>
      <c r="R150" s="213"/>
      <c r="S150" s="213"/>
    </row>
    <row r="151" spans="1:19" ht="17.25" thickBot="1">
      <c r="A151" s="25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3" t="s">
        <v>58</v>
      </c>
      <c r="H151" s="174" t="s">
        <v>298</v>
      </c>
      <c r="I151" s="17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8"/>
      <c r="R151" s="218"/>
      <c r="S151" s="218"/>
    </row>
    <row r="152" spans="1:19" ht="17.25" thickBot="1">
      <c r="A152" s="161" t="s">
        <v>282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13"/>
      <c r="R152" s="213"/>
      <c r="S152" s="213"/>
    </row>
    <row r="153" spans="1:19" ht="17.25" thickBot="1">
      <c r="A153" s="162" t="s">
        <v>234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13"/>
      <c r="R153" s="213"/>
      <c r="S153" s="213"/>
    </row>
    <row r="154" spans="1:19" ht="17.25" thickBot="1">
      <c r="A154" s="162" t="s">
        <v>210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218"/>
      <c r="R154" s="218"/>
      <c r="S154" s="218"/>
    </row>
    <row r="155" spans="1:19" ht="17.25" thickBot="1">
      <c r="A155" s="162" t="s">
        <v>226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218"/>
      <c r="R155" s="218"/>
      <c r="S155" s="218"/>
    </row>
    <row r="156" spans="1:19" ht="17.25" thickBot="1">
      <c r="A156" s="163" t="s">
        <v>182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218"/>
      <c r="R156" s="218"/>
      <c r="S156" s="218"/>
    </row>
    <row r="157" spans="1:19" ht="17.25" thickBot="1">
      <c r="A157" s="162" t="s">
        <v>208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218"/>
      <c r="R157" s="218"/>
      <c r="S157" s="218"/>
    </row>
    <row r="158" spans="1:19" ht="17.25" thickBot="1">
      <c r="A158" s="162" t="s">
        <v>256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218"/>
      <c r="R158" s="218"/>
      <c r="S158" s="218"/>
    </row>
    <row r="159" spans="1:19" ht="17.25" thickBot="1">
      <c r="A159" s="162" t="s">
        <v>174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218"/>
      <c r="R159" s="218"/>
      <c r="S159" s="218"/>
    </row>
    <row r="160" spans="1:19" ht="17.25" thickBot="1">
      <c r="A160" s="162" t="s">
        <v>168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227"/>
      <c r="R161" s="228"/>
      <c r="S161" s="229"/>
    </row>
    <row r="162" spans="1:19">
      <c r="A162" s="161" t="s">
        <v>284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230"/>
      <c r="R162" s="231"/>
      <c r="S162" s="232"/>
    </row>
    <row r="163" spans="1:19" ht="17.25" thickBot="1">
      <c r="A163" s="162" t="s">
        <v>252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233"/>
      <c r="R163" s="234"/>
      <c r="S163" s="235"/>
    </row>
    <row r="164" spans="1:19" ht="17.25" thickBot="1">
      <c r="A164" s="162" t="s">
        <v>232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218"/>
      <c r="R164" s="218"/>
      <c r="S164" s="218"/>
    </row>
    <row r="165" spans="1:19" ht="17.25" thickBot="1">
      <c r="A165" s="162" t="s">
        <v>238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13"/>
      <c r="R165" s="213"/>
      <c r="S165" s="213"/>
    </row>
    <row r="166" spans="1:19" ht="17.25" thickBot="1">
      <c r="A166" s="163" t="s">
        <v>258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13"/>
      <c r="R166" s="213"/>
      <c r="S166" s="213"/>
    </row>
    <row r="167" spans="1:19" ht="17.25" thickBot="1">
      <c r="A167" s="162" t="s">
        <v>250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218"/>
      <c r="R167" s="218"/>
      <c r="S167" s="218"/>
    </row>
    <row r="168" spans="1:19" ht="17.25" thickBot="1">
      <c r="A168" s="162" t="s">
        <v>216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218"/>
      <c r="R168" s="218"/>
      <c r="S168" s="218"/>
    </row>
    <row r="169" spans="1:19" ht="17.25" thickBot="1">
      <c r="A169" s="162" t="s">
        <v>170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218"/>
      <c r="R169" s="218"/>
      <c r="S169" s="218"/>
    </row>
    <row r="170" spans="1:19">
      <c r="A170" s="162" t="s">
        <v>246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240"/>
      <c r="R170" s="241"/>
      <c r="S170" s="242"/>
    </row>
    <row r="171" spans="1:19" ht="17.25" thickBot="1">
      <c r="A171" s="130" t="s">
        <v>296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243"/>
      <c r="R171" s="244"/>
      <c r="S171" s="245"/>
    </row>
    <row r="172" spans="1:19" ht="17.25" thickBot="1">
      <c r="A172" s="132" t="s">
        <v>300</v>
      </c>
      <c r="B172" s="251">
        <f>$B$37</f>
        <v>100000</v>
      </c>
      <c r="C172" s="252"/>
      <c r="D172" s="26" t="s">
        <v>301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301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301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301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246"/>
      <c r="R172" s="247"/>
      <c r="S172" s="248"/>
    </row>
    <row r="174" spans="1:19" ht="17.25" thickBot="1"/>
    <row r="175" spans="1:19" ht="17.25" thickBot="1">
      <c r="A175" s="192" t="s">
        <v>285</v>
      </c>
      <c r="B175" s="193"/>
      <c r="C175" s="193"/>
      <c r="D175" s="193"/>
      <c r="E175" s="193"/>
      <c r="F175" s="193"/>
      <c r="G175" s="193"/>
      <c r="H175" s="193"/>
      <c r="I175" s="193"/>
      <c r="J175" s="193"/>
      <c r="K175" s="193"/>
      <c r="L175" s="193"/>
      <c r="M175" s="193"/>
      <c r="N175" s="193"/>
      <c r="O175" s="194"/>
      <c r="Q175" s="213"/>
      <c r="R175" s="213"/>
      <c r="S175" s="213"/>
    </row>
    <row r="176" spans="1:19" ht="17.25" thickBot="1">
      <c r="A176" s="172" t="s">
        <v>297</v>
      </c>
      <c r="B176" s="192" t="s">
        <v>49</v>
      </c>
      <c r="C176" s="194"/>
      <c r="D176" s="192" t="s">
        <v>58</v>
      </c>
      <c r="E176" s="193"/>
      <c r="F176" s="194"/>
      <c r="G176" s="219">
        <f>_xlfn.IFNA(VLOOKUP(B176, 현재가테이블!$B$2:$D$200, 2, FALSE), "-")</f>
        <v>38300000</v>
      </c>
      <c r="H176" s="220"/>
      <c r="I176" s="221"/>
      <c r="J176" s="192" t="s">
        <v>59</v>
      </c>
      <c r="K176" s="193"/>
      <c r="L176" s="194"/>
      <c r="M176" s="222">
        <f>_xlfn.IFNA(VLOOKUP(B176, 현재가테이블!$B$2:$D$200, 3, FALSE), "-")</f>
        <v>-1.9557649E-2</v>
      </c>
      <c r="N176" s="223"/>
      <c r="O176" s="224"/>
      <c r="Q176" s="213"/>
      <c r="R176" s="213"/>
      <c r="S176" s="213"/>
    </row>
    <row r="177" spans="1:19" ht="17.25" thickBot="1">
      <c r="A177" s="253" t="s">
        <v>55</v>
      </c>
      <c r="B177" s="255" t="str">
        <f>TEXT($G$1, "[$-ko-KR]yyyy-mm-dd(ddd) ") &amp; "오전 00:00"</f>
        <v>2021-06-04(금) 오전 00:00</v>
      </c>
      <c r="C177" s="256"/>
      <c r="D177" s="215" t="str">
        <f>TEXT($G$1, "[$-ko-KR]yyyy-mm-dd(ddd) ") &amp; "오후 14:00"</f>
        <v>2021-06-04(금) 오후 14:00</v>
      </c>
      <c r="E177" s="216"/>
      <c r="F177" s="217"/>
      <c r="G177" s="215" t="str">
        <f>TEXT($G$1, "[$-ko-KR]yyyy-mm-dd(ddd) ") &amp; "오후 19:00"</f>
        <v>2021-06-04(금) 오후 19:00</v>
      </c>
      <c r="H177" s="216"/>
      <c r="I177" s="217"/>
      <c r="J177" s="215" t="str">
        <f>TEXT($G$1, "[$-ko-KR]yyyy-mm-dd(ddd) ") &amp; "오후 21:00"</f>
        <v>2021-06-04(금) 오후 21:00</v>
      </c>
      <c r="K177" s="216"/>
      <c r="L177" s="217"/>
      <c r="M177" s="215" t="str">
        <f>TEXT($G$1+1, "[$-ko-KR]yyyy-mm-dd(ddd) ") &amp; "오전 00:00"</f>
        <v>2021-06-05(토) 오전 00:00</v>
      </c>
      <c r="N177" s="216"/>
      <c r="O177" s="217"/>
      <c r="Q177" s="213"/>
      <c r="R177" s="213"/>
      <c r="S177" s="213"/>
    </row>
    <row r="178" spans="1:19" ht="17.25" thickBot="1">
      <c r="A178" s="25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3" t="s">
        <v>58</v>
      </c>
      <c r="H178" s="174" t="s">
        <v>298</v>
      </c>
      <c r="I178" s="17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8"/>
      <c r="R178" s="218"/>
      <c r="S178" s="218"/>
    </row>
    <row r="179" spans="1:19" ht="17.25" thickBot="1">
      <c r="A179" s="161" t="s">
        <v>198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13"/>
      <c r="R179" s="213"/>
      <c r="S179" s="213"/>
    </row>
    <row r="180" spans="1:19" ht="17.25" thickBot="1">
      <c r="A180" s="162" t="s">
        <v>276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13"/>
      <c r="R180" s="213"/>
      <c r="S180" s="213"/>
    </row>
    <row r="181" spans="1:19" ht="17.25" thickBot="1">
      <c r="A181" s="162" t="s">
        <v>260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218"/>
      <c r="R181" s="218"/>
      <c r="S181" s="218"/>
    </row>
    <row r="182" spans="1:19" ht="17.25" thickBot="1">
      <c r="A182" s="162" t="s">
        <v>250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218"/>
      <c r="R182" s="218"/>
      <c r="S182" s="218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218"/>
      <c r="R183" s="218"/>
      <c r="S183" s="218"/>
    </row>
    <row r="184" spans="1:19" ht="17.25" thickBot="1">
      <c r="A184" s="162" t="s">
        <v>204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218"/>
      <c r="R184" s="218"/>
      <c r="S184" s="218"/>
    </row>
    <row r="185" spans="1:19" ht="17.25" thickBot="1">
      <c r="A185" s="162" t="s">
        <v>180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218"/>
      <c r="R185" s="218"/>
      <c r="S185" s="218"/>
    </row>
    <row r="186" spans="1:19" ht="17.25" thickBot="1">
      <c r="A186" s="162" t="s">
        <v>216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218"/>
      <c r="R186" s="218"/>
      <c r="S186" s="218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162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227"/>
      <c r="R188" s="228"/>
      <c r="S188" s="229"/>
    </row>
    <row r="189" spans="1:19">
      <c r="A189" s="161" t="s">
        <v>170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230"/>
      <c r="R189" s="231"/>
      <c r="S189" s="232"/>
    </row>
    <row r="190" spans="1:19" ht="17.25" thickBot="1">
      <c r="A190" s="162" t="s">
        <v>194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233"/>
      <c r="R190" s="234"/>
      <c r="S190" s="235"/>
    </row>
    <row r="191" spans="1:19" ht="17.25" thickBot="1">
      <c r="A191" s="162" t="s">
        <v>272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218"/>
      <c r="R191" s="218"/>
      <c r="S191" s="218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13"/>
      <c r="R192" s="213"/>
      <c r="S192" s="213"/>
    </row>
    <row r="193" spans="1:19" ht="17.25" thickBot="1">
      <c r="A193" s="163" t="s">
        <v>246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13"/>
      <c r="R193" s="213"/>
      <c r="S193" s="213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218"/>
      <c r="R194" s="218"/>
      <c r="S194" s="218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218"/>
      <c r="R195" s="218"/>
      <c r="S195" s="218"/>
    </row>
    <row r="196" spans="1:19" ht="17.25" thickBot="1">
      <c r="A196" s="162" t="s">
        <v>166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218"/>
      <c r="R196" s="218"/>
      <c r="S196" s="218"/>
    </row>
    <row r="197" spans="1:19">
      <c r="A197" s="162" t="s">
        <v>274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240"/>
      <c r="R197" s="241"/>
      <c r="S197" s="242"/>
    </row>
    <row r="198" spans="1:19" ht="17.25" thickBot="1">
      <c r="A198" s="130" t="s">
        <v>296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243"/>
      <c r="R198" s="244"/>
      <c r="S198" s="245"/>
    </row>
    <row r="199" spans="1:19" ht="17.25" thickBot="1">
      <c r="A199" s="132" t="s">
        <v>300</v>
      </c>
      <c r="B199" s="251">
        <f>$B$37</f>
        <v>100000</v>
      </c>
      <c r="C199" s="252"/>
      <c r="D199" s="26" t="s">
        <v>301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301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301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301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246"/>
      <c r="R199" s="247"/>
      <c r="S199" s="24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topLeftCell="A90" zoomScaleNormal="100" workbookViewId="0">
      <selection activeCell="A100" sqref="A100:A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2" t="s">
        <v>0</v>
      </c>
      <c r="B1" s="193"/>
      <c r="C1" s="193"/>
      <c r="D1" s="193"/>
      <c r="E1" s="193"/>
      <c r="F1" s="194"/>
      <c r="G1" s="195">
        <v>44352</v>
      </c>
      <c r="H1" s="196"/>
      <c r="I1" s="197"/>
      <c r="J1" s="192" t="s">
        <v>1</v>
      </c>
      <c r="K1" s="193"/>
      <c r="L1" s="193"/>
      <c r="M1" s="193"/>
      <c r="N1" s="193"/>
      <c r="O1" s="194"/>
      <c r="Q1" s="192" t="s">
        <v>2</v>
      </c>
      <c r="R1" s="194"/>
    </row>
    <row r="2" spans="1:19" ht="17.25" customHeight="1">
      <c r="A2" s="117" t="s">
        <v>3</v>
      </c>
      <c r="B2" s="198" t="s">
        <v>8</v>
      </c>
      <c r="C2" s="199"/>
      <c r="D2" s="199"/>
      <c r="E2" s="199"/>
      <c r="F2" s="200"/>
      <c r="G2" s="201" t="s">
        <v>46</v>
      </c>
      <c r="H2" s="202"/>
      <c r="I2" s="203"/>
      <c r="J2" s="1" t="s">
        <v>3</v>
      </c>
      <c r="K2" s="198" t="s">
        <v>350</v>
      </c>
      <c r="L2" s="199"/>
      <c r="M2" s="199"/>
      <c r="N2" s="199"/>
      <c r="O2" s="200"/>
      <c r="Q2" s="2" t="s">
        <v>6</v>
      </c>
      <c r="R2" s="3">
        <v>0.375</v>
      </c>
    </row>
    <row r="3" spans="1:19" ht="17.25" customHeight="1" thickBot="1">
      <c r="A3" s="118" t="s">
        <v>7</v>
      </c>
      <c r="B3" s="204" t="s">
        <v>358</v>
      </c>
      <c r="C3" s="205"/>
      <c r="D3" s="205"/>
      <c r="E3" s="205"/>
      <c r="F3" s="206"/>
      <c r="G3" s="20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-5,908 KRW (-0.30%)</v>
      </c>
      <c r="H3" s="208"/>
      <c r="I3" s="209"/>
      <c r="J3" s="4" t="s">
        <v>7</v>
      </c>
      <c r="K3" s="204" t="s">
        <v>351</v>
      </c>
      <c r="L3" s="205"/>
      <c r="M3" s="205"/>
      <c r="N3" s="205"/>
      <c r="O3" s="2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4" t="s">
        <v>16</v>
      </c>
      <c r="C4" s="205"/>
      <c r="D4" s="205"/>
      <c r="E4" s="205"/>
      <c r="F4" s="206"/>
      <c r="G4" s="201" t="s">
        <v>44</v>
      </c>
      <c r="H4" s="202"/>
      <c r="I4" s="203"/>
      <c r="J4" s="4" t="s">
        <v>11</v>
      </c>
      <c r="K4" s="204" t="s">
        <v>352</v>
      </c>
      <c r="L4" s="205"/>
      <c r="M4" s="205"/>
      <c r="N4" s="205"/>
      <c r="O4" s="2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4" t="s">
        <v>349</v>
      </c>
      <c r="C5" s="205"/>
      <c r="D5" s="205"/>
      <c r="E5" s="205"/>
      <c r="F5" s="206"/>
      <c r="G5" s="20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8,893 KRW (0.44%)</v>
      </c>
      <c r="H5" s="208"/>
      <c r="I5" s="209"/>
      <c r="J5" s="4" t="s">
        <v>15</v>
      </c>
      <c r="K5" s="204" t="s">
        <v>353</v>
      </c>
      <c r="L5" s="205"/>
      <c r="M5" s="205"/>
      <c r="N5" s="205"/>
      <c r="O5" s="206"/>
    </row>
    <row r="6" spans="1:19">
      <c r="A6" s="118" t="s">
        <v>18</v>
      </c>
      <c r="B6" s="204"/>
      <c r="C6" s="205"/>
      <c r="D6" s="205"/>
      <c r="E6" s="205"/>
      <c r="F6" s="206"/>
      <c r="G6" s="201" t="s">
        <v>45</v>
      </c>
      <c r="H6" s="202"/>
      <c r="I6" s="203"/>
      <c r="J6" s="4" t="s">
        <v>18</v>
      </c>
      <c r="K6" s="204" t="s">
        <v>354</v>
      </c>
      <c r="L6" s="205"/>
      <c r="M6" s="205"/>
      <c r="N6" s="205"/>
      <c r="O6" s="206"/>
    </row>
    <row r="7" spans="1:19" ht="17.25" thickBot="1">
      <c r="A7" s="118" t="s">
        <v>21</v>
      </c>
      <c r="B7" s="204"/>
      <c r="C7" s="205"/>
      <c r="D7" s="205"/>
      <c r="E7" s="205"/>
      <c r="F7" s="206"/>
      <c r="G7" s="20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-12,056 KRW (-0.60%)</v>
      </c>
      <c r="H7" s="208"/>
      <c r="I7" s="209"/>
      <c r="J7" s="4" t="s">
        <v>21</v>
      </c>
      <c r="K7" s="204" t="s">
        <v>355</v>
      </c>
      <c r="L7" s="205"/>
      <c r="M7" s="205"/>
      <c r="N7" s="205"/>
      <c r="O7" s="206"/>
    </row>
    <row r="8" spans="1:19" ht="17.25" thickBot="1">
      <c r="A8" s="118" t="s">
        <v>24</v>
      </c>
      <c r="B8" s="204"/>
      <c r="C8" s="205"/>
      <c r="D8" s="205"/>
      <c r="E8" s="205"/>
      <c r="F8" s="206"/>
      <c r="G8" s="201" t="s">
        <v>285</v>
      </c>
      <c r="H8" s="202"/>
      <c r="I8" s="203"/>
      <c r="J8" s="4" t="s">
        <v>24</v>
      </c>
      <c r="K8" s="204"/>
      <c r="L8" s="205"/>
      <c r="M8" s="205"/>
      <c r="N8" s="205"/>
      <c r="O8" s="206"/>
      <c r="Q8" s="192" t="s">
        <v>27</v>
      </c>
      <c r="R8" s="194"/>
    </row>
    <row r="9" spans="1:19" ht="17.25" thickBot="1">
      <c r="A9" s="118" t="s">
        <v>28</v>
      </c>
      <c r="B9" s="204"/>
      <c r="C9" s="205"/>
      <c r="D9" s="205"/>
      <c r="E9" s="205"/>
      <c r="F9" s="206"/>
      <c r="G9" s="20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-44,493 KRW (-2.22%)</v>
      </c>
      <c r="H9" s="208"/>
      <c r="I9" s="209"/>
      <c r="J9" s="4" t="s">
        <v>28</v>
      </c>
      <c r="K9" s="204"/>
      <c r="L9" s="205"/>
      <c r="M9" s="205"/>
      <c r="N9" s="205"/>
      <c r="O9" s="206"/>
      <c r="Q9" s="2" t="s">
        <v>29</v>
      </c>
      <c r="R9" s="6">
        <v>10</v>
      </c>
    </row>
    <row r="10" spans="1:19">
      <c r="A10" s="118" t="s">
        <v>30</v>
      </c>
      <c r="B10" s="204"/>
      <c r="C10" s="205"/>
      <c r="D10" s="205"/>
      <c r="E10" s="205"/>
      <c r="F10" s="206"/>
      <c r="G10" s="201" t="s">
        <v>47</v>
      </c>
      <c r="H10" s="202"/>
      <c r="I10" s="203"/>
      <c r="J10" s="4" t="s">
        <v>30</v>
      </c>
      <c r="K10" s="204" t="s">
        <v>356</v>
      </c>
      <c r="L10" s="205"/>
      <c r="M10" s="205"/>
      <c r="N10" s="205"/>
      <c r="O10" s="206"/>
      <c r="Q10" s="2" t="s">
        <v>31</v>
      </c>
      <c r="R10" s="6">
        <v>100</v>
      </c>
    </row>
    <row r="11" spans="1:19" ht="17.25" thickBot="1">
      <c r="A11" s="119" t="s">
        <v>32</v>
      </c>
      <c r="B11" s="210" t="s">
        <v>357</v>
      </c>
      <c r="C11" s="211"/>
      <c r="D11" s="211"/>
      <c r="E11" s="211"/>
      <c r="F11" s="212"/>
      <c r="G11" s="20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5,429 KRW (1.09%)</v>
      </c>
      <c r="H11" s="208"/>
      <c r="I11" s="209"/>
      <c r="J11" s="7" t="s">
        <v>32</v>
      </c>
      <c r="K11" s="210" t="s">
        <v>348</v>
      </c>
      <c r="L11" s="211"/>
      <c r="M11" s="211"/>
      <c r="N11" s="211"/>
      <c r="O11" s="212"/>
      <c r="Q11" s="65" t="s">
        <v>33</v>
      </c>
      <c r="R11" s="8">
        <v>1000</v>
      </c>
    </row>
    <row r="12" spans="1:19" ht="17.25" thickBot="1"/>
    <row r="13" spans="1:19" ht="17.25" customHeight="1" thickBot="1">
      <c r="A13" s="192" t="s">
        <v>34</v>
      </c>
      <c r="B13" s="193"/>
      <c r="C13" s="193"/>
      <c r="D13" s="193"/>
      <c r="E13" s="193"/>
      <c r="F13" s="193"/>
      <c r="G13" s="193"/>
      <c r="H13" s="193"/>
      <c r="I13" s="193"/>
      <c r="J13" s="193"/>
      <c r="K13" s="193"/>
      <c r="L13" s="193"/>
      <c r="M13" s="193"/>
      <c r="N13" s="193"/>
      <c r="O13" s="194"/>
      <c r="Q13" s="213"/>
      <c r="R13" s="213"/>
      <c r="S13" s="213"/>
    </row>
    <row r="14" spans="1:19" ht="17.25" customHeight="1" thickBot="1">
      <c r="A14" s="176" t="s">
        <v>35</v>
      </c>
      <c r="B14" s="192" t="s">
        <v>36</v>
      </c>
      <c r="C14" s="194"/>
      <c r="D14" s="192" t="s">
        <v>37</v>
      </c>
      <c r="E14" s="193"/>
      <c r="F14" s="194"/>
      <c r="G14" s="219">
        <f>_xlfn.IFNA(VLOOKUP(B14, 현재가테이블!$B$2:$D$200, 2, FALSE), "-")</f>
        <v>38300000</v>
      </c>
      <c r="H14" s="220"/>
      <c r="I14" s="221"/>
      <c r="J14" s="192" t="s">
        <v>38</v>
      </c>
      <c r="K14" s="193"/>
      <c r="L14" s="194"/>
      <c r="M14" s="222">
        <f>_xlfn.IFNA(VLOOKUP(B14, 현재가테이블!$B$2:$D$200, 3, FALSE), "-")</f>
        <v>-1.9557649E-2</v>
      </c>
      <c r="N14" s="223"/>
      <c r="O14" s="224"/>
      <c r="Q14" s="213"/>
      <c r="R14" s="213"/>
      <c r="S14" s="213"/>
    </row>
    <row r="15" spans="1:19" ht="17.25" customHeight="1" thickBot="1">
      <c r="A15" s="257" t="s">
        <v>39</v>
      </c>
      <c r="B15" s="258" t="str">
        <f>TEXT($G$1, "[$-ko-KR]yyyy-mm-dd(ddd) ") &amp; "오전 00:00"</f>
        <v>2021-06-05(토) 오전 00:00</v>
      </c>
      <c r="C15" s="259"/>
      <c r="D15" s="215" t="str">
        <f>TEXT($G$1, "[$-ko-KR]yyyy-mm-dd(ddd) ") &amp; "오후 14:00"</f>
        <v>2021-06-05(토) 오후 14:00</v>
      </c>
      <c r="E15" s="216"/>
      <c r="F15" s="217"/>
      <c r="G15" s="215" t="str">
        <f>TEXT($G$1, "[$-ko-KR]yyyy-mm-dd(ddd) ") &amp; "오후 19:00"</f>
        <v>2021-06-05(토) 오후 19:00</v>
      </c>
      <c r="H15" s="216"/>
      <c r="I15" s="217"/>
      <c r="J15" s="215" t="str">
        <f>TEXT($G$1, "[$-ko-KR]yyyy-mm-dd(ddd) ") &amp; "오후 21:00"</f>
        <v>2021-06-05(토) 오후 21:00</v>
      </c>
      <c r="K15" s="216"/>
      <c r="L15" s="217"/>
      <c r="M15" s="215" t="str">
        <f>TEXT($G$1+1, "[$-ko-KR]yyyy-mm-dd(ddd) ") &amp; "오전 00:00"</f>
        <v>2021-06-06(일) 오전 00:00</v>
      </c>
      <c r="N15" s="216"/>
      <c r="O15" s="217"/>
      <c r="Q15" s="213"/>
      <c r="R15" s="213"/>
      <c r="S15" s="213"/>
    </row>
    <row r="16" spans="1:19" ht="17.25" customHeight="1" thickBot="1">
      <c r="A16" s="25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8"/>
      <c r="R16" s="218"/>
      <c r="S16" s="21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>
        <f>IF(NOT(ISBLANK(_xlfn.IFNA(VLOOKUP($A17, $A$40:$O$199, 13, FALSE), ))), _xlfn.IFNA(VLOOKUP($A17, $A$40:$O$199, 13, FALSE), ), "")</f>
        <v>100</v>
      </c>
      <c r="N17" s="14">
        <f>IF(NOT(ISBLANK(_xlfn.IFNA(VLOOKUP($A17, $A$40:$O$199, 14, FALSE), ))), _xlfn.IFNA(VLOOKUP($A17, $A$40:$O$199, 14, FALSE), ), "")</f>
        <v>7.2961373390557901E-2</v>
      </c>
      <c r="O17" s="16">
        <f>IF(NOT(ISBLANK(_xlfn.IFNA(VLOOKUP($A17, $A$40:$O$199, 15, FALSE), ))), _xlfn.IFNA(VLOOKUP($A17, $A$40:$O$199, 15, FALSE), ), "")</f>
        <v>7296.1373390557901</v>
      </c>
      <c r="Q17" s="213"/>
      <c r="R17" s="213"/>
      <c r="S17" s="213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>
        <f t="shared" ref="M18:M36" si="11">IF(NOT(ISBLANK(_xlfn.IFNA(VLOOKUP($A18, $A$40:$O$199, 13, FALSE), ))), _xlfn.IFNA(VLOOKUP($A18, $A$40:$O$199, 13, FALSE), ), "")</f>
        <v>79.099999999999994</v>
      </c>
      <c r="N18" s="32">
        <f t="shared" ref="N18:N36" si="12">IF(NOT(ISBLANK(_xlfn.IFNA(VLOOKUP($A18, $A$40:$O$199, 14, FALSE), ))), _xlfn.IFNA(VLOOKUP($A18, $A$40:$O$199, 14, FALSE), ), "")</f>
        <v>-2.4660912453760789E-2</v>
      </c>
      <c r="O18" s="18">
        <f t="shared" ref="O18:O36" si="13">IF(NOT(ISBLANK(_xlfn.IFNA(VLOOKUP($A18, $A$40:$O$199, 15, FALSE), ))), _xlfn.IFNA(VLOOKUP($A18, $A$40:$O$199, 15, FALSE), ), "")</f>
        <v>-2466.0912453760789</v>
      </c>
      <c r="Q18" s="213"/>
      <c r="R18" s="213"/>
      <c r="S18" s="213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>
        <f t="shared" si="11"/>
        <v>123</v>
      </c>
      <c r="N19" s="32">
        <f t="shared" si="12"/>
        <v>0</v>
      </c>
      <c r="O19" s="18">
        <f t="shared" si="13"/>
        <v>0</v>
      </c>
      <c r="Q19" s="218"/>
      <c r="R19" s="218"/>
      <c r="S19" s="218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>
        <f t="shared" si="11"/>
        <v>141</v>
      </c>
      <c r="N20" s="32">
        <f t="shared" si="12"/>
        <v>-7.0422535211267607E-3</v>
      </c>
      <c r="O20" s="18">
        <f t="shared" si="13"/>
        <v>-704.22535211267609</v>
      </c>
      <c r="Q20" s="218"/>
      <c r="R20" s="218"/>
      <c r="S20" s="218"/>
    </row>
    <row r="21" spans="1:19" ht="17.25" customHeight="1" thickBot="1">
      <c r="A21" s="163" t="s">
        <v>246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>
        <f t="shared" si="11"/>
        <v>311</v>
      </c>
      <c r="N21" s="21">
        <f t="shared" si="12"/>
        <v>1.3029315960912053E-2</v>
      </c>
      <c r="O21" s="22">
        <f t="shared" si="13"/>
        <v>1302.9315960912052</v>
      </c>
      <c r="Q21" s="218"/>
      <c r="R21" s="218"/>
      <c r="S21" s="218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8"/>
      <c r="R22" s="218"/>
      <c r="S22" s="218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8"/>
      <c r="R23" s="218"/>
      <c r="S23" s="218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8"/>
      <c r="R24" s="218"/>
      <c r="S24" s="218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7"/>
      <c r="R26" s="228"/>
      <c r="S26" s="229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0"/>
      <c r="R27" s="231"/>
      <c r="S27" s="232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3"/>
      <c r="R28" s="234"/>
      <c r="S28" s="235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8"/>
      <c r="R29" s="218"/>
      <c r="S29" s="218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3"/>
      <c r="R30" s="213"/>
      <c r="S30" s="21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3"/>
      <c r="R31" s="213"/>
      <c r="S31" s="21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8"/>
      <c r="R32" s="218"/>
      <c r="S32" s="21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8"/>
      <c r="R33" s="218"/>
      <c r="S33" s="21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8"/>
      <c r="R34" s="218"/>
      <c r="S34" s="21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0"/>
      <c r="R35" s="241"/>
      <c r="S35" s="24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3"/>
      <c r="R36" s="244"/>
      <c r="S36" s="245"/>
    </row>
    <row r="37" spans="1:19" ht="17.25" customHeight="1" thickBot="1">
      <c r="A37" s="132" t="s">
        <v>42</v>
      </c>
      <c r="B37" s="251">
        <v>100000</v>
      </c>
      <c r="C37" s="252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1.0857504675316482E-2</v>
      </c>
      <c r="O37" s="28">
        <f>SUM(O17:O36)</f>
        <v>5428.7523376582412</v>
      </c>
      <c r="Q37" s="246"/>
      <c r="R37" s="247"/>
      <c r="S37" s="248"/>
    </row>
    <row r="38" spans="1:19" ht="17.25" customHeight="1"/>
    <row r="39" spans="1:19" ht="17.25" customHeight="1" thickBot="1"/>
    <row r="40" spans="1:19" ht="17.25" customHeight="1" thickBot="1">
      <c r="A40" s="192" t="s">
        <v>44</v>
      </c>
      <c r="B40" s="193"/>
      <c r="C40" s="193"/>
      <c r="D40" s="193"/>
      <c r="E40" s="193"/>
      <c r="F40" s="193"/>
      <c r="G40" s="193"/>
      <c r="H40" s="193"/>
      <c r="I40" s="193"/>
      <c r="J40" s="193"/>
      <c r="K40" s="193"/>
      <c r="L40" s="193"/>
      <c r="M40" s="193"/>
      <c r="N40" s="193"/>
      <c r="O40" s="194"/>
      <c r="Q40" s="213"/>
      <c r="R40" s="213"/>
      <c r="S40" s="213"/>
    </row>
    <row r="41" spans="1:19" ht="17.25" customHeight="1" thickBot="1">
      <c r="A41" s="176" t="s">
        <v>297</v>
      </c>
      <c r="B41" s="192" t="s">
        <v>49</v>
      </c>
      <c r="C41" s="194"/>
      <c r="D41" s="192" t="s">
        <v>58</v>
      </c>
      <c r="E41" s="193"/>
      <c r="F41" s="194"/>
      <c r="G41" s="219">
        <f>_xlfn.IFNA(VLOOKUP(B41, 현재가테이블!$B$2:$D$200, 2, FALSE), "-")</f>
        <v>38300000</v>
      </c>
      <c r="H41" s="220"/>
      <c r="I41" s="221"/>
      <c r="J41" s="192" t="s">
        <v>59</v>
      </c>
      <c r="K41" s="193"/>
      <c r="L41" s="194"/>
      <c r="M41" s="222">
        <f>_xlfn.IFNA(VLOOKUP(B41, 현재가테이블!$B$2:$D$200, 3, FALSE), "-")</f>
        <v>-1.9557649E-2</v>
      </c>
      <c r="N41" s="223"/>
      <c r="O41" s="224"/>
      <c r="Q41" s="213"/>
      <c r="R41" s="213"/>
      <c r="S41" s="213"/>
    </row>
    <row r="42" spans="1:19" ht="17.25" customHeight="1" thickBot="1">
      <c r="A42" s="253" t="s">
        <v>55</v>
      </c>
      <c r="B42" s="255" t="str">
        <f>TEXT($G$1, "[$-ko-KR]yyyy-mm-dd(ddd) ") &amp; "오전 00:00"</f>
        <v>2021-06-05(토) 오전 00:00</v>
      </c>
      <c r="C42" s="256"/>
      <c r="D42" s="215" t="str">
        <f>TEXT($G$1, "[$-ko-KR]yyyy-mm-dd(ddd) ") &amp; "오후 14:00"</f>
        <v>2021-06-05(토) 오후 14:00</v>
      </c>
      <c r="E42" s="216"/>
      <c r="F42" s="217"/>
      <c r="G42" s="215" t="str">
        <f>TEXT($G$1, "[$-ko-KR]yyyy-mm-dd(ddd) ") &amp; "오후 19:00"</f>
        <v>2021-06-05(토) 오후 19:00</v>
      </c>
      <c r="H42" s="216"/>
      <c r="I42" s="217"/>
      <c r="J42" s="215" t="str">
        <f>TEXT($G$1, "[$-ko-KR]yyyy-mm-dd(ddd) ") &amp; "오후 21:00"</f>
        <v>2021-06-05(토) 오후 21:00</v>
      </c>
      <c r="K42" s="216"/>
      <c r="L42" s="217"/>
      <c r="M42" s="215" t="str">
        <f>TEXT($G$1+1, "[$-ko-KR]yyyy-mm-dd(ddd) ") &amp; "오전 00:00"</f>
        <v>2021-06-06(일) 오전 00:00</v>
      </c>
      <c r="N42" s="216"/>
      <c r="O42" s="217"/>
      <c r="Q42" s="213"/>
      <c r="R42" s="213"/>
      <c r="S42" s="213"/>
    </row>
    <row r="43" spans="1:19" ht="17.25" customHeight="1" thickBot="1">
      <c r="A43" s="25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7" t="s">
        <v>58</v>
      </c>
      <c r="H43" s="178" t="s">
        <v>298</v>
      </c>
      <c r="I43" s="17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8"/>
      <c r="R43" s="218"/>
      <c r="S43" s="218"/>
    </row>
    <row r="44" spans="1:19" ht="17.25" customHeight="1" thickBot="1">
      <c r="A44" s="161" t="s">
        <v>186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>
        <v>19.899999999999999</v>
      </c>
      <c r="N44" s="14">
        <f>IF(ISNUMBER(M44), (M44 - $B44) / $B44, "")</f>
        <v>0.21341463414634149</v>
      </c>
      <c r="O44" s="16">
        <f>IF(ISNUMBER(M44), $B64 * N44, "")</f>
        <v>21341.463414634149</v>
      </c>
      <c r="Q44" s="213"/>
      <c r="R44" s="213"/>
      <c r="S44" s="213"/>
    </row>
    <row r="45" spans="1:19" ht="17.25" customHeight="1" thickBot="1">
      <c r="A45" s="162" t="s">
        <v>212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>
        <v>79.099999999999994</v>
      </c>
      <c r="N45" s="32">
        <f t="shared" ref="N45:N48" si="17">IF(ISNUMBER(M45), (M45 - $B45) / $B45, "")</f>
        <v>-2.4660912453760789E-2</v>
      </c>
      <c r="O45" s="18">
        <f>IF(ISNUMBER(M45), $B64 * N45, "")</f>
        <v>-2466.0912453760789</v>
      </c>
      <c r="Q45" s="213"/>
      <c r="R45" s="213"/>
      <c r="S45" s="213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>
        <v>4.71</v>
      </c>
      <c r="N46" s="32">
        <f t="shared" si="17"/>
        <v>-6.3291139240506849E-3</v>
      </c>
      <c r="O46" s="18">
        <f>IF(ISNUMBER(M46), $B64 * N46, "")</f>
        <v>-632.91139240506845</v>
      </c>
      <c r="Q46" s="218"/>
      <c r="R46" s="218"/>
      <c r="S46" s="218"/>
    </row>
    <row r="47" spans="1:19" ht="17.25" customHeight="1" thickBot="1">
      <c r="A47" s="162" t="s">
        <v>198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>
        <v>16.5</v>
      </c>
      <c r="N47" s="32">
        <f t="shared" si="17"/>
        <v>-1.1976047904191574E-2</v>
      </c>
      <c r="O47" s="18">
        <f>IF(ISNUMBER(M47), $B64 * N47, "")</f>
        <v>-1197.6047904191573</v>
      </c>
      <c r="Q47" s="218"/>
      <c r="R47" s="218"/>
      <c r="S47" s="218"/>
    </row>
    <row r="48" spans="1:19" ht="17.25" customHeight="1" thickBot="1">
      <c r="A48" s="163" t="s">
        <v>254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>
        <v>51.3</v>
      </c>
      <c r="N48" s="21">
        <f t="shared" si="17"/>
        <v>-1.7241379310344935E-2</v>
      </c>
      <c r="O48" s="22">
        <f>IF(ISNUMBER(M48), $B64 * N48, "")</f>
        <v>-1724.1379310344935</v>
      </c>
      <c r="Q48" s="218"/>
      <c r="R48" s="218"/>
      <c r="S48" s="218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>
        <v>88.7</v>
      </c>
      <c r="N49" s="107">
        <f>IF(ISNUMBER(M49), (M49 - $B49) / $B49, "")</f>
        <v>-1.2249443207126886E-2</v>
      </c>
      <c r="O49" s="108">
        <f>IF(ISNUMBER(M49), $B64 * N49, "")</f>
        <v>-1224.9443207126885</v>
      </c>
      <c r="Q49" s="218"/>
      <c r="R49" s="218"/>
      <c r="S49" s="218"/>
    </row>
    <row r="50" spans="1:19" ht="17.25" customHeight="1" thickBot="1">
      <c r="A50" s="162" t="s">
        <v>218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>
        <v>16.600000000000001</v>
      </c>
      <c r="N50" s="32">
        <f t="shared" ref="N50:N53" si="21">IF(ISNUMBER(M50), (M50 - $B50) / $B50, "")</f>
        <v>-5.9880239520956812E-3</v>
      </c>
      <c r="O50" s="18">
        <f>IF(ISNUMBER(M50), $B64 * N50, "")</f>
        <v>-598.80239520956809</v>
      </c>
      <c r="Q50" s="218"/>
      <c r="R50" s="218"/>
      <c r="S50" s="218"/>
    </row>
    <row r="51" spans="1:19" ht="17.25" customHeight="1" thickBot="1">
      <c r="A51" s="162" t="s">
        <v>222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>
        <v>11.4</v>
      </c>
      <c r="N51" s="32">
        <f t="shared" si="21"/>
        <v>-8.6956521739130124E-3</v>
      </c>
      <c r="O51" s="18">
        <f>IF(ISNUMBER(M51), $B64 * N51, "")</f>
        <v>-869.56521739130119</v>
      </c>
      <c r="Q51" s="218"/>
      <c r="R51" s="218"/>
      <c r="S51" s="218"/>
    </row>
    <row r="52" spans="1:19" ht="17.25" customHeight="1" thickBot="1">
      <c r="A52" s="162" t="s">
        <v>278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>
        <v>79.099999999999994</v>
      </c>
      <c r="N52" s="32">
        <f t="shared" si="21"/>
        <v>-2.8255528255528392E-2</v>
      </c>
      <c r="O52" s="18">
        <f>IF(ISNUMBER(M52), $B64 * N52, "")</f>
        <v>-2825.5528255528393</v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>
        <v>100</v>
      </c>
      <c r="N53" s="25">
        <f t="shared" si="21"/>
        <v>7.2961373390557901E-2</v>
      </c>
      <c r="O53" s="104">
        <f>IF(ISNUMBER(M53), $B64 * N53, "")</f>
        <v>7296.1373390557901</v>
      </c>
      <c r="Q53" s="227"/>
      <c r="R53" s="228"/>
      <c r="S53" s="229"/>
    </row>
    <row r="54" spans="1:19" ht="17.25" customHeight="1">
      <c r="A54" s="161" t="s">
        <v>260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>
        <v>75.7</v>
      </c>
      <c r="N54" s="14">
        <f>IF(ISNUMBER(M54), (M54 - $B54) / $B54, "")</f>
        <v>-2.8241335044929431E-2</v>
      </c>
      <c r="O54" s="16">
        <f>IF(ISNUMBER(M54), $B64 * N54, "")</f>
        <v>-2824.1335044929433</v>
      </c>
      <c r="Q54" s="230"/>
      <c r="R54" s="231"/>
      <c r="S54" s="232"/>
    </row>
    <row r="55" spans="1:19" ht="17.25" customHeight="1" thickBot="1">
      <c r="A55" s="162" t="s">
        <v>196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11.5</v>
      </c>
      <c r="N55" s="32">
        <f t="shared" ref="N55:N58" si="25">IF(ISNUMBER(M55), (M55 - $B55) / $B55, "")</f>
        <v>-8.6206896551723842E-3</v>
      </c>
      <c r="O55" s="18">
        <f>IF(ISNUMBER(M55), $B64 * N55, "")</f>
        <v>-862.06896551723844</v>
      </c>
      <c r="Q55" s="233"/>
      <c r="R55" s="234"/>
      <c r="S55" s="235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>
        <v>65.900000000000006</v>
      </c>
      <c r="N56" s="32">
        <f t="shared" si="25"/>
        <v>-2.5147928994082674E-2</v>
      </c>
      <c r="O56" s="18">
        <f>IF(ISNUMBER(M56), $B64 * N56, "")</f>
        <v>-2514.7928994082672</v>
      </c>
      <c r="Q56" s="218"/>
      <c r="R56" s="218"/>
      <c r="S56" s="218"/>
    </row>
    <row r="57" spans="1:19" ht="17.25" customHeight="1" thickBot="1">
      <c r="A57" s="162" t="s">
        <v>228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>
        <v>10.4</v>
      </c>
      <c r="N57" s="32">
        <f t="shared" si="25"/>
        <v>-9.52380952380949E-3</v>
      </c>
      <c r="O57" s="18">
        <f>IF(ISNUMBER(M57), $B64 * N57, "")</f>
        <v>-952.380952380949</v>
      </c>
      <c r="Q57" s="213"/>
      <c r="R57" s="213"/>
      <c r="S57" s="213"/>
    </row>
    <row r="58" spans="1:19" ht="17.25" customHeight="1" thickBot="1">
      <c r="A58" s="163" t="s">
        <v>236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>
        <v>51.5</v>
      </c>
      <c r="N58" s="21">
        <f t="shared" si="25"/>
        <v>-5.7915057915057366E-3</v>
      </c>
      <c r="O58" s="22">
        <f>IF(ISNUMBER(M58), $B64 * N58, "")</f>
        <v>-579.15057915057366</v>
      </c>
      <c r="Q58" s="213"/>
      <c r="R58" s="213"/>
      <c r="S58" s="213"/>
    </row>
    <row r="59" spans="1:19" ht="17.25" customHeight="1" thickBot="1">
      <c r="A59" s="162" t="s">
        <v>266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>
        <v>57.2</v>
      </c>
      <c r="N59" s="107">
        <f>IF(ISNUMBER(M59), (M59 - $B59) / $B59, "")</f>
        <v>-1.3793103448275813E-2</v>
      </c>
      <c r="O59" s="108">
        <f>IF(ISNUMBER(M59), $B64 * N59, "")</f>
        <v>-1379.3103448275813</v>
      </c>
      <c r="Q59" s="218"/>
      <c r="R59" s="218"/>
      <c r="S59" s="218"/>
    </row>
    <row r="60" spans="1:19" ht="17.25" customHeight="1" thickBot="1">
      <c r="A60" s="162" t="s">
        <v>214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>
        <v>13.7</v>
      </c>
      <c r="N60" s="32">
        <f t="shared" ref="N60:N63" si="29">IF(ISNUMBER(M60), (M60 - $B60) / $B60, "")</f>
        <v>-7.2463768115943053E-3</v>
      </c>
      <c r="O60" s="18">
        <f>IF(ISNUMBER(M60), $B64 * N60, "")</f>
        <v>-724.63768115943049</v>
      </c>
      <c r="Q60" s="218"/>
      <c r="R60" s="218"/>
      <c r="S60" s="218"/>
    </row>
    <row r="61" spans="1:19" ht="17.25" customHeight="1" thickBot="1">
      <c r="A61" s="162" t="s">
        <v>268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>
        <v>52.1</v>
      </c>
      <c r="N61" s="32">
        <f t="shared" si="29"/>
        <v>-3.8240917782025956E-3</v>
      </c>
      <c r="O61" s="18">
        <f>IF(ISNUMBER(M61), $B64 * N61, "")</f>
        <v>-382.40917782025957</v>
      </c>
      <c r="Q61" s="218"/>
      <c r="R61" s="218"/>
      <c r="S61" s="218"/>
    </row>
    <row r="62" spans="1:19" ht="17.25" customHeight="1">
      <c r="A62" s="162" t="s">
        <v>172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>
        <v>15.2</v>
      </c>
      <c r="N62" s="32">
        <f t="shared" si="29"/>
        <v>2.0134228187919392E-2</v>
      </c>
      <c r="O62" s="18">
        <f>IF(ISNUMBER(M62), $B64 * N62, "")</f>
        <v>2013.4228187919393</v>
      </c>
      <c r="Q62" s="240"/>
      <c r="R62" s="241"/>
      <c r="S62" s="242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>
        <v>10.9</v>
      </c>
      <c r="N63" s="25">
        <f t="shared" si="29"/>
        <v>0</v>
      </c>
      <c r="O63" s="104">
        <f>IF(ISNUMBER(M63), $B64 * N63, "")</f>
        <v>0</v>
      </c>
      <c r="Q63" s="243"/>
      <c r="R63" s="244"/>
      <c r="S63" s="245"/>
    </row>
    <row r="64" spans="1:19" ht="17.25" customHeight="1" thickBot="1">
      <c r="A64" s="132" t="s">
        <v>300</v>
      </c>
      <c r="B64" s="251">
        <f>$B$37</f>
        <v>100000</v>
      </c>
      <c r="C64" s="252"/>
      <c r="D64" s="26" t="s">
        <v>301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301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301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301</v>
      </c>
      <c r="N64" s="27">
        <f>IF(COUNT(N44:N63), SUM(N44:N63) / COUNT(N44:N63), 0)</f>
        <v>4.4462646748117179E-3</v>
      </c>
      <c r="O64" s="28">
        <f>SUM(O44:O63)</f>
        <v>8892.529349623439</v>
      </c>
      <c r="Q64" s="246"/>
      <c r="R64" s="247"/>
      <c r="S64" s="248"/>
    </row>
    <row r="65" spans="1:19" ht="17.25" customHeight="1"/>
    <row r="66" spans="1:19" ht="17.25" customHeight="1" thickBot="1"/>
    <row r="67" spans="1:19" ht="17.25" thickBot="1">
      <c r="A67" s="192" t="s">
        <v>45</v>
      </c>
      <c r="B67" s="193"/>
      <c r="C67" s="193"/>
      <c r="D67" s="193"/>
      <c r="E67" s="193"/>
      <c r="F67" s="193"/>
      <c r="G67" s="193"/>
      <c r="H67" s="193"/>
      <c r="I67" s="193"/>
      <c r="J67" s="193"/>
      <c r="K67" s="193"/>
      <c r="L67" s="193"/>
      <c r="M67" s="193"/>
      <c r="N67" s="193"/>
      <c r="O67" s="194"/>
      <c r="Q67" s="213"/>
      <c r="R67" s="213"/>
      <c r="S67" s="213"/>
    </row>
    <row r="68" spans="1:19" ht="17.25" thickBot="1">
      <c r="A68" s="176" t="s">
        <v>297</v>
      </c>
      <c r="B68" s="192" t="s">
        <v>49</v>
      </c>
      <c r="C68" s="194"/>
      <c r="D68" s="192" t="s">
        <v>58</v>
      </c>
      <c r="E68" s="193"/>
      <c r="F68" s="194"/>
      <c r="G68" s="219">
        <f>_xlfn.IFNA(VLOOKUP(B68, 현재가테이블!$B$2:$D$200, 2, FALSE), "-")</f>
        <v>38300000</v>
      </c>
      <c r="H68" s="220"/>
      <c r="I68" s="221"/>
      <c r="J68" s="192" t="s">
        <v>59</v>
      </c>
      <c r="K68" s="193"/>
      <c r="L68" s="194"/>
      <c r="M68" s="222">
        <f>_xlfn.IFNA(VLOOKUP(B68, 현재가테이블!$B$2:$D$200, 3, FALSE), "-")</f>
        <v>-1.9557649E-2</v>
      </c>
      <c r="N68" s="223"/>
      <c r="O68" s="224"/>
      <c r="Q68" s="213"/>
      <c r="R68" s="213"/>
      <c r="S68" s="213"/>
    </row>
    <row r="69" spans="1:19" ht="17.25" thickBot="1">
      <c r="A69" s="253" t="s">
        <v>55</v>
      </c>
      <c r="B69" s="255" t="str">
        <f>TEXT($G$1, "[$-ko-KR]yyyy-mm-dd(ddd) ") &amp; "오전 00:00"</f>
        <v>2021-06-05(토) 오전 00:00</v>
      </c>
      <c r="C69" s="256"/>
      <c r="D69" s="215" t="str">
        <f>TEXT($G$1, "[$-ko-KR]yyyy-mm-dd(ddd) ") &amp; "오후 14:00"</f>
        <v>2021-06-05(토) 오후 14:00</v>
      </c>
      <c r="E69" s="216"/>
      <c r="F69" s="217"/>
      <c r="G69" s="215" t="str">
        <f>TEXT($G$1, "[$-ko-KR]yyyy-mm-dd(ddd) ") &amp; "오후 19:00"</f>
        <v>2021-06-05(토) 오후 19:00</v>
      </c>
      <c r="H69" s="216"/>
      <c r="I69" s="217"/>
      <c r="J69" s="215" t="str">
        <f>TEXT($G$1, "[$-ko-KR]yyyy-mm-dd(ddd) ") &amp; "오후 21:00"</f>
        <v>2021-06-05(토) 오후 21:00</v>
      </c>
      <c r="K69" s="216"/>
      <c r="L69" s="217"/>
      <c r="M69" s="215" t="str">
        <f>TEXT($G$1+1, "[$-ko-KR]yyyy-mm-dd(ddd) ") &amp; "오전 00:00"</f>
        <v>2021-06-06(일) 오전 00:00</v>
      </c>
      <c r="N69" s="216"/>
      <c r="O69" s="217"/>
      <c r="Q69" s="213"/>
      <c r="R69" s="213"/>
      <c r="S69" s="213"/>
    </row>
    <row r="70" spans="1:19" ht="17.25" thickBot="1">
      <c r="A70" s="25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7" t="s">
        <v>58</v>
      </c>
      <c r="H70" s="178" t="s">
        <v>298</v>
      </c>
      <c r="I70" s="17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8"/>
      <c r="R70" s="218"/>
      <c r="S70" s="218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>
        <v>202</v>
      </c>
      <c r="N71" s="14">
        <f>IF(ISNUMBER(M71), (M71 - $B71) / $B71, "")</f>
        <v>3.0612244897959183E-2</v>
      </c>
      <c r="O71" s="16">
        <f>IF(ISNUMBER(M71), $B91 * N71, "")</f>
        <v>3061.2244897959181</v>
      </c>
      <c r="Q71" s="213"/>
      <c r="R71" s="213"/>
      <c r="S71" s="213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>
        <v>525</v>
      </c>
      <c r="N72" s="32">
        <f t="shared" ref="N72:N75" si="33">IF(ISNUMBER(M72), (M72 - $B72) / $B72, "")</f>
        <v>7.5819672131147542E-2</v>
      </c>
      <c r="O72" s="18">
        <f>IF(ISNUMBER(M72), $B91 * N72, "")</f>
        <v>7581.9672131147545</v>
      </c>
      <c r="Q72" s="213"/>
      <c r="R72" s="213"/>
      <c r="S72" s="213"/>
    </row>
    <row r="73" spans="1:19" ht="17.25" thickBot="1">
      <c r="A73" s="162" t="s">
        <v>200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>
        <v>210</v>
      </c>
      <c r="N73" s="32">
        <f t="shared" si="33"/>
        <v>-6.6666666666666666E-2</v>
      </c>
      <c r="O73" s="18">
        <f>IF(ISNUMBER(M73), $B91 * N73, "")</f>
        <v>-6666.666666666667</v>
      </c>
      <c r="Q73" s="218"/>
      <c r="R73" s="218"/>
      <c r="S73" s="218"/>
    </row>
    <row r="74" spans="1:19" ht="17.25" thickBot="1">
      <c r="A74" s="162" t="s">
        <v>252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>
        <v>311</v>
      </c>
      <c r="N74" s="32">
        <f t="shared" si="33"/>
        <v>0</v>
      </c>
      <c r="O74" s="18">
        <f>IF(ISNUMBER(M74), $B91 * N74, "")</f>
        <v>0</v>
      </c>
      <c r="Q74" s="218"/>
      <c r="R74" s="218"/>
      <c r="S74" s="218"/>
    </row>
    <row r="75" spans="1:19" ht="17.25" thickBot="1">
      <c r="A75" s="163" t="s">
        <v>226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>
        <v>294</v>
      </c>
      <c r="N75" s="21">
        <f t="shared" si="33"/>
        <v>-2.3255813953488372E-2</v>
      </c>
      <c r="O75" s="22">
        <f>IF(ISNUMBER(M75), $B91 * N75, "")</f>
        <v>-2325.5813953488373</v>
      </c>
      <c r="Q75" s="218"/>
      <c r="R75" s="218"/>
      <c r="S75" s="218"/>
    </row>
    <row r="76" spans="1:19" ht="17.25" thickBot="1">
      <c r="A76" s="162" t="s">
        <v>246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>
        <v>311</v>
      </c>
      <c r="N76" s="107">
        <f>IF(ISNUMBER(M76), (M76 - $B76) / $B76, "")</f>
        <v>1.3029315960912053E-2</v>
      </c>
      <c r="O76" s="108">
        <f>IF(ISNUMBER(M76), $B91 * N76, "")</f>
        <v>1302.9315960912052</v>
      </c>
      <c r="Q76" s="218"/>
      <c r="R76" s="218"/>
      <c r="S76" s="218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>
        <v>155</v>
      </c>
      <c r="N77" s="32">
        <f t="shared" ref="N77:N80" si="37">IF(ISNUMBER(M77), (M77 - $B77) / $B77, "")</f>
        <v>-1.2738853503184714E-2</v>
      </c>
      <c r="O77" s="18">
        <f>IF(ISNUMBER(M77), $B91 * N77, "")</f>
        <v>-1273.8853503184714</v>
      </c>
      <c r="Q77" s="218"/>
      <c r="R77" s="218"/>
      <c r="S77" s="218"/>
    </row>
    <row r="78" spans="1:19" ht="17.25" thickBot="1">
      <c r="A78" s="162" t="s">
        <v>174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>
        <v>184</v>
      </c>
      <c r="N78" s="32">
        <f t="shared" si="37"/>
        <v>-2.1276595744680851E-2</v>
      </c>
      <c r="O78" s="18">
        <f>IF(ISNUMBER(M78), $B91 * N78, "")</f>
        <v>-2127.6595744680849</v>
      </c>
      <c r="Q78" s="218"/>
      <c r="R78" s="218"/>
      <c r="S78" s="218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>
        <v>141</v>
      </c>
      <c r="N79" s="32">
        <f t="shared" si="37"/>
        <v>-7.0422535211267607E-3</v>
      </c>
      <c r="O79" s="18">
        <f>IF(ISNUMBER(M79), $B91 * N79, "")</f>
        <v>-704.22535211267609</v>
      </c>
      <c r="Q79" s="33"/>
      <c r="R79" s="33"/>
    </row>
    <row r="80" spans="1:19" ht="17.25" thickBot="1">
      <c r="A80" s="130" t="s">
        <v>282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>
        <v>108</v>
      </c>
      <c r="N80" s="25">
        <f t="shared" si="37"/>
        <v>-9.1743119266055051E-3</v>
      </c>
      <c r="O80" s="104">
        <f>IF(ISNUMBER(M80), $B91 * N80, "")</f>
        <v>-917.43119266055055</v>
      </c>
      <c r="Q80" s="227"/>
      <c r="R80" s="228"/>
      <c r="S80" s="229"/>
    </row>
    <row r="81" spans="1:19">
      <c r="A81" s="161" t="s">
        <v>256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>
        <v>174</v>
      </c>
      <c r="N81" s="14">
        <f>IF(ISNUMBER(M81), (M81 - $B81) / $B81, "")</f>
        <v>-2.247191011235955E-2</v>
      </c>
      <c r="O81" s="16">
        <f>IF(ISNUMBER(M81), $B91 * N81, "")</f>
        <v>-2247.1910112359551</v>
      </c>
      <c r="Q81" s="230"/>
      <c r="R81" s="231"/>
      <c r="S81" s="232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>
        <v>887</v>
      </c>
      <c r="N82" s="32">
        <f t="shared" ref="N82:N85" si="41">IF(ISNUMBER(M82), (M82 - $B82) / $B82, "")</f>
        <v>-1.2249443207126948E-2</v>
      </c>
      <c r="O82" s="18">
        <f>IF(ISNUMBER(M82), $B91 * N82, "")</f>
        <v>-1224.9443207126949</v>
      </c>
      <c r="Q82" s="233"/>
      <c r="R82" s="234"/>
      <c r="S82" s="235"/>
    </row>
    <row r="83" spans="1:19" ht="17.25" thickBot="1">
      <c r="A83" s="162" t="s">
        <v>258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>
        <v>485</v>
      </c>
      <c r="N83" s="32">
        <f t="shared" si="41"/>
        <v>-1.020408163265306E-2</v>
      </c>
      <c r="O83" s="18">
        <f>IF(ISNUMBER(M83), $B91 * N83, "")</f>
        <v>-1020.408163265306</v>
      </c>
      <c r="Q83" s="218"/>
      <c r="R83" s="218"/>
      <c r="S83" s="218"/>
    </row>
    <row r="84" spans="1:19" ht="17.25" thickBot="1">
      <c r="A84" s="162" t="s">
        <v>230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>
        <v>111</v>
      </c>
      <c r="N84" s="32">
        <f t="shared" si="41"/>
        <v>-8.9285714285714281E-3</v>
      </c>
      <c r="O84" s="18">
        <f>IF(ISNUMBER(M84), $B91 * N84, "")</f>
        <v>-892.85714285714278</v>
      </c>
      <c r="Q84" s="213"/>
      <c r="R84" s="213"/>
      <c r="S84" s="213"/>
    </row>
    <row r="85" spans="1:19" ht="17.25" thickBot="1">
      <c r="A85" s="163" t="s">
        <v>202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>
        <v>123</v>
      </c>
      <c r="N85" s="21">
        <f t="shared" si="41"/>
        <v>0</v>
      </c>
      <c r="O85" s="22">
        <f>IF(ISNUMBER(M85), $B91 * N85, "")</f>
        <v>0</v>
      </c>
      <c r="Q85" s="213"/>
      <c r="R85" s="213"/>
      <c r="S85" s="213"/>
    </row>
    <row r="86" spans="1:19" ht="17.25" thickBot="1">
      <c r="A86" s="162" t="s">
        <v>170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>
        <v>294</v>
      </c>
      <c r="N86" s="107">
        <f>IF(ISNUMBER(M86), (M86 - $B86) / $B86, "")</f>
        <v>-6.7567567567567571E-3</v>
      </c>
      <c r="O86" s="108">
        <f>IF(ISNUMBER(M86), $B91 * N86, "")</f>
        <v>-675.67567567567573</v>
      </c>
      <c r="Q86" s="218"/>
      <c r="R86" s="218"/>
      <c r="S86" s="218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-2500</v>
      </c>
      <c r="Q87" s="218"/>
      <c r="R87" s="218"/>
      <c r="S87" s="218"/>
    </row>
    <row r="88" spans="1:19" ht="17.25" thickBot="1">
      <c r="A88" s="162" t="s">
        <v>270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>
        <v>356</v>
      </c>
      <c r="N88" s="32">
        <f t="shared" si="45"/>
        <v>-2.7322404371584699E-2</v>
      </c>
      <c r="O88" s="18">
        <f>IF(ISNUMBER(M88), $B91 * N88, "")</f>
        <v>-2732.2404371584698</v>
      </c>
      <c r="Q88" s="218"/>
      <c r="R88" s="218"/>
      <c r="S88" s="218"/>
    </row>
    <row r="89" spans="1:19">
      <c r="A89" s="162" t="s">
        <v>240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>
        <v>127</v>
      </c>
      <c r="N89" s="32">
        <f t="shared" si="45"/>
        <v>-7.8125E-3</v>
      </c>
      <c r="O89" s="18">
        <f>IF(ISNUMBER(M89), $B91 * N89, "")</f>
        <v>-781.25</v>
      </c>
      <c r="Q89" s="240"/>
      <c r="R89" s="241"/>
      <c r="S89" s="242"/>
    </row>
    <row r="90" spans="1:19" ht="17.25" thickBot="1">
      <c r="A90" s="130" t="s">
        <v>296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>
        <v>440</v>
      </c>
      <c r="N90" s="25">
        <f t="shared" si="45"/>
        <v>2.0881670533642691E-2</v>
      </c>
      <c r="O90" s="104">
        <f>IF(ISNUMBER(M90), $B91 * N90, "")</f>
        <v>2088.1670533642691</v>
      </c>
      <c r="Q90" s="243"/>
      <c r="R90" s="244"/>
      <c r="S90" s="245"/>
    </row>
    <row r="91" spans="1:19" ht="17.25" thickBot="1">
      <c r="A91" s="132" t="s">
        <v>300</v>
      </c>
      <c r="B91" s="251">
        <f>$B$37</f>
        <v>100000</v>
      </c>
      <c r="C91" s="252"/>
      <c r="D91" s="26" t="s">
        <v>301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301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301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301</v>
      </c>
      <c r="N91" s="27">
        <f>IF(COUNT(N71:N90), SUM(N71:N90) / COUNT(N71:N90), 0)</f>
        <v>-6.0278629650571923E-3</v>
      </c>
      <c r="O91" s="28">
        <f>SUM(O71:O90)</f>
        <v>-12055.725930114386</v>
      </c>
      <c r="Q91" s="246"/>
      <c r="R91" s="247"/>
      <c r="S91" s="248"/>
    </row>
    <row r="93" spans="1:19" ht="17.25" thickBot="1"/>
    <row r="94" spans="1:19" ht="17.25" thickBot="1">
      <c r="A94" s="192" t="s">
        <v>46</v>
      </c>
      <c r="B94" s="193"/>
      <c r="C94" s="193"/>
      <c r="D94" s="193"/>
      <c r="E94" s="193"/>
      <c r="F94" s="193"/>
      <c r="G94" s="193"/>
      <c r="H94" s="193"/>
      <c r="I94" s="193"/>
      <c r="J94" s="193"/>
      <c r="K94" s="193"/>
      <c r="L94" s="193"/>
      <c r="M94" s="193"/>
      <c r="N94" s="193"/>
      <c r="O94" s="194"/>
      <c r="Q94" s="213"/>
      <c r="R94" s="213"/>
      <c r="S94" s="213"/>
    </row>
    <row r="95" spans="1:19" ht="17.25" thickBot="1">
      <c r="A95" s="176" t="s">
        <v>297</v>
      </c>
      <c r="B95" s="192" t="s">
        <v>49</v>
      </c>
      <c r="C95" s="194"/>
      <c r="D95" s="192" t="s">
        <v>58</v>
      </c>
      <c r="E95" s="193"/>
      <c r="F95" s="194"/>
      <c r="G95" s="219">
        <f>_xlfn.IFNA(VLOOKUP(B95, 현재가테이블!$B$2:$D$200, 2, FALSE), "-")</f>
        <v>38300000</v>
      </c>
      <c r="H95" s="220"/>
      <c r="I95" s="221"/>
      <c r="J95" s="192" t="s">
        <v>59</v>
      </c>
      <c r="K95" s="193"/>
      <c r="L95" s="194"/>
      <c r="M95" s="222">
        <f>_xlfn.IFNA(VLOOKUP(B95, 현재가테이블!$B$2:$D$200, 3, FALSE), "-")</f>
        <v>-1.9557649E-2</v>
      </c>
      <c r="N95" s="223"/>
      <c r="O95" s="224"/>
      <c r="Q95" s="213"/>
      <c r="R95" s="213"/>
      <c r="S95" s="213"/>
    </row>
    <row r="96" spans="1:19" ht="17.25" thickBot="1">
      <c r="A96" s="253" t="s">
        <v>55</v>
      </c>
      <c r="B96" s="255" t="str">
        <f>TEXT($G$1, "[$-ko-KR]yyyy-mm-dd(ddd) ") &amp; "오전 00:00"</f>
        <v>2021-06-05(토) 오전 00:00</v>
      </c>
      <c r="C96" s="256"/>
      <c r="D96" s="215" t="str">
        <f>TEXT($G$1, "[$-ko-KR]yyyy-mm-dd(ddd) ") &amp; "오후 14:00"</f>
        <v>2021-06-05(토) 오후 14:00</v>
      </c>
      <c r="E96" s="216"/>
      <c r="F96" s="217"/>
      <c r="G96" s="215" t="str">
        <f>TEXT($G$1, "[$-ko-KR]yyyy-mm-dd(ddd) ") &amp; "오후 19:00"</f>
        <v>2021-06-05(토) 오후 19:00</v>
      </c>
      <c r="H96" s="216"/>
      <c r="I96" s="217"/>
      <c r="J96" s="215" t="str">
        <f>TEXT($G$1, "[$-ko-KR]yyyy-mm-dd(ddd) ") &amp; "오후 21:00"</f>
        <v>2021-06-05(토) 오후 21:00</v>
      </c>
      <c r="K96" s="216"/>
      <c r="L96" s="217"/>
      <c r="M96" s="215" t="str">
        <f>TEXT($G$1+1, "[$-ko-KR]yyyy-mm-dd(ddd) ") &amp; "오전 00:00"</f>
        <v>2021-06-06(일) 오전 00:00</v>
      </c>
      <c r="N96" s="216"/>
      <c r="O96" s="217"/>
      <c r="Q96" s="213"/>
      <c r="R96" s="213"/>
      <c r="S96" s="213"/>
    </row>
    <row r="97" spans="1:19" ht="17.25" thickBot="1">
      <c r="A97" s="25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7" t="s">
        <v>58</v>
      </c>
      <c r="H97" s="178" t="s">
        <v>298</v>
      </c>
      <c r="I97" s="17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8"/>
      <c r="R97" s="218"/>
      <c r="S97" s="218"/>
    </row>
    <row r="98" spans="1:19" ht="17.25" thickBot="1">
      <c r="A98" s="161" t="s">
        <v>186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>
        <v>19.899999999999999</v>
      </c>
      <c r="N98" s="14">
        <f>IF(ISNUMBER(M98), (M98 - $B98) / $B98, "")</f>
        <v>0.21341463414634149</v>
      </c>
      <c r="O98" s="16">
        <f>IF(ISNUMBER(M98), $B118 * N98, "")</f>
        <v>21341.463414634149</v>
      </c>
      <c r="Q98" s="213"/>
      <c r="R98" s="213"/>
      <c r="S98" s="213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>
        <v>202</v>
      </c>
      <c r="N99" s="32">
        <f t="shared" ref="N99:N102" si="49">IF(ISNUMBER(M99), (M99 - $B99) / $B99, "")</f>
        <v>3.0612244897959183E-2</v>
      </c>
      <c r="O99" s="18">
        <f>IF(ISNUMBER(M99), $B118 * N99, "")</f>
        <v>3061.2244897959181</v>
      </c>
      <c r="Q99" s="213"/>
      <c r="R99" s="213"/>
      <c r="S99" s="213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>
        <v>10760</v>
      </c>
      <c r="N100" s="32">
        <f t="shared" si="49"/>
        <v>-5.944055944055944E-2</v>
      </c>
      <c r="O100" s="18">
        <f>IF(ISNUMBER(M100), $B118 * N100, "")</f>
        <v>-5944.0559440559437</v>
      </c>
      <c r="Q100" s="218"/>
      <c r="R100" s="218"/>
      <c r="S100" s="218"/>
    </row>
    <row r="101" spans="1:19" ht="17.25" thickBot="1">
      <c r="A101" s="162" t="s">
        <v>206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>
        <v>16630</v>
      </c>
      <c r="N101" s="32">
        <f t="shared" si="49"/>
        <v>-5.1881413911060437E-2</v>
      </c>
      <c r="O101" s="18">
        <f>IF(ISNUMBER(M101), $B118 * N101, "")</f>
        <v>-5188.1413911060436</v>
      </c>
      <c r="Q101" s="218"/>
      <c r="R101" s="218"/>
      <c r="S101" s="218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>
        <v>525</v>
      </c>
      <c r="N102" s="21">
        <f t="shared" si="49"/>
        <v>7.5819672131147542E-2</v>
      </c>
      <c r="O102" s="22">
        <f>IF(ISNUMBER(M102), $B118 * N102, "")</f>
        <v>7581.9672131147545</v>
      </c>
      <c r="Q102" s="218"/>
      <c r="R102" s="218"/>
      <c r="S102" s="218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>
        <v>5535</v>
      </c>
      <c r="N103" s="107">
        <f>IF(ISNUMBER(M103), (M103 - $B103) / $B103, "")</f>
        <v>-4.0727902946273833E-2</v>
      </c>
      <c r="O103" s="108">
        <f>IF(ISNUMBER(M103), $B118 * N103, "")</f>
        <v>-4072.7902946273834</v>
      </c>
      <c r="Q103" s="218"/>
      <c r="R103" s="218"/>
      <c r="S103" s="218"/>
    </row>
    <row r="104" spans="1:19" ht="17.25" thickBot="1">
      <c r="A104" s="162" t="s">
        <v>200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>
        <v>210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218"/>
      <c r="R104" s="218"/>
      <c r="S104" s="218"/>
    </row>
    <row r="105" spans="1:19" ht="17.25" thickBot="1">
      <c r="A105" s="162" t="s">
        <v>212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>
        <v>79.099999999999994</v>
      </c>
      <c r="N105" s="32">
        <f t="shared" si="53"/>
        <v>-2.4660912453760789E-2</v>
      </c>
      <c r="O105" s="18">
        <f>IF(ISNUMBER(M105), $B118 * N105, "")</f>
        <v>-2466.0912453760789</v>
      </c>
      <c r="Q105" s="218"/>
      <c r="R105" s="218"/>
      <c r="S105" s="218"/>
    </row>
    <row r="106" spans="1:19" ht="17.25" thickBot="1">
      <c r="A106" s="162" t="s">
        <v>176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>
        <v>1160</v>
      </c>
      <c r="N106" s="32">
        <f t="shared" si="53"/>
        <v>-2.5210084033613446E-2</v>
      </c>
      <c r="O106" s="18">
        <f>IF(ISNUMBER(M106), $B118 * N106, "")</f>
        <v>-2521.0084033613448</v>
      </c>
      <c r="Q106" s="33"/>
      <c r="R106" s="33"/>
    </row>
    <row r="107" spans="1:19" ht="17.25" thickBot="1">
      <c r="A107" s="130" t="s">
        <v>252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>
        <v>311</v>
      </c>
      <c r="N107" s="25">
        <f t="shared" si="53"/>
        <v>0</v>
      </c>
      <c r="O107" s="104">
        <f>IF(ISNUMBER(M107), $B118 * N107, "")</f>
        <v>0</v>
      </c>
      <c r="Q107" s="227"/>
      <c r="R107" s="228"/>
      <c r="S107" s="229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>
        <v>4.71</v>
      </c>
      <c r="N108" s="14">
        <f>IF(ISNUMBER(M108), (M108 - $B108) / $B108, "")</f>
        <v>-6.3291139240506849E-3</v>
      </c>
      <c r="O108" s="16">
        <f>IF(ISNUMBER(M108), $B118 * N108, "")</f>
        <v>-632.91139240506845</v>
      </c>
      <c r="Q108" s="230"/>
      <c r="R108" s="231"/>
      <c r="S108" s="232"/>
    </row>
    <row r="109" spans="1:19" ht="17.25" thickBot="1">
      <c r="A109" s="162" t="s">
        <v>226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>
        <v>294</v>
      </c>
      <c r="N109" s="32">
        <f t="shared" ref="N109:N112" si="57">IF(ISNUMBER(M109), (M109 - $B109) / $B109, "")</f>
        <v>-2.3255813953488372E-2</v>
      </c>
      <c r="O109" s="18">
        <f>IF(ISNUMBER(M109), $B118 * N109, "")</f>
        <v>-2325.5813953488373</v>
      </c>
      <c r="Q109" s="233"/>
      <c r="R109" s="234"/>
      <c r="S109" s="235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>
        <v>42000000</v>
      </c>
      <c r="N110" s="32">
        <f t="shared" si="57"/>
        <v>-3.0023094688221709E-2</v>
      </c>
      <c r="O110" s="18">
        <f>IF(ISNUMBER(M110), $B118 * N110, "")</f>
        <v>-3002.3094688221709</v>
      </c>
      <c r="Q110" s="218"/>
      <c r="R110" s="218"/>
      <c r="S110" s="218"/>
    </row>
    <row r="111" spans="1:19" ht="17.25" thickBot="1">
      <c r="A111" s="162" t="s">
        <v>246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>
        <v>311</v>
      </c>
      <c r="N111" s="32">
        <f t="shared" si="57"/>
        <v>1.3029315960912053E-2</v>
      </c>
      <c r="O111" s="18">
        <f>IF(ISNUMBER(M111), $B118 * N111, "")</f>
        <v>1302.9315960912052</v>
      </c>
      <c r="Q111" s="213"/>
      <c r="R111" s="213"/>
      <c r="S111" s="213"/>
    </row>
    <row r="112" spans="1:19" ht="17.25" thickBot="1">
      <c r="A112" s="163" t="s">
        <v>198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>
        <v>16.5</v>
      </c>
      <c r="N112" s="21">
        <f t="shared" si="57"/>
        <v>-1.1976047904191574E-2</v>
      </c>
      <c r="O112" s="22">
        <f>IF(ISNUMBER(M112), $B118 * N112, "")</f>
        <v>-1197.6047904191573</v>
      </c>
      <c r="Q112" s="213"/>
      <c r="R112" s="213"/>
      <c r="S112" s="213"/>
    </row>
    <row r="113" spans="1:19" ht="17.25" thickBot="1">
      <c r="A113" s="162" t="s">
        <v>254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>
        <v>51.3</v>
      </c>
      <c r="N113" s="107">
        <f>IF(ISNUMBER(M113), (M113 - $B113) / $B113, "")</f>
        <v>-1.7241379310344935E-2</v>
      </c>
      <c r="O113" s="108">
        <f>IF(ISNUMBER(M113), $B118 * N113, "")</f>
        <v>-1724.1379310344935</v>
      </c>
      <c r="Q113" s="218"/>
      <c r="R113" s="218"/>
      <c r="S113" s="218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>
        <v>5610</v>
      </c>
      <c r="N114" s="32">
        <f t="shared" ref="N114:N117" si="61">IF(ISNUMBER(M114), (M114 - $B114) / $B114, "")</f>
        <v>1.1722272317403066E-2</v>
      </c>
      <c r="O114" s="18">
        <f>IF(ISNUMBER(M114), $B118 * N114, "")</f>
        <v>1172.2272317403067</v>
      </c>
      <c r="Q114" s="218"/>
      <c r="R114" s="218"/>
      <c r="S114" s="218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>
        <v>155</v>
      </c>
      <c r="N115" s="32">
        <f t="shared" si="61"/>
        <v>-1.2738853503184714E-2</v>
      </c>
      <c r="O115" s="18">
        <f>IF(ISNUMBER(M115), $B118 * N115, "")</f>
        <v>-1273.8853503184714</v>
      </c>
      <c r="Q115" s="218"/>
      <c r="R115" s="218"/>
      <c r="S115" s="218"/>
    </row>
    <row r="116" spans="1:19">
      <c r="A116" s="162" t="s">
        <v>174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>
        <v>184</v>
      </c>
      <c r="N116" s="32">
        <f t="shared" si="61"/>
        <v>-2.1276595744680851E-2</v>
      </c>
      <c r="O116" s="18">
        <f>IF(ISNUMBER(M116), $B118 * N116, "")</f>
        <v>-2127.6595744680849</v>
      </c>
      <c r="Q116" s="240"/>
      <c r="R116" s="241"/>
      <c r="S116" s="242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>
        <v>88.7</v>
      </c>
      <c r="N117" s="25">
        <f t="shared" si="61"/>
        <v>-1.2249443207126886E-2</v>
      </c>
      <c r="O117" s="104">
        <f>IF(ISNUMBER(M117), $B118 * N117, "")</f>
        <v>-1224.9443207126885</v>
      </c>
      <c r="Q117" s="243"/>
      <c r="R117" s="244"/>
      <c r="S117" s="245"/>
    </row>
    <row r="118" spans="1:19" ht="17.25" thickBot="1">
      <c r="A118" s="132" t="s">
        <v>300</v>
      </c>
      <c r="B118" s="251">
        <f>$B$37</f>
        <v>100000</v>
      </c>
      <c r="C118" s="252"/>
      <c r="D118" s="26" t="s">
        <v>301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301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301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301</v>
      </c>
      <c r="N118" s="27">
        <f>IF(COUNT(N98:N117), SUM(N98:N117) / COUNT(N98:N117), 0)</f>
        <v>-2.9539871116730496E-3</v>
      </c>
      <c r="O118" s="28">
        <f>SUM(O98:O117)</f>
        <v>-5907.9742233461047</v>
      </c>
      <c r="Q118" s="246"/>
      <c r="R118" s="247"/>
      <c r="S118" s="248"/>
    </row>
    <row r="120" spans="1:19" ht="17.25" thickBot="1"/>
    <row r="121" spans="1:19" ht="17.25" thickBot="1">
      <c r="A121" s="192" t="s">
        <v>288</v>
      </c>
      <c r="B121" s="193"/>
      <c r="C121" s="193"/>
      <c r="D121" s="193"/>
      <c r="E121" s="193"/>
      <c r="F121" s="193"/>
      <c r="G121" s="193"/>
      <c r="H121" s="193"/>
      <c r="I121" s="193"/>
      <c r="J121" s="193"/>
      <c r="K121" s="193"/>
      <c r="L121" s="193"/>
      <c r="M121" s="193"/>
      <c r="N121" s="193"/>
      <c r="O121" s="194"/>
      <c r="Q121" s="213"/>
      <c r="R121" s="213"/>
      <c r="S121" s="213"/>
    </row>
    <row r="122" spans="1:19" ht="17.25" thickBot="1">
      <c r="A122" s="176" t="s">
        <v>297</v>
      </c>
      <c r="B122" s="192" t="s">
        <v>49</v>
      </c>
      <c r="C122" s="194"/>
      <c r="D122" s="192" t="s">
        <v>58</v>
      </c>
      <c r="E122" s="193"/>
      <c r="F122" s="194"/>
      <c r="G122" s="219">
        <f>_xlfn.IFNA(VLOOKUP(B122, 현재가테이블!$B$2:$D$200, 2, FALSE), "-")</f>
        <v>38300000</v>
      </c>
      <c r="H122" s="220"/>
      <c r="I122" s="221"/>
      <c r="J122" s="192" t="s">
        <v>59</v>
      </c>
      <c r="K122" s="193"/>
      <c r="L122" s="194"/>
      <c r="M122" s="222">
        <f>_xlfn.IFNA(VLOOKUP(B122, 현재가테이블!$B$2:$D$200, 3, FALSE), "-")</f>
        <v>-1.9557649E-2</v>
      </c>
      <c r="N122" s="223"/>
      <c r="O122" s="224"/>
      <c r="Q122" s="213"/>
      <c r="R122" s="213"/>
      <c r="S122" s="213"/>
    </row>
    <row r="123" spans="1:19" ht="17.25" thickBot="1">
      <c r="A123" s="253" t="s">
        <v>55</v>
      </c>
      <c r="B123" s="255" t="str">
        <f>TEXT($G$1, "[$-ko-KR]yyyy-mm-dd(ddd) ") &amp; "오전 00:00"</f>
        <v>2021-06-05(토) 오전 00:00</v>
      </c>
      <c r="C123" s="256"/>
      <c r="D123" s="215" t="str">
        <f>TEXT($G$1, "[$-ko-KR]yyyy-mm-dd(ddd) ") &amp; "오후 14:00"</f>
        <v>2021-06-05(토) 오후 14:00</v>
      </c>
      <c r="E123" s="216"/>
      <c r="F123" s="217"/>
      <c r="G123" s="215" t="str">
        <f>TEXT($G$1, "[$-ko-KR]yyyy-mm-dd(ddd) ") &amp; "오후 19:00"</f>
        <v>2021-06-05(토) 오후 19:00</v>
      </c>
      <c r="H123" s="216"/>
      <c r="I123" s="217"/>
      <c r="J123" s="215" t="str">
        <f>TEXT($G$1, "[$-ko-KR]yyyy-mm-dd(ddd) ") &amp; "오후 21:00"</f>
        <v>2021-06-05(토) 오후 21:00</v>
      </c>
      <c r="K123" s="216"/>
      <c r="L123" s="217"/>
      <c r="M123" s="215" t="str">
        <f>TEXT($G$1+1, "[$-ko-KR]yyyy-mm-dd(ddd) ") &amp; "오전 00:00"</f>
        <v>2021-06-06(일) 오전 00:00</v>
      </c>
      <c r="N123" s="216"/>
      <c r="O123" s="217"/>
      <c r="Q123" s="213"/>
      <c r="R123" s="213"/>
      <c r="S123" s="213"/>
    </row>
    <row r="124" spans="1:19" ht="17.25" thickBot="1">
      <c r="A124" s="25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7" t="s">
        <v>58</v>
      </c>
      <c r="H124" s="178" t="s">
        <v>298</v>
      </c>
      <c r="I124" s="17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8"/>
      <c r="R124" s="218"/>
      <c r="S124" s="218"/>
    </row>
    <row r="125" spans="1:19" ht="17.25" thickBot="1">
      <c r="A125" s="161" t="s">
        <v>218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>
        <v>16.600000000000001</v>
      </c>
      <c r="N125" s="14">
        <f>IF(ISNUMBER(M125), (M125 - $B125) / $B125, "")</f>
        <v>-5.9880239520956812E-3</v>
      </c>
      <c r="O125" s="16">
        <f>IF(ISNUMBER(M125), $B145 * N125, "")</f>
        <v>-598.80239520956809</v>
      </c>
      <c r="Q125" s="213"/>
      <c r="R125" s="213"/>
      <c r="S125" s="213"/>
    </row>
    <row r="126" spans="1:19" ht="17.25" thickBot="1">
      <c r="A126" s="162" t="s">
        <v>222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>
        <v>11.4</v>
      </c>
      <c r="N126" s="32">
        <f t="shared" ref="N126:N129" si="65">IF(ISNUMBER(M126), (M126 - $B126) / $B126, "")</f>
        <v>-8.6956521739130124E-3</v>
      </c>
      <c r="O126" s="18">
        <f>IF(ISNUMBER(M126), $B145 * N126, "")</f>
        <v>-869.56521739130119</v>
      </c>
      <c r="Q126" s="213"/>
      <c r="R126" s="213"/>
      <c r="S126" s="213"/>
    </row>
    <row r="127" spans="1:19" ht="17.25" thickBot="1">
      <c r="A127" s="162" t="s">
        <v>278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>
        <v>79.099999999999994</v>
      </c>
      <c r="N127" s="32">
        <f t="shared" si="65"/>
        <v>-2.8255528255528392E-2</v>
      </c>
      <c r="O127" s="18">
        <f>IF(ISNUMBER(M127), $B145 * N127, "")</f>
        <v>-2825.5528255528393</v>
      </c>
      <c r="Q127" s="218"/>
      <c r="R127" s="218"/>
      <c r="S127" s="218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>
        <v>100</v>
      </c>
      <c r="N128" s="32">
        <f t="shared" si="65"/>
        <v>7.2961373390557901E-2</v>
      </c>
      <c r="O128" s="18">
        <f>IF(ISNUMBER(M128), $B145 * N128, "")</f>
        <v>7296.1373390557901</v>
      </c>
      <c r="Q128" s="218"/>
      <c r="R128" s="218"/>
      <c r="S128" s="218"/>
    </row>
    <row r="129" spans="1:19" ht="17.25" thickBot="1">
      <c r="A129" s="163" t="s">
        <v>260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>
        <v>75.7</v>
      </c>
      <c r="N129" s="21">
        <f t="shared" si="65"/>
        <v>-2.8241335044929431E-2</v>
      </c>
      <c r="O129" s="22">
        <f>IF(ISNUMBER(M129), $B145 * N129, "")</f>
        <v>-2824.1335044929433</v>
      </c>
      <c r="Q129" s="218"/>
      <c r="R129" s="218"/>
      <c r="S129" s="218"/>
    </row>
    <row r="130" spans="1:19" ht="17.25" thickBot="1">
      <c r="A130" s="162" t="s">
        <v>196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-8.6206896551723842E-3</v>
      </c>
      <c r="O130" s="108">
        <f>IF(ISNUMBER(M130), $B145 * N130, "")</f>
        <v>-862.06896551723844</v>
      </c>
      <c r="Q130" s="218"/>
      <c r="R130" s="218"/>
      <c r="S130" s="218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>
        <v>65.900000000000006</v>
      </c>
      <c r="N131" s="32">
        <f t="shared" ref="N131:N134" si="69">IF(ISNUMBER(M131), (M131 - $B131) / $B131, "")</f>
        <v>-2.5147928994082674E-2</v>
      </c>
      <c r="O131" s="18">
        <f>IF(ISNUMBER(M131), $B145 * N131, "")</f>
        <v>-2514.7928994082672</v>
      </c>
      <c r="Q131" s="218"/>
      <c r="R131" s="218"/>
      <c r="S131" s="218"/>
    </row>
    <row r="132" spans="1:19" ht="17.25" thickBot="1">
      <c r="A132" s="162" t="s">
        <v>228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>
        <v>10.4</v>
      </c>
      <c r="N132" s="32">
        <f t="shared" si="69"/>
        <v>-9.52380952380949E-3</v>
      </c>
      <c r="O132" s="18">
        <f>IF(ISNUMBER(M132), $B145 * N132, "")</f>
        <v>-952.380952380949</v>
      </c>
      <c r="Q132" s="218"/>
      <c r="R132" s="218"/>
      <c r="S132" s="218"/>
    </row>
    <row r="133" spans="1:19" ht="17.25" thickBot="1">
      <c r="A133" s="162" t="s">
        <v>236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>
        <v>51.5</v>
      </c>
      <c r="N133" s="32">
        <f t="shared" si="69"/>
        <v>-5.7915057915057366E-3</v>
      </c>
      <c r="O133" s="18">
        <f>IF(ISNUMBER(M133), $B145 * N133, "")</f>
        <v>-579.15057915057366</v>
      </c>
      <c r="Q133" s="33"/>
      <c r="R133" s="33"/>
    </row>
    <row r="134" spans="1:19" ht="17.25" thickBot="1">
      <c r="A134" s="130" t="s">
        <v>266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>
        <v>57.2</v>
      </c>
      <c r="N134" s="25">
        <f t="shared" si="69"/>
        <v>-1.3793103448275813E-2</v>
      </c>
      <c r="O134" s="104">
        <f>IF(ISNUMBER(M134), $B145 * N134, "")</f>
        <v>-1379.3103448275813</v>
      </c>
      <c r="Q134" s="227"/>
      <c r="R134" s="228"/>
      <c r="S134" s="229"/>
    </row>
    <row r="135" spans="1:19">
      <c r="A135" s="161" t="s">
        <v>214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>
        <v>13.7</v>
      </c>
      <c r="N135" s="14">
        <f>IF(ISNUMBER(M135), (M135 - $B135) / $B135, "")</f>
        <v>-7.2463768115943053E-3</v>
      </c>
      <c r="O135" s="16">
        <f>IF(ISNUMBER(M135), $B145 * N135, "")</f>
        <v>-724.63768115943049</v>
      </c>
      <c r="Q135" s="230"/>
      <c r="R135" s="231"/>
      <c r="S135" s="232"/>
    </row>
    <row r="136" spans="1:19" ht="17.25" thickBot="1">
      <c r="A136" s="162" t="s">
        <v>268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>
        <v>52.1</v>
      </c>
      <c r="N136" s="32">
        <f t="shared" ref="N136:N139" si="73">IF(ISNUMBER(M136), (M136 - $B136) / $B136, "")</f>
        <v>-3.8240917782025956E-3</v>
      </c>
      <c r="O136" s="18">
        <f>IF(ISNUMBER(M136), $B145 * N136, "")</f>
        <v>-382.40917782025957</v>
      </c>
      <c r="Q136" s="233"/>
      <c r="R136" s="234"/>
      <c r="S136" s="235"/>
    </row>
    <row r="137" spans="1:19" ht="17.25" thickBot="1">
      <c r="A137" s="162" t="s">
        <v>172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>
        <v>15.2</v>
      </c>
      <c r="N137" s="32">
        <f t="shared" si="73"/>
        <v>2.0134228187919392E-2</v>
      </c>
      <c r="O137" s="18">
        <f>IF(ISNUMBER(M137), $B145 * N137, "")</f>
        <v>2013.4228187919393</v>
      </c>
      <c r="Q137" s="218"/>
      <c r="R137" s="218"/>
      <c r="S137" s="218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>
        <v>10.9</v>
      </c>
      <c r="N138" s="32">
        <f t="shared" si="73"/>
        <v>0</v>
      </c>
      <c r="O138" s="18">
        <f>IF(ISNUMBER(M138), $B145 * N138, "")</f>
        <v>0</v>
      </c>
      <c r="Q138" s="213"/>
      <c r="R138" s="213"/>
      <c r="S138" s="213"/>
    </row>
    <row r="139" spans="1:19" ht="17.25" thickBot="1">
      <c r="A139" s="163" t="s">
        <v>220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>
        <v>10.8</v>
      </c>
      <c r="N139" s="21">
        <f t="shared" si="73"/>
        <v>0</v>
      </c>
      <c r="O139" s="22">
        <f>IF(ISNUMBER(M139), $B145 * N139, "")</f>
        <v>0</v>
      </c>
      <c r="Q139" s="213"/>
      <c r="R139" s="213"/>
      <c r="S139" s="213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>
        <v>22</v>
      </c>
      <c r="N140" s="107">
        <f>IF(ISNUMBER(M140), (M140 - $B140) / $B140, "")</f>
        <v>8.9108910891089146E-2</v>
      </c>
      <c r="O140" s="108">
        <f>IF(ISNUMBER(M140), $B145 * N140, "")</f>
        <v>8910.8910891089145</v>
      </c>
      <c r="Q140" s="218"/>
      <c r="R140" s="218"/>
      <c r="S140" s="218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>
        <v>36.6</v>
      </c>
      <c r="N141" s="32">
        <f t="shared" ref="N141:N144" si="77">IF(ISNUMBER(M141), (M141 - $B141) / $B141, "")</f>
        <v>-3.4300791556728161E-2</v>
      </c>
      <c r="O141" s="18">
        <f>IF(ISNUMBER(M141), $B145 * N141, "")</f>
        <v>-3430.0791556728159</v>
      </c>
      <c r="Q141" s="218"/>
      <c r="R141" s="218"/>
      <c r="S141" s="218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>
        <v>27.7</v>
      </c>
      <c r="N142" s="32">
        <f t="shared" si="77"/>
        <v>-3.8194444444444496E-2</v>
      </c>
      <c r="O142" s="18">
        <f>IF(ISNUMBER(M142), $B145 * N142, "")</f>
        <v>-3819.4444444444498</v>
      </c>
      <c r="Q142" s="218"/>
      <c r="R142" s="218"/>
      <c r="S142" s="218"/>
    </row>
    <row r="143" spans="1:19">
      <c r="A143" s="162" t="s">
        <v>264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>
        <v>85.7</v>
      </c>
      <c r="N143" s="32">
        <f t="shared" si="77"/>
        <v>-2.5028441410694002E-2</v>
      </c>
      <c r="O143" s="18">
        <f>IF(ISNUMBER(M143), $B145 * N143, "")</f>
        <v>-2502.8441410693999</v>
      </c>
      <c r="Q143" s="240"/>
      <c r="R143" s="241"/>
      <c r="S143" s="242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>
        <v>20.6</v>
      </c>
      <c r="N144" s="25">
        <f t="shared" si="77"/>
        <v>-2.3696682464454975E-2</v>
      </c>
      <c r="O144" s="104">
        <f>IF(ISNUMBER(M144), $B145 * N144, "")</f>
        <v>-2369.6682464454975</v>
      </c>
      <c r="Q144" s="243"/>
      <c r="R144" s="244"/>
      <c r="S144" s="245"/>
    </row>
    <row r="145" spans="1:19" ht="17.25" thickBot="1">
      <c r="A145" s="132" t="s">
        <v>300</v>
      </c>
      <c r="B145" s="251">
        <f>$B$37</f>
        <v>100000</v>
      </c>
      <c r="C145" s="252"/>
      <c r="D145" s="26" t="s">
        <v>301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301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301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301</v>
      </c>
      <c r="N145" s="27">
        <f>IF(COUNT(N125:N144), SUM(N125:N144) / COUNT(N125:N144), 0)</f>
        <v>-4.2071946417932358E-3</v>
      </c>
      <c r="O145" s="28">
        <f>SUM(O125:O144)</f>
        <v>-8414.3892835864699</v>
      </c>
      <c r="Q145" s="246"/>
      <c r="R145" s="247"/>
      <c r="S145" s="248"/>
    </row>
    <row r="147" spans="1:19" ht="17.25" thickBot="1"/>
    <row r="148" spans="1:19" ht="17.25" thickBot="1">
      <c r="A148" s="192" t="s">
        <v>289</v>
      </c>
      <c r="B148" s="193"/>
      <c r="C148" s="193"/>
      <c r="D148" s="193"/>
      <c r="E148" s="193"/>
      <c r="F148" s="193"/>
      <c r="G148" s="193"/>
      <c r="H148" s="193"/>
      <c r="I148" s="193"/>
      <c r="J148" s="193"/>
      <c r="K148" s="193"/>
      <c r="L148" s="193"/>
      <c r="M148" s="193"/>
      <c r="N148" s="193"/>
      <c r="O148" s="194"/>
      <c r="Q148" s="213"/>
      <c r="R148" s="213"/>
      <c r="S148" s="213"/>
    </row>
    <row r="149" spans="1:19" ht="17.25" thickBot="1">
      <c r="A149" s="176" t="s">
        <v>297</v>
      </c>
      <c r="B149" s="192" t="s">
        <v>49</v>
      </c>
      <c r="C149" s="194"/>
      <c r="D149" s="192" t="s">
        <v>58</v>
      </c>
      <c r="E149" s="193"/>
      <c r="F149" s="194"/>
      <c r="G149" s="219">
        <f>_xlfn.IFNA(VLOOKUP(B149, 현재가테이블!$B$2:$D$200, 2, FALSE), "-")</f>
        <v>38300000</v>
      </c>
      <c r="H149" s="220"/>
      <c r="I149" s="221"/>
      <c r="J149" s="192" t="s">
        <v>59</v>
      </c>
      <c r="K149" s="193"/>
      <c r="L149" s="194"/>
      <c r="M149" s="222">
        <f>_xlfn.IFNA(VLOOKUP(B149, 현재가테이블!$B$2:$D$200, 3, FALSE), "-")</f>
        <v>-1.9557649E-2</v>
      </c>
      <c r="N149" s="223"/>
      <c r="O149" s="224"/>
      <c r="Q149" s="213"/>
      <c r="R149" s="213"/>
      <c r="S149" s="213"/>
    </row>
    <row r="150" spans="1:19" ht="17.25" thickBot="1">
      <c r="A150" s="253" t="s">
        <v>55</v>
      </c>
      <c r="B150" s="255" t="str">
        <f>TEXT($G$1, "[$-ko-KR]yyyy-mm-dd(ddd) ") &amp; "오전 00:00"</f>
        <v>2021-06-05(토) 오전 00:00</v>
      </c>
      <c r="C150" s="256"/>
      <c r="D150" s="215" t="str">
        <f>TEXT($G$1, "[$-ko-KR]yyyy-mm-dd(ddd) ") &amp; "오후 14:00"</f>
        <v>2021-06-05(토) 오후 14:00</v>
      </c>
      <c r="E150" s="216"/>
      <c r="F150" s="217"/>
      <c r="G150" s="215" t="str">
        <f>TEXT($G$1, "[$-ko-KR]yyyy-mm-dd(ddd) ") &amp; "오후 19:00"</f>
        <v>2021-06-05(토) 오후 19:00</v>
      </c>
      <c r="H150" s="216"/>
      <c r="I150" s="217"/>
      <c r="J150" s="215" t="str">
        <f>TEXT($G$1, "[$-ko-KR]yyyy-mm-dd(ddd) ") &amp; "오후 21:00"</f>
        <v>2021-06-05(토) 오후 21:00</v>
      </c>
      <c r="K150" s="216"/>
      <c r="L150" s="217"/>
      <c r="M150" s="215" t="str">
        <f>TEXT($G$1+1, "[$-ko-KR]yyyy-mm-dd(ddd) ") &amp; "오전 00:00"</f>
        <v>2021-06-06(일) 오전 00:00</v>
      </c>
      <c r="N150" s="216"/>
      <c r="O150" s="217"/>
      <c r="Q150" s="213"/>
      <c r="R150" s="213"/>
      <c r="S150" s="213"/>
    </row>
    <row r="151" spans="1:19" ht="17.25" thickBot="1">
      <c r="A151" s="25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7" t="s">
        <v>58</v>
      </c>
      <c r="H151" s="178" t="s">
        <v>298</v>
      </c>
      <c r="I151" s="17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8"/>
      <c r="R151" s="218"/>
      <c r="S151" s="218"/>
    </row>
    <row r="152" spans="1:19" ht="17.25" thickBot="1">
      <c r="A152" s="161" t="s">
        <v>296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>
        <v>440</v>
      </c>
      <c r="N152" s="14">
        <f>IF(ISNUMBER(M152), (M152 - $B152) / $B152, "")</f>
        <v>2.0881670533642691E-2</v>
      </c>
      <c r="O152" s="16">
        <f>IF(ISNUMBER(M152), $B172 * N152, "")</f>
        <v>2088.1670533642691</v>
      </c>
      <c r="Q152" s="213"/>
      <c r="R152" s="213"/>
      <c r="S152" s="213"/>
    </row>
    <row r="153" spans="1:19" ht="17.25" thickBot="1">
      <c r="A153" s="162" t="s">
        <v>182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>
        <v>289</v>
      </c>
      <c r="N153" s="32">
        <f t="shared" ref="N153:N156" si="81">IF(ISNUMBER(M153), (M153 - $B153) / $B153, "")</f>
        <v>-2.0338983050847456E-2</v>
      </c>
      <c r="O153" s="18">
        <f>IF(ISNUMBER(M153), $B172 * N153, "")</f>
        <v>-2033.8983050847455</v>
      </c>
      <c r="Q153" s="213"/>
      <c r="R153" s="213"/>
      <c r="S153" s="213"/>
    </row>
    <row r="154" spans="1:19" ht="17.25" thickBot="1">
      <c r="A154" s="162" t="s">
        <v>238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>
        <v>183</v>
      </c>
      <c r="N154" s="32">
        <f t="shared" si="81"/>
        <v>0</v>
      </c>
      <c r="O154" s="18">
        <f>IF(ISNUMBER(M154), $B172 * N154, "")</f>
        <v>0</v>
      </c>
      <c r="Q154" s="218"/>
      <c r="R154" s="218"/>
      <c r="S154" s="218"/>
    </row>
    <row r="155" spans="1:19" ht="17.25" thickBot="1">
      <c r="A155" s="162" t="s">
        <v>250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>
        <v>117</v>
      </c>
      <c r="N155" s="32">
        <f t="shared" si="81"/>
        <v>-3.3057851239669422E-2</v>
      </c>
      <c r="O155" s="18">
        <f>IF(ISNUMBER(M155), $B172 * N155, "")</f>
        <v>-3305.7851239669421</v>
      </c>
      <c r="Q155" s="218"/>
      <c r="R155" s="218"/>
      <c r="S155" s="218"/>
    </row>
    <row r="156" spans="1:19" ht="17.25" thickBot="1">
      <c r="A156" s="163" t="s">
        <v>216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>
        <v>275</v>
      </c>
      <c r="N156" s="21">
        <f t="shared" si="81"/>
        <v>-1.0791366906474821E-2</v>
      </c>
      <c r="O156" s="22">
        <f>IF(ISNUMBER(M156), $B172 * N156, "")</f>
        <v>-1079.1366906474821</v>
      </c>
      <c r="Q156" s="218"/>
      <c r="R156" s="218"/>
      <c r="S156" s="218"/>
    </row>
    <row r="157" spans="1:19" ht="17.25" thickBot="1">
      <c r="A157" s="162" t="s">
        <v>234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>
        <v>819</v>
      </c>
      <c r="N157" s="107">
        <f>IF(ISNUMBER(M157), (M157 - $B157) / $B157, "")</f>
        <v>-7.2727272727272727E-3</v>
      </c>
      <c r="O157" s="108">
        <f>IF(ISNUMBER(M157), $B172 * N157, "")</f>
        <v>-727.27272727272725</v>
      </c>
      <c r="Q157" s="218"/>
      <c r="R157" s="218"/>
      <c r="S157" s="218"/>
    </row>
    <row r="158" spans="1:19" ht="17.25" thickBot="1">
      <c r="A158" s="162" t="s">
        <v>284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>
        <v>252</v>
      </c>
      <c r="N158" s="32">
        <f t="shared" ref="N158:N161" si="85">IF(ISNUMBER(M158), (M158 - $B158) / $B158, "")</f>
        <v>-1.9455252918287938E-2</v>
      </c>
      <c r="O158" s="18">
        <f>IF(ISNUMBER(M158), $B172 * N158, "")</f>
        <v>-1945.5252918287938</v>
      </c>
      <c r="Q158" s="218"/>
      <c r="R158" s="218"/>
      <c r="S158" s="218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>
        <v>307</v>
      </c>
      <c r="N159" s="32">
        <f t="shared" si="85"/>
        <v>-2.5396825396825397E-2</v>
      </c>
      <c r="O159" s="18">
        <f>IF(ISNUMBER(M159), $B172 * N159, "")</f>
        <v>-2539.6825396825398</v>
      </c>
      <c r="Q159" s="218"/>
      <c r="R159" s="218"/>
      <c r="S159" s="218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>
        <v>213</v>
      </c>
      <c r="N160" s="32">
        <f t="shared" si="85"/>
        <v>-3.1818181818181815E-2</v>
      </c>
      <c r="O160" s="18">
        <f>IF(ISNUMBER(M160), $B172 * N160, "")</f>
        <v>-3181.8181818181815</v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>
        <v>958</v>
      </c>
      <c r="N161" s="25">
        <f t="shared" si="85"/>
        <v>1.0548523206751054E-2</v>
      </c>
      <c r="O161" s="104">
        <f>IF(ISNUMBER(M161), $B172 * N161, "")</f>
        <v>1054.8523206751054</v>
      </c>
      <c r="Q161" s="227"/>
      <c r="R161" s="228"/>
      <c r="S161" s="229"/>
    </row>
    <row r="162" spans="1:19">
      <c r="A162" s="161" t="s">
        <v>232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>
        <v>115</v>
      </c>
      <c r="N162" s="14">
        <f>IF(ISNUMBER(M162), (M162 - $B162) / $B162, "")</f>
        <v>0</v>
      </c>
      <c r="O162" s="16">
        <f>IF(ISNUMBER(M162), $B172 * N162, "")</f>
        <v>0</v>
      </c>
      <c r="Q162" s="230"/>
      <c r="R162" s="231"/>
      <c r="S162" s="232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>
        <v>445</v>
      </c>
      <c r="N163" s="32">
        <f t="shared" ref="N163:N166" si="89">IF(ISNUMBER(M163), (M163 - $B163) / $B163, "")</f>
        <v>-1.7660044150110375E-2</v>
      </c>
      <c r="O163" s="18">
        <f>IF(ISNUMBER(M163), $B172 * N163, "")</f>
        <v>-1766.0044150110375</v>
      </c>
      <c r="Q163" s="233"/>
      <c r="R163" s="234"/>
      <c r="S163" s="235"/>
    </row>
    <row r="164" spans="1:19" ht="17.25" thickBot="1">
      <c r="A164" s="162" t="s">
        <v>168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>
        <v>106</v>
      </c>
      <c r="N164" s="32">
        <f t="shared" si="89"/>
        <v>-3.6363636363636362E-2</v>
      </c>
      <c r="O164" s="18">
        <f>IF(ISNUMBER(M164), $B172 * N164, "")</f>
        <v>-3636.363636363636</v>
      </c>
      <c r="Q164" s="218"/>
      <c r="R164" s="218"/>
      <c r="S164" s="218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>
        <v>262</v>
      </c>
      <c r="N165" s="32">
        <f t="shared" si="89"/>
        <v>-4.0293040293040296E-2</v>
      </c>
      <c r="O165" s="18">
        <f>IF(ISNUMBER(M165), $B172 * N165, "")</f>
        <v>-4029.3040293040294</v>
      </c>
      <c r="Q165" s="213"/>
      <c r="R165" s="213"/>
      <c r="S165" s="213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>
        <v>369</v>
      </c>
      <c r="N166" s="21">
        <f t="shared" si="89"/>
        <v>-2.3809523809523808E-2</v>
      </c>
      <c r="O166" s="22">
        <f>IF(ISNUMBER(M166), $B172 * N166, "")</f>
        <v>-2380.9523809523807</v>
      </c>
      <c r="Q166" s="213"/>
      <c r="R166" s="213"/>
      <c r="S166" s="213"/>
    </row>
    <row r="167" spans="1:19" ht="17.25" thickBot="1">
      <c r="A167" s="162" t="s">
        <v>262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>
        <v>620</v>
      </c>
      <c r="N167" s="107">
        <f>IF(ISNUMBER(M167), (M167 - $B167) / $B167, "")</f>
        <v>-6.41025641025641E-3</v>
      </c>
      <c r="O167" s="108">
        <f>IF(ISNUMBER(M167), $B172 * N167, "")</f>
        <v>-641.02564102564099</v>
      </c>
      <c r="Q167" s="218"/>
      <c r="R167" s="218"/>
      <c r="S167" s="218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>
        <v>372</v>
      </c>
      <c r="N168" s="32">
        <f t="shared" ref="N168:N171" si="93">IF(ISNUMBER(M168), (M168 - $B168) / $B168, "")</f>
        <v>-3.125E-2</v>
      </c>
      <c r="O168" s="18">
        <f>IF(ISNUMBER(M168), $B172 * N168, "")</f>
        <v>-3125</v>
      </c>
      <c r="Q168" s="218"/>
      <c r="R168" s="218"/>
      <c r="S168" s="218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>
        <v>143</v>
      </c>
      <c r="N169" s="32">
        <f t="shared" si="93"/>
        <v>-3.3783783783783786E-2</v>
      </c>
      <c r="O169" s="18">
        <f>IF(ISNUMBER(M169), $B172 * N169, "")</f>
        <v>-3378.3783783783788</v>
      </c>
      <c r="Q169" s="218"/>
      <c r="R169" s="218"/>
      <c r="S169" s="218"/>
    </row>
    <row r="170" spans="1:19">
      <c r="A170" s="162" t="s">
        <v>208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>
        <v>311</v>
      </c>
      <c r="N170" s="32">
        <f t="shared" si="93"/>
        <v>-1.8927444794952682E-2</v>
      </c>
      <c r="O170" s="18">
        <f>IF(ISNUMBER(M170), $B172 * N170, "")</f>
        <v>-1892.7444794952683</v>
      </c>
      <c r="Q170" s="240"/>
      <c r="R170" s="241"/>
      <c r="S170" s="242"/>
    </row>
    <row r="171" spans="1:19" ht="17.25" thickBot="1">
      <c r="A171" s="130" t="s">
        <v>210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>
        <v>126</v>
      </c>
      <c r="N171" s="25">
        <f t="shared" si="93"/>
        <v>-1.5625E-2</v>
      </c>
      <c r="O171" s="104">
        <f>IF(ISNUMBER(M171), $B172 * N171, "")</f>
        <v>-1562.5</v>
      </c>
      <c r="Q171" s="243"/>
      <c r="R171" s="244"/>
      <c r="S171" s="245"/>
    </row>
    <row r="172" spans="1:19" ht="17.25" thickBot="1">
      <c r="A172" s="132" t="s">
        <v>300</v>
      </c>
      <c r="B172" s="251">
        <f>$B$37</f>
        <v>100000</v>
      </c>
      <c r="C172" s="252"/>
      <c r="D172" s="26" t="s">
        <v>301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301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301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301</v>
      </c>
      <c r="N172" s="27">
        <f>IF(COUNT(N152:N171), SUM(N152:N171) / COUNT(N152:N171), 0)</f>
        <v>-1.7041186223396204E-2</v>
      </c>
      <c r="O172" s="28">
        <f>SUM(O152:O171)</f>
        <v>-34082.372446792404</v>
      </c>
      <c r="Q172" s="246"/>
      <c r="R172" s="247"/>
      <c r="S172" s="248"/>
    </row>
    <row r="174" spans="1:19" ht="17.25" thickBot="1"/>
    <row r="175" spans="1:19" ht="17.25" thickBot="1">
      <c r="A175" s="192" t="s">
        <v>285</v>
      </c>
      <c r="B175" s="193"/>
      <c r="C175" s="193"/>
      <c r="D175" s="193"/>
      <c r="E175" s="193"/>
      <c r="F175" s="193"/>
      <c r="G175" s="193"/>
      <c r="H175" s="193"/>
      <c r="I175" s="193"/>
      <c r="J175" s="193"/>
      <c r="K175" s="193"/>
      <c r="L175" s="193"/>
      <c r="M175" s="193"/>
      <c r="N175" s="193"/>
      <c r="O175" s="194"/>
      <c r="Q175" s="213"/>
      <c r="R175" s="213"/>
      <c r="S175" s="213"/>
    </row>
    <row r="176" spans="1:19" ht="17.25" thickBot="1">
      <c r="A176" s="176" t="s">
        <v>297</v>
      </c>
      <c r="B176" s="192" t="s">
        <v>49</v>
      </c>
      <c r="C176" s="194"/>
      <c r="D176" s="192" t="s">
        <v>58</v>
      </c>
      <c r="E176" s="193"/>
      <c r="F176" s="194"/>
      <c r="G176" s="219">
        <f>_xlfn.IFNA(VLOOKUP(B176, 현재가테이블!$B$2:$D$200, 2, FALSE), "-")</f>
        <v>38300000</v>
      </c>
      <c r="H176" s="220"/>
      <c r="I176" s="221"/>
      <c r="J176" s="192" t="s">
        <v>59</v>
      </c>
      <c r="K176" s="193"/>
      <c r="L176" s="194"/>
      <c r="M176" s="222">
        <f>_xlfn.IFNA(VLOOKUP(B176, 현재가테이블!$B$2:$D$200, 3, FALSE), "-")</f>
        <v>-1.9557649E-2</v>
      </c>
      <c r="N176" s="223"/>
      <c r="O176" s="224"/>
      <c r="Q176" s="213"/>
      <c r="R176" s="213"/>
      <c r="S176" s="213"/>
    </row>
    <row r="177" spans="1:19" ht="17.25" thickBot="1">
      <c r="A177" s="253" t="s">
        <v>55</v>
      </c>
      <c r="B177" s="255" t="str">
        <f>TEXT($G$1, "[$-ko-KR]yyyy-mm-dd(ddd) ") &amp; "오전 00:00"</f>
        <v>2021-06-05(토) 오전 00:00</v>
      </c>
      <c r="C177" s="256"/>
      <c r="D177" s="215" t="str">
        <f>TEXT($G$1, "[$-ko-KR]yyyy-mm-dd(ddd) ") &amp; "오후 14:00"</f>
        <v>2021-06-05(토) 오후 14:00</v>
      </c>
      <c r="E177" s="216"/>
      <c r="F177" s="217"/>
      <c r="G177" s="215" t="str">
        <f>TEXT($G$1, "[$-ko-KR]yyyy-mm-dd(ddd) ") &amp; "오후 19:00"</f>
        <v>2021-06-05(토) 오후 19:00</v>
      </c>
      <c r="H177" s="216"/>
      <c r="I177" s="217"/>
      <c r="J177" s="215" t="str">
        <f>TEXT($G$1, "[$-ko-KR]yyyy-mm-dd(ddd) ") &amp; "오후 21:00"</f>
        <v>2021-06-05(토) 오후 21:00</v>
      </c>
      <c r="K177" s="216"/>
      <c r="L177" s="217"/>
      <c r="M177" s="215" t="str">
        <f>TEXT($G$1+1, "[$-ko-KR]yyyy-mm-dd(ddd) ") &amp; "오전 00:00"</f>
        <v>2021-06-06(일) 오전 00:00</v>
      </c>
      <c r="N177" s="216"/>
      <c r="O177" s="217"/>
      <c r="Q177" s="213"/>
      <c r="R177" s="213"/>
      <c r="S177" s="213"/>
    </row>
    <row r="178" spans="1:19" ht="17.25" thickBot="1">
      <c r="A178" s="25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7" t="s">
        <v>58</v>
      </c>
      <c r="H178" s="178" t="s">
        <v>298</v>
      </c>
      <c r="I178" s="17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8"/>
      <c r="R178" s="218"/>
      <c r="S178" s="218"/>
    </row>
    <row r="179" spans="1:19" ht="17.25" thickBot="1">
      <c r="A179" s="161" t="s">
        <v>264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>
        <v>85.7</v>
      </c>
      <c r="N179" s="14">
        <f>IF(ISNUMBER(M179), (M179 - $B179) / $B179, "")</f>
        <v>-2.5028441410694002E-2</v>
      </c>
      <c r="O179" s="16">
        <f>IF(ISNUMBER(M179), $B199 * N179, "")</f>
        <v>-2502.8441410693999</v>
      </c>
      <c r="Q179" s="213"/>
      <c r="R179" s="213"/>
      <c r="S179" s="213"/>
    </row>
    <row r="180" spans="1:19" ht="17.25" thickBot="1">
      <c r="A180" s="162" t="s">
        <v>168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>
        <v>106</v>
      </c>
      <c r="N180" s="32">
        <f t="shared" ref="N180:N183" si="97">IF(ISNUMBER(M180), (M180 - $B180) / $B180, "")</f>
        <v>-3.6363636363636362E-2</v>
      </c>
      <c r="O180" s="18">
        <f>IF(ISNUMBER(M180), $B199 * N180, "")</f>
        <v>-3636.363636363636</v>
      </c>
      <c r="Q180" s="213"/>
      <c r="R180" s="213"/>
      <c r="S180" s="213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>
        <v>262</v>
      </c>
      <c r="N181" s="32">
        <f t="shared" si="97"/>
        <v>-4.0293040293040296E-2</v>
      </c>
      <c r="O181" s="18">
        <f>IF(ISNUMBER(M181), $B199 * N181, "")</f>
        <v>-4029.3040293040294</v>
      </c>
      <c r="Q181" s="218"/>
      <c r="R181" s="218"/>
      <c r="S181" s="218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>
        <v>369</v>
      </c>
      <c r="N182" s="32">
        <f t="shared" si="97"/>
        <v>-2.3809523809523808E-2</v>
      </c>
      <c r="O182" s="18">
        <f>IF(ISNUMBER(M182), $B199 * N182, "")</f>
        <v>-2380.9523809523807</v>
      </c>
      <c r="Q182" s="218"/>
      <c r="R182" s="218"/>
      <c r="S182" s="218"/>
    </row>
    <row r="183" spans="1:19" ht="17.25" thickBot="1">
      <c r="A183" s="163" t="s">
        <v>262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>
        <v>620</v>
      </c>
      <c r="N183" s="21">
        <f t="shared" si="97"/>
        <v>-6.41025641025641E-3</v>
      </c>
      <c r="O183" s="22">
        <f>IF(ISNUMBER(M183), $B199 * N183, "")</f>
        <v>-641.02564102564099</v>
      </c>
      <c r="Q183" s="218"/>
      <c r="R183" s="218"/>
      <c r="S183" s="218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>
        <v>372</v>
      </c>
      <c r="N184" s="107">
        <f>IF(ISNUMBER(M184), (M184 - $B184) / $B184, "")</f>
        <v>-3.125E-2</v>
      </c>
      <c r="O184" s="108">
        <f>IF(ISNUMBER(M184), $B199 * N184, "")</f>
        <v>-3125</v>
      </c>
      <c r="Q184" s="218"/>
      <c r="R184" s="218"/>
      <c r="S184" s="218"/>
    </row>
    <row r="185" spans="1:19" ht="17.25" thickBot="1">
      <c r="A185" s="162" t="s">
        <v>274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>
        <v>9130</v>
      </c>
      <c r="N185" s="32">
        <f t="shared" ref="N185:N188" si="101">IF(ISNUMBER(M185), (M185 - $B185) / $B185, "")</f>
        <v>-4.3620501635768813E-3</v>
      </c>
      <c r="O185" s="18">
        <f>IF(ISNUMBER(M185), $B199 * N185, "")</f>
        <v>-436.20501635768812</v>
      </c>
      <c r="Q185" s="218"/>
      <c r="R185" s="218"/>
      <c r="S185" s="218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>
        <v>143</v>
      </c>
      <c r="N186" s="32">
        <f t="shared" si="101"/>
        <v>-3.3783783783783786E-2</v>
      </c>
      <c r="O186" s="18">
        <f>IF(ISNUMBER(M186), $B199 * N186, "")</f>
        <v>-3378.3783783783788</v>
      </c>
      <c r="Q186" s="218"/>
      <c r="R186" s="218"/>
      <c r="S186" s="218"/>
    </row>
    <row r="187" spans="1:19" ht="17.25" thickBot="1">
      <c r="A187" s="162" t="s">
        <v>208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>
        <v>311</v>
      </c>
      <c r="N187" s="32">
        <f t="shared" si="101"/>
        <v>-1.8927444794952682E-2</v>
      </c>
      <c r="O187" s="18">
        <f>IF(ISNUMBER(M187), $B199 * N187, "")</f>
        <v>-1892.7444794952683</v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>
        <v>20.6</v>
      </c>
      <c r="N188" s="25">
        <f t="shared" si="101"/>
        <v>-2.3696682464454975E-2</v>
      </c>
      <c r="O188" s="104">
        <f>IF(ISNUMBER(M188), $B199 * N188, "")</f>
        <v>-2369.6682464454975</v>
      </c>
      <c r="Q188" s="227"/>
      <c r="R188" s="228"/>
      <c r="S188" s="229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>
        <v>10490</v>
      </c>
      <c r="N189" s="14">
        <f>IF(ISNUMBER(M189), (M189 - $B189) / $B189, "")</f>
        <v>-1.6869728209934397E-2</v>
      </c>
      <c r="O189" s="16">
        <f>IF(ISNUMBER(M189), $B199 * N189, "")</f>
        <v>-1686.9728209934397</v>
      </c>
      <c r="Q189" s="230"/>
      <c r="R189" s="231"/>
      <c r="S189" s="232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>
        <v>31910</v>
      </c>
      <c r="N190" s="32">
        <f t="shared" ref="N190:N193" si="105">IF(ISNUMBER(M190), (M190 - $B190) / $B190, "")</f>
        <v>-5.9811431938715381E-2</v>
      </c>
      <c r="O190" s="18">
        <f>IF(ISNUMBER(M190), $B199 * N190, "")</f>
        <v>-5981.1431938715377</v>
      </c>
      <c r="Q190" s="233"/>
      <c r="R190" s="234"/>
      <c r="S190" s="235"/>
    </row>
    <row r="191" spans="1:19" ht="17.25" thickBot="1">
      <c r="A191" s="162" t="s">
        <v>248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>
        <v>1750</v>
      </c>
      <c r="N191" s="32">
        <f t="shared" si="105"/>
        <v>-3.3149171270718231E-2</v>
      </c>
      <c r="O191" s="18">
        <f>IF(ISNUMBER(M191), $B199 * N191, "")</f>
        <v>-3314.917127071823</v>
      </c>
      <c r="Q191" s="218"/>
      <c r="R191" s="218"/>
      <c r="S191" s="218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>
        <v>2380</v>
      </c>
      <c r="N192" s="32">
        <f t="shared" si="105"/>
        <v>-2.8571428571428571E-2</v>
      </c>
      <c r="O192" s="18">
        <f>IF(ISNUMBER(M192), $B199 * N192, "")</f>
        <v>-2857.1428571428569</v>
      </c>
      <c r="Q192" s="213"/>
      <c r="R192" s="213"/>
      <c r="S192" s="213"/>
    </row>
    <row r="193" spans="1:19" ht="17.25" thickBot="1">
      <c r="A193" s="163" t="s">
        <v>164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>
        <v>16650</v>
      </c>
      <c r="N193" s="21">
        <f t="shared" si="105"/>
        <v>3.2238065716057036E-2</v>
      </c>
      <c r="O193" s="22">
        <f>IF(ISNUMBER(M193), $B199 * N193, "")</f>
        <v>3223.8065716057035</v>
      </c>
      <c r="Q193" s="213"/>
      <c r="R193" s="213"/>
      <c r="S193" s="213"/>
    </row>
    <row r="194" spans="1:19" ht="17.25" thickBot="1">
      <c r="A194" s="162" t="s">
        <v>210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>
        <v>126</v>
      </c>
      <c r="N194" s="107">
        <f>IF(ISNUMBER(M194), (M194 - $B194) / $B194, "")</f>
        <v>-1.5625E-2</v>
      </c>
      <c r="O194" s="108">
        <f>IF(ISNUMBER(M194), $B199 * N194, "")</f>
        <v>-1562.5</v>
      </c>
      <c r="Q194" s="218"/>
      <c r="R194" s="218"/>
      <c r="S194" s="218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>
        <v>17790</v>
      </c>
      <c r="N195" s="32">
        <f t="shared" ref="N195:N198" si="109">IF(ISNUMBER(M195), (M195 - $B195) / $B195, "")</f>
        <v>1.657142857142857E-2</v>
      </c>
      <c r="O195" s="18">
        <f>IF(ISNUMBER(M195), $B199 * N195, "")</f>
        <v>1657.1428571428571</v>
      </c>
      <c r="Q195" s="218"/>
      <c r="R195" s="218"/>
      <c r="S195" s="218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>
        <v>5385</v>
      </c>
      <c r="N196" s="32">
        <f t="shared" si="109"/>
        <v>-2.9729729729729731E-2</v>
      </c>
      <c r="O196" s="18">
        <f>IF(ISNUMBER(M196), $B199 * N196, "")</f>
        <v>-2972.9729729729729</v>
      </c>
      <c r="Q196" s="218"/>
      <c r="R196" s="218"/>
      <c r="S196" s="218"/>
    </row>
    <row r="197" spans="1:19">
      <c r="A197" s="162" t="s">
        <v>192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>
        <v>1130</v>
      </c>
      <c r="N197" s="32">
        <f t="shared" si="109"/>
        <v>-2.1645021645021644E-2</v>
      </c>
      <c r="O197" s="18">
        <f>IF(ISNUMBER(M197), $B199 * N197, "")</f>
        <v>-2164.5021645021643</v>
      </c>
      <c r="Q197" s="240"/>
      <c r="R197" s="241"/>
      <c r="S197" s="242"/>
    </row>
    <row r="198" spans="1:19" ht="17.25" thickBot="1">
      <c r="A198" s="130" t="s">
        <v>242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>
        <v>3980</v>
      </c>
      <c r="N198" s="25">
        <f t="shared" si="109"/>
        <v>-4.441776710684274E-2</v>
      </c>
      <c r="O198" s="104">
        <f>IF(ISNUMBER(M198), $B199 * N198, "")</f>
        <v>-4441.7767106842739</v>
      </c>
      <c r="Q198" s="243"/>
      <c r="R198" s="244"/>
      <c r="S198" s="245"/>
    </row>
    <row r="199" spans="1:19" ht="17.25" thickBot="1">
      <c r="A199" s="132" t="s">
        <v>300</v>
      </c>
      <c r="B199" s="251">
        <f>$B$37</f>
        <v>100000</v>
      </c>
      <c r="C199" s="252"/>
      <c r="D199" s="26" t="s">
        <v>301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301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301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301</v>
      </c>
      <c r="N199" s="27">
        <f>IF(COUNT(N179:N198), SUM(N179:N198) / COUNT(N179:N198), 0)</f>
        <v>-2.2246732183941218E-2</v>
      </c>
      <c r="O199" s="28">
        <f>SUM(O179:O198)</f>
        <v>-44493.464367882429</v>
      </c>
      <c r="Q199" s="246"/>
      <c r="R199" s="247"/>
      <c r="S199" s="24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B13A-978B-49CD-96E3-9D86ABA1EC6E}">
  <sheetPr codeName="Sheet12"/>
  <dimension ref="A1:S199"/>
  <sheetViews>
    <sheetView topLeftCell="A90" zoomScaleNormal="100" workbookViewId="0">
      <selection activeCell="A100" sqref="A100:XFD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2" t="s">
        <v>0</v>
      </c>
      <c r="B1" s="193"/>
      <c r="C1" s="193"/>
      <c r="D1" s="193"/>
      <c r="E1" s="193"/>
      <c r="F1" s="194"/>
      <c r="G1" s="195">
        <v>44353</v>
      </c>
      <c r="H1" s="196"/>
      <c r="I1" s="197"/>
      <c r="J1" s="192" t="s">
        <v>1</v>
      </c>
      <c r="K1" s="193"/>
      <c r="L1" s="193"/>
      <c r="M1" s="193"/>
      <c r="N1" s="193"/>
      <c r="O1" s="194"/>
      <c r="Q1" s="192" t="s">
        <v>2</v>
      </c>
      <c r="R1" s="194"/>
    </row>
    <row r="2" spans="1:19" ht="17.25" customHeight="1">
      <c r="A2" s="117" t="s">
        <v>3</v>
      </c>
      <c r="B2" s="198" t="s">
        <v>8</v>
      </c>
      <c r="C2" s="199"/>
      <c r="D2" s="199"/>
      <c r="E2" s="199"/>
      <c r="F2" s="200"/>
      <c r="G2" s="201" t="s">
        <v>46</v>
      </c>
      <c r="H2" s="202"/>
      <c r="I2" s="203"/>
      <c r="J2" s="1" t="s">
        <v>3</v>
      </c>
      <c r="K2" s="198" t="s">
        <v>350</v>
      </c>
      <c r="L2" s="199"/>
      <c r="M2" s="199"/>
      <c r="N2" s="199"/>
      <c r="O2" s="200"/>
      <c r="Q2" s="2" t="s">
        <v>6</v>
      </c>
      <c r="R2" s="3">
        <v>0.375</v>
      </c>
    </row>
    <row r="3" spans="1:19" ht="17.25" customHeight="1" thickBot="1">
      <c r="A3" s="118" t="s">
        <v>7</v>
      </c>
      <c r="B3" s="204" t="s">
        <v>358</v>
      </c>
      <c r="C3" s="205"/>
      <c r="D3" s="205"/>
      <c r="E3" s="205"/>
      <c r="F3" s="206"/>
      <c r="G3" s="20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4,251 KRW (0.21%)</v>
      </c>
      <c r="H3" s="208"/>
      <c r="I3" s="209"/>
      <c r="J3" s="4" t="s">
        <v>7</v>
      </c>
      <c r="K3" s="204" t="s">
        <v>351</v>
      </c>
      <c r="L3" s="205"/>
      <c r="M3" s="205"/>
      <c r="N3" s="205"/>
      <c r="O3" s="2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4" t="s">
        <v>16</v>
      </c>
      <c r="C4" s="205"/>
      <c r="D4" s="205"/>
      <c r="E4" s="205"/>
      <c r="F4" s="206"/>
      <c r="G4" s="201" t="s">
        <v>44</v>
      </c>
      <c r="H4" s="202"/>
      <c r="I4" s="203"/>
      <c r="J4" s="4" t="s">
        <v>11</v>
      </c>
      <c r="K4" s="204" t="s">
        <v>352</v>
      </c>
      <c r="L4" s="205"/>
      <c r="M4" s="205"/>
      <c r="N4" s="205"/>
      <c r="O4" s="2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4" t="s">
        <v>349</v>
      </c>
      <c r="C5" s="205"/>
      <c r="D5" s="205"/>
      <c r="E5" s="205"/>
      <c r="F5" s="206"/>
      <c r="G5" s="20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63,335 KRW (3.17%)</v>
      </c>
      <c r="H5" s="208"/>
      <c r="I5" s="209"/>
      <c r="J5" s="4" t="s">
        <v>15</v>
      </c>
      <c r="K5" s="204" t="s">
        <v>353</v>
      </c>
      <c r="L5" s="205"/>
      <c r="M5" s="205"/>
      <c r="N5" s="205"/>
      <c r="O5" s="206"/>
    </row>
    <row r="6" spans="1:19">
      <c r="A6" s="118" t="s">
        <v>18</v>
      </c>
      <c r="B6" s="204"/>
      <c r="C6" s="205"/>
      <c r="D6" s="205"/>
      <c r="E6" s="205"/>
      <c r="F6" s="206"/>
      <c r="G6" s="201" t="s">
        <v>45</v>
      </c>
      <c r="H6" s="202"/>
      <c r="I6" s="203"/>
      <c r="J6" s="4" t="s">
        <v>18</v>
      </c>
      <c r="K6" s="204" t="s">
        <v>354</v>
      </c>
      <c r="L6" s="205"/>
      <c r="M6" s="205"/>
      <c r="N6" s="205"/>
      <c r="O6" s="206"/>
    </row>
    <row r="7" spans="1:19" ht="17.25" thickBot="1">
      <c r="A7" s="118" t="s">
        <v>21</v>
      </c>
      <c r="B7" s="204"/>
      <c r="C7" s="205"/>
      <c r="D7" s="205"/>
      <c r="E7" s="205"/>
      <c r="F7" s="206"/>
      <c r="G7" s="20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12,813 KRW (0.64%)</v>
      </c>
      <c r="H7" s="208"/>
      <c r="I7" s="209"/>
      <c r="J7" s="4" t="s">
        <v>21</v>
      </c>
      <c r="K7" s="204" t="s">
        <v>355</v>
      </c>
      <c r="L7" s="205"/>
      <c r="M7" s="205"/>
      <c r="N7" s="205"/>
      <c r="O7" s="206"/>
    </row>
    <row r="8" spans="1:19" ht="17.25" thickBot="1">
      <c r="A8" s="118" t="s">
        <v>24</v>
      </c>
      <c r="B8" s="204"/>
      <c r="C8" s="205"/>
      <c r="D8" s="205"/>
      <c r="E8" s="205"/>
      <c r="F8" s="206"/>
      <c r="G8" s="201" t="s">
        <v>285</v>
      </c>
      <c r="H8" s="202"/>
      <c r="I8" s="203"/>
      <c r="J8" s="4" t="s">
        <v>24</v>
      </c>
      <c r="K8" s="204"/>
      <c r="L8" s="205"/>
      <c r="M8" s="205"/>
      <c r="N8" s="205"/>
      <c r="O8" s="206"/>
      <c r="Q8" s="192" t="s">
        <v>27</v>
      </c>
      <c r="R8" s="194"/>
    </row>
    <row r="9" spans="1:19" ht="17.25" thickBot="1">
      <c r="A9" s="118" t="s">
        <v>28</v>
      </c>
      <c r="B9" s="204"/>
      <c r="C9" s="205"/>
      <c r="D9" s="205"/>
      <c r="E9" s="205"/>
      <c r="F9" s="206"/>
      <c r="G9" s="20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39,878 KRW (1.99%)</v>
      </c>
      <c r="H9" s="208"/>
      <c r="I9" s="209"/>
      <c r="J9" s="4" t="s">
        <v>28</v>
      </c>
      <c r="K9" s="204"/>
      <c r="L9" s="205"/>
      <c r="M9" s="205"/>
      <c r="N9" s="205"/>
      <c r="O9" s="206"/>
      <c r="Q9" s="2" t="s">
        <v>29</v>
      </c>
      <c r="R9" s="6">
        <v>10</v>
      </c>
    </row>
    <row r="10" spans="1:19">
      <c r="A10" s="118" t="s">
        <v>30</v>
      </c>
      <c r="B10" s="204"/>
      <c r="C10" s="205"/>
      <c r="D10" s="205"/>
      <c r="E10" s="205"/>
      <c r="F10" s="206"/>
      <c r="G10" s="201" t="s">
        <v>47</v>
      </c>
      <c r="H10" s="202"/>
      <c r="I10" s="203"/>
      <c r="J10" s="4" t="s">
        <v>30</v>
      </c>
      <c r="K10" s="204" t="s">
        <v>356</v>
      </c>
      <c r="L10" s="205"/>
      <c r="M10" s="205"/>
      <c r="N10" s="205"/>
      <c r="O10" s="206"/>
      <c r="Q10" s="2" t="s">
        <v>31</v>
      </c>
      <c r="R10" s="6">
        <v>100</v>
      </c>
    </row>
    <row r="11" spans="1:19" ht="17.25" thickBot="1">
      <c r="A11" s="119" t="s">
        <v>32</v>
      </c>
      <c r="B11" s="210" t="s">
        <v>357</v>
      </c>
      <c r="C11" s="211"/>
      <c r="D11" s="211"/>
      <c r="E11" s="211"/>
      <c r="F11" s="212"/>
      <c r="G11" s="20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7,219 KRW (1.44%)</v>
      </c>
      <c r="H11" s="208"/>
      <c r="I11" s="209"/>
      <c r="J11" s="7" t="s">
        <v>32</v>
      </c>
      <c r="K11" s="210" t="s">
        <v>348</v>
      </c>
      <c r="L11" s="211"/>
      <c r="M11" s="211"/>
      <c r="N11" s="211"/>
      <c r="O11" s="212"/>
      <c r="Q11" s="65" t="s">
        <v>33</v>
      </c>
      <c r="R11" s="8">
        <v>1000</v>
      </c>
    </row>
    <row r="12" spans="1:19" ht="17.25" thickBot="1"/>
    <row r="13" spans="1:19" ht="17.25" customHeight="1" thickBot="1">
      <c r="A13" s="192" t="s">
        <v>34</v>
      </c>
      <c r="B13" s="193"/>
      <c r="C13" s="193"/>
      <c r="D13" s="193"/>
      <c r="E13" s="193"/>
      <c r="F13" s="193"/>
      <c r="G13" s="193"/>
      <c r="H13" s="193"/>
      <c r="I13" s="193"/>
      <c r="J13" s="193"/>
      <c r="K13" s="193"/>
      <c r="L13" s="193"/>
      <c r="M13" s="193"/>
      <c r="N13" s="193"/>
      <c r="O13" s="194"/>
      <c r="Q13" s="213"/>
      <c r="R13" s="213"/>
      <c r="S13" s="213"/>
    </row>
    <row r="14" spans="1:19" ht="17.25" customHeight="1" thickBot="1">
      <c r="A14" s="180" t="s">
        <v>35</v>
      </c>
      <c r="B14" s="192" t="s">
        <v>36</v>
      </c>
      <c r="C14" s="194"/>
      <c r="D14" s="192" t="s">
        <v>37</v>
      </c>
      <c r="E14" s="193"/>
      <c r="F14" s="194"/>
      <c r="G14" s="219">
        <f>_xlfn.IFNA(VLOOKUP(B14, 현재가테이블!$B$2:$D$200, 2, FALSE), "-")</f>
        <v>38300000</v>
      </c>
      <c r="H14" s="220"/>
      <c r="I14" s="221"/>
      <c r="J14" s="192" t="s">
        <v>38</v>
      </c>
      <c r="K14" s="193"/>
      <c r="L14" s="194"/>
      <c r="M14" s="222">
        <f>_xlfn.IFNA(VLOOKUP(B14, 현재가테이블!$B$2:$D$200, 3, FALSE), "-")</f>
        <v>-1.9557649E-2</v>
      </c>
      <c r="N14" s="223"/>
      <c r="O14" s="224"/>
      <c r="Q14" s="213"/>
      <c r="R14" s="213"/>
      <c r="S14" s="213"/>
    </row>
    <row r="15" spans="1:19" ht="17.25" customHeight="1" thickBot="1">
      <c r="A15" s="257" t="s">
        <v>39</v>
      </c>
      <c r="B15" s="258" t="str">
        <f>TEXT($G$1, "[$-ko-KR]yyyy-mm-dd(ddd) ") &amp; "오전 00:00"</f>
        <v>2021-06-06(일) 오전 00:00</v>
      </c>
      <c r="C15" s="259"/>
      <c r="D15" s="215" t="str">
        <f>TEXT($G$1, "[$-ko-KR]yyyy-mm-dd(ddd) ") &amp; "오후 14:00"</f>
        <v>2021-06-06(일) 오후 14:00</v>
      </c>
      <c r="E15" s="216"/>
      <c r="F15" s="217"/>
      <c r="G15" s="215" t="str">
        <f>TEXT($G$1, "[$-ko-KR]yyyy-mm-dd(ddd) ") &amp; "오후 19:00"</f>
        <v>2021-06-06(일) 오후 19:00</v>
      </c>
      <c r="H15" s="216"/>
      <c r="I15" s="217"/>
      <c r="J15" s="215" t="str">
        <f>TEXT($G$1, "[$-ko-KR]yyyy-mm-dd(ddd) ") &amp; "오후 21:00"</f>
        <v>2021-06-06(일) 오후 21:00</v>
      </c>
      <c r="K15" s="216"/>
      <c r="L15" s="217"/>
      <c r="M15" s="215" t="str">
        <f>TEXT($G$1+1, "[$-ko-KR]yyyy-mm-dd(ddd) ") &amp; "오전 00:00"</f>
        <v>2021-06-07(월) 오전 00:00</v>
      </c>
      <c r="N15" s="216"/>
      <c r="O15" s="217"/>
      <c r="Q15" s="213"/>
      <c r="R15" s="213"/>
      <c r="S15" s="213"/>
    </row>
    <row r="16" spans="1:19" ht="17.25" customHeight="1" thickBot="1">
      <c r="A16" s="25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1" t="s">
        <v>37</v>
      </c>
      <c r="H16" s="182" t="s">
        <v>40</v>
      </c>
      <c r="I16" s="18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8"/>
      <c r="R16" s="218"/>
      <c r="S16" s="21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100</v>
      </c>
      <c r="C17" s="76">
        <f>IF(NOT(ISBLANK(_xlfn.IFNA(VLOOKUP($A17, $A$40:$O$199, 3, FALSE), ))), _xlfn.IFNA(VLOOKUP($A17, $A$40:$O$199, 3, FALSE), ), "")</f>
        <v>6.9518716600000002E-2</v>
      </c>
      <c r="D17" s="13">
        <f>IF(NOT(ISBLANK(_xlfn.IFNA(VLOOKUP($A17, $A$40:$O$199, 4, FALSE), ))), _xlfn.IFNA(VLOOKUP($A17, $A$40:$O$199, 4, FALSE), ), "")</f>
        <v>98.7</v>
      </c>
      <c r="E17" s="14">
        <f>IF(NOT(ISBLANK(_xlfn.IFNA(VLOOKUP($A17, $A$40:$O$199, 5, FALSE), ))), _xlfn.IFNA(VLOOKUP($A17, $A$40:$O$199, 5, FALSE), ), "")</f>
        <v>-1.2999999999999972E-2</v>
      </c>
      <c r="F17" s="16">
        <f>IF(NOT(ISBLANK(_xlfn.IFNA(VLOOKUP($A17, $A$40:$O$199, 6, FALSE), ))), _xlfn.IFNA(VLOOKUP($A17, $A$40:$O$199, 6, FALSE), ), "")</f>
        <v>-1299.9999999999973</v>
      </c>
      <c r="G17" s="29">
        <f>IF(NOT(ISBLANK(_xlfn.IFNA(VLOOKUP($A17, $A$40:$O$199, 7, FALSE), ))), _xlfn.IFNA(VLOOKUP($A17, $A$40:$O$199, 7, FALSE), ), "")</f>
        <v>100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99.7</v>
      </c>
      <c r="K17" s="14">
        <f>IF(NOT(ISBLANK(_xlfn.IFNA(VLOOKUP($A17, $A$40:$O$199, 11, FALSE), ))), _xlfn.IFNA(VLOOKUP($A17, $A$40:$O$199, 11, FALSE), ), "")</f>
        <v>-2.9999999999999714E-3</v>
      </c>
      <c r="L17" s="16">
        <f>IF(NOT(ISBLANK(_xlfn.IFNA(VLOOKUP($A17, $A$40:$O$199, 12, FALSE), ))), _xlfn.IFNA(VLOOKUP($A17, $A$40:$O$199, 12, FALSE), ), "")</f>
        <v>-299.99999999999716</v>
      </c>
      <c r="M17" s="29">
        <f>IF(NOT(ISBLANK(_xlfn.IFNA(VLOOKUP($A17, $A$40:$O$199, 13, FALSE), ))), _xlfn.IFNA(VLOOKUP($A17, $A$40:$O$199, 13, FALSE), ), "")</f>
        <v>101</v>
      </c>
      <c r="N17" s="14">
        <f>IF(NOT(ISBLANK(_xlfn.IFNA(VLOOKUP($A17, $A$40:$O$199, 14, FALSE), ))), _xlfn.IFNA(VLOOKUP($A17, $A$40:$O$199, 14, FALSE), ), "")</f>
        <v>0.01</v>
      </c>
      <c r="O17" s="16">
        <f>IF(NOT(ISBLANK(_xlfn.IFNA(VLOOKUP($A17, $A$40:$O$199, 15, FALSE), ))), _xlfn.IFNA(VLOOKUP($A17, $A$40:$O$199, 15, FALSE), ), "")</f>
        <v>1000</v>
      </c>
      <c r="Q17" s="213"/>
      <c r="R17" s="213"/>
      <c r="S17" s="213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79.099999999999994</v>
      </c>
      <c r="C18" s="77">
        <f t="shared" ref="C18:C36" si="1">IF(NOT(ISBLANK(_xlfn.IFNA(VLOOKUP($A18, $A$40:$O$199, 3, FALSE), ))), _xlfn.IFNA(VLOOKUP($A18, $A$40:$O$199, 3, FALSE), ), "")</f>
        <v>-4.5838359500000002E-2</v>
      </c>
      <c r="D18" s="15">
        <f t="shared" ref="D18:D36" si="2">IF(NOT(ISBLANK(_xlfn.IFNA(VLOOKUP($A18, $A$40:$O$199, 4, FALSE), ))), _xlfn.IFNA(VLOOKUP($A18, $A$40:$O$199, 4, FALSE), ), "")</f>
        <v>78.8</v>
      </c>
      <c r="E18" s="32">
        <f t="shared" ref="E18:E36" si="3">IF(NOT(ISBLANK(_xlfn.IFNA(VLOOKUP($A18, $A$40:$O$199, 5, FALSE), ))), _xlfn.IFNA(VLOOKUP($A18, $A$40:$O$199, 5, FALSE), ), "")</f>
        <v>-3.7926675094816331E-3</v>
      </c>
      <c r="F18" s="18">
        <f t="shared" ref="F18:F36" si="4">IF(NOT(ISBLANK(_xlfn.IFNA(VLOOKUP($A18, $A$40:$O$199, 6, FALSE), ))), _xlfn.IFNA(VLOOKUP($A18, $A$40:$O$199, 6, FALSE), ), "")</f>
        <v>-379.26675094816329</v>
      </c>
      <c r="G18" s="31">
        <f t="shared" ref="G18:G36" si="5">IF(NOT(ISBLANK(_xlfn.IFNA(VLOOKUP($A18, $A$40:$O$199, 7, FALSE), ))), _xlfn.IFNA(VLOOKUP($A18, $A$40:$O$199, 7, FALSE), ), "")</f>
        <v>79.599999999999994</v>
      </c>
      <c r="H18" s="32">
        <f t="shared" ref="H18:H36" si="6">IF(NOT(ISBLANK(_xlfn.IFNA(VLOOKUP($A18, $A$40:$O$199, 8, FALSE), ))), _xlfn.IFNA(VLOOKUP($A18, $A$40:$O$199, 8, FALSE), ), "")</f>
        <v>6.3211125158027818E-3</v>
      </c>
      <c r="I18" s="101">
        <f t="shared" ref="I18:I36" si="7">IF(NOT(ISBLANK(_xlfn.IFNA(VLOOKUP($A18, $A$40:$O$199, 9, FALSE), ))), _xlfn.IFNA(VLOOKUP($A18, $A$40:$O$199, 9, FALSE), ), "")</f>
        <v>632.11125158027824</v>
      </c>
      <c r="J18" s="15">
        <f t="shared" ref="J18:J36" si="8">IF(NOT(ISBLANK(_xlfn.IFNA(VLOOKUP($A18, $A$40:$O$199, 10, FALSE), ))), _xlfn.IFNA(VLOOKUP($A18, $A$40:$O$199, 10, FALSE), ), "")</f>
        <v>79.8</v>
      </c>
      <c r="K18" s="32">
        <f t="shared" ref="K18:K36" si="9">IF(NOT(ISBLANK(_xlfn.IFNA(VLOOKUP($A18, $A$40:$O$199, 11, FALSE), ))), _xlfn.IFNA(VLOOKUP($A18, $A$40:$O$199, 11, FALSE), ), "")</f>
        <v>8.8495575221239301E-3</v>
      </c>
      <c r="L18" s="18">
        <f t="shared" ref="L18:L36" si="10">IF(NOT(ISBLANK(_xlfn.IFNA(VLOOKUP($A18, $A$40:$O$199, 12, FALSE), ))), _xlfn.IFNA(VLOOKUP($A18, $A$40:$O$199, 12, FALSE), ), "")</f>
        <v>884.95575221239301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6.3211125158027818E-3</v>
      </c>
      <c r="O18" s="18">
        <f t="shared" ref="O18:O36" si="13">IF(NOT(ISBLANK(_xlfn.IFNA(VLOOKUP($A18, $A$40:$O$199, 15, FALSE), ))), _xlfn.IFNA(VLOOKUP($A18, $A$40:$O$199, 15, FALSE), ), "")</f>
        <v>632.11125158027824</v>
      </c>
      <c r="Q18" s="213"/>
      <c r="R18" s="213"/>
      <c r="S18" s="213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-2.3809523799999999E-2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129</v>
      </c>
      <c r="H19" s="32">
        <f t="shared" si="6"/>
        <v>4.878048780487805E-2</v>
      </c>
      <c r="I19" s="101">
        <f t="shared" si="7"/>
        <v>4878.0487804878048</v>
      </c>
      <c r="J19" s="15">
        <f t="shared" si="8"/>
        <v>130</v>
      </c>
      <c r="K19" s="32">
        <f t="shared" si="9"/>
        <v>5.6910569105691054E-2</v>
      </c>
      <c r="L19" s="18">
        <f t="shared" si="10"/>
        <v>5691.0569105691056</v>
      </c>
      <c r="M19" s="31">
        <f t="shared" si="11"/>
        <v>129</v>
      </c>
      <c r="N19" s="32">
        <f t="shared" si="12"/>
        <v>4.878048780487805E-2</v>
      </c>
      <c r="O19" s="18">
        <f t="shared" si="13"/>
        <v>4878.0487804878048</v>
      </c>
      <c r="Q19" s="218"/>
      <c r="R19" s="218"/>
      <c r="S19" s="218"/>
    </row>
    <row r="20" spans="1:19" ht="17.25" customHeight="1" thickBot="1">
      <c r="A20" s="162" t="s">
        <v>120</v>
      </c>
      <c r="B20" s="126">
        <f t="shared" si="0"/>
        <v>141</v>
      </c>
      <c r="C20" s="77">
        <f t="shared" si="1"/>
        <v>-1.3986014E-2</v>
      </c>
      <c r="D20" s="15">
        <f t="shared" si="2"/>
        <v>140</v>
      </c>
      <c r="E20" s="32">
        <f t="shared" si="3"/>
        <v>-7.0921985815602835E-3</v>
      </c>
      <c r="F20" s="18">
        <f t="shared" si="4"/>
        <v>-709.21985815602841</v>
      </c>
      <c r="G20" s="31">
        <f t="shared" si="5"/>
        <v>140</v>
      </c>
      <c r="H20" s="32">
        <f t="shared" si="6"/>
        <v>-7.0921985815602835E-3</v>
      </c>
      <c r="I20" s="101">
        <f t="shared" si="7"/>
        <v>-709.21985815602841</v>
      </c>
      <c r="J20" s="15">
        <f t="shared" si="8"/>
        <v>141</v>
      </c>
      <c r="K20" s="32">
        <f t="shared" si="9"/>
        <v>0</v>
      </c>
      <c r="L20" s="18">
        <f t="shared" si="10"/>
        <v>0</v>
      </c>
      <c r="M20" s="31">
        <f t="shared" si="11"/>
        <v>142</v>
      </c>
      <c r="N20" s="32">
        <f t="shared" si="12"/>
        <v>7.0921985815602835E-3</v>
      </c>
      <c r="O20" s="18">
        <f t="shared" si="13"/>
        <v>709.21985815602841</v>
      </c>
      <c r="Q20" s="218"/>
      <c r="R20" s="218"/>
      <c r="S20" s="218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-1.58227848E-2</v>
      </c>
      <c r="D21" s="20">
        <f t="shared" si="2"/>
        <v>308</v>
      </c>
      <c r="E21" s="21">
        <f t="shared" si="3"/>
        <v>-9.6463022508038593E-3</v>
      </c>
      <c r="F21" s="22">
        <f t="shared" si="4"/>
        <v>-964.63022508038591</v>
      </c>
      <c r="G21" s="30">
        <f t="shared" si="5"/>
        <v>311</v>
      </c>
      <c r="H21" s="21">
        <f t="shared" si="6"/>
        <v>0</v>
      </c>
      <c r="I21" s="105">
        <f t="shared" si="7"/>
        <v>0</v>
      </c>
      <c r="J21" s="20">
        <f t="shared" si="8"/>
        <v>313</v>
      </c>
      <c r="K21" s="21">
        <f t="shared" si="9"/>
        <v>6.4308681672025723E-3</v>
      </c>
      <c r="L21" s="22">
        <f t="shared" si="10"/>
        <v>643.08681672025727</v>
      </c>
      <c r="M21" s="30">
        <f t="shared" si="11"/>
        <v>311</v>
      </c>
      <c r="N21" s="21">
        <f t="shared" si="12"/>
        <v>0</v>
      </c>
      <c r="O21" s="22">
        <f t="shared" si="13"/>
        <v>0</v>
      </c>
      <c r="Q21" s="218"/>
      <c r="R21" s="218"/>
      <c r="S21" s="218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8"/>
      <c r="R22" s="218"/>
      <c r="S22" s="218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8"/>
      <c r="R23" s="218"/>
      <c r="S23" s="218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8"/>
      <c r="R24" s="218"/>
      <c r="S24" s="218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7"/>
      <c r="R26" s="228"/>
      <c r="S26" s="229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0"/>
      <c r="R27" s="231"/>
      <c r="S27" s="232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3"/>
      <c r="R28" s="234"/>
      <c r="S28" s="235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8"/>
      <c r="R29" s="218"/>
      <c r="S29" s="218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3"/>
      <c r="R30" s="213"/>
      <c r="S30" s="21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3"/>
      <c r="R31" s="213"/>
      <c r="S31" s="21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8"/>
      <c r="R32" s="218"/>
      <c r="S32" s="21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8"/>
      <c r="R33" s="218"/>
      <c r="S33" s="21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8"/>
      <c r="R34" s="218"/>
      <c r="S34" s="21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0"/>
      <c r="R35" s="241"/>
      <c r="S35" s="24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3"/>
      <c r="R36" s="244"/>
      <c r="S36" s="245"/>
    </row>
    <row r="37" spans="1:19" ht="17.25" customHeight="1" thickBot="1">
      <c r="A37" s="132" t="s">
        <v>42</v>
      </c>
      <c r="B37" s="251">
        <v>100000</v>
      </c>
      <c r="C37" s="252"/>
      <c r="D37" s="26" t="s">
        <v>43</v>
      </c>
      <c r="E37" s="27">
        <f>IF(COUNT(E17:E36), SUM(E17:E36) / COUNT(E17:E36), 0)</f>
        <v>-3.4542011480439457E-3</v>
      </c>
      <c r="F37" s="28">
        <f>SUM(F17:F36)</f>
        <v>-1727.100574021973</v>
      </c>
      <c r="G37" s="26" t="s">
        <v>43</v>
      </c>
      <c r="H37" s="27">
        <f>IF(COUNT(H17:H36), SUM(H17:H36) / COUNT(H17:H36), 0)</f>
        <v>9.6018803478241099E-3</v>
      </c>
      <c r="I37" s="28">
        <f>SUM(I17:I36)</f>
        <v>4800.940173912054</v>
      </c>
      <c r="J37" s="26" t="s">
        <v>43</v>
      </c>
      <c r="K37" s="27">
        <f>IF(COUNT(K17:K36), SUM(K17:K36) / COUNT(K17:K36), 0)</f>
        <v>1.3838198959003517E-2</v>
      </c>
      <c r="L37" s="28">
        <f>SUM(L17:L36)</f>
        <v>6919.0994795017587</v>
      </c>
      <c r="M37" s="26" t="s">
        <v>43</v>
      </c>
      <c r="N37" s="27">
        <f>IF(COUNT(N17:N36), SUM(N17:N36) / COUNT(N17:N36), 0)</f>
        <v>1.4438759780448221E-2</v>
      </c>
      <c r="O37" s="28">
        <f>SUM(O17:O36)</f>
        <v>7219.3798902241115</v>
      </c>
      <c r="Q37" s="246"/>
      <c r="R37" s="247"/>
      <c r="S37" s="248"/>
    </row>
    <row r="38" spans="1:19" ht="17.25" customHeight="1"/>
    <row r="39" spans="1:19" ht="17.25" customHeight="1" thickBot="1"/>
    <row r="40" spans="1:19" ht="17.25" customHeight="1" thickBot="1">
      <c r="A40" s="192" t="s">
        <v>44</v>
      </c>
      <c r="B40" s="193"/>
      <c r="C40" s="193"/>
      <c r="D40" s="193"/>
      <c r="E40" s="193"/>
      <c r="F40" s="193"/>
      <c r="G40" s="193"/>
      <c r="H40" s="193"/>
      <c r="I40" s="193"/>
      <c r="J40" s="193"/>
      <c r="K40" s="193"/>
      <c r="L40" s="193"/>
      <c r="M40" s="193"/>
      <c r="N40" s="193"/>
      <c r="O40" s="194"/>
      <c r="Q40" s="213"/>
      <c r="R40" s="213"/>
      <c r="S40" s="213"/>
    </row>
    <row r="41" spans="1:19" ht="17.25" customHeight="1" thickBot="1">
      <c r="A41" s="180" t="s">
        <v>297</v>
      </c>
      <c r="B41" s="192" t="s">
        <v>49</v>
      </c>
      <c r="C41" s="194"/>
      <c r="D41" s="192" t="s">
        <v>58</v>
      </c>
      <c r="E41" s="193"/>
      <c r="F41" s="194"/>
      <c r="G41" s="219">
        <f>_xlfn.IFNA(VLOOKUP(B41, 현재가테이블!$B$2:$D$200, 2, FALSE), "-")</f>
        <v>38300000</v>
      </c>
      <c r="H41" s="220"/>
      <c r="I41" s="221"/>
      <c r="J41" s="192" t="s">
        <v>59</v>
      </c>
      <c r="K41" s="193"/>
      <c r="L41" s="194"/>
      <c r="M41" s="222">
        <f>_xlfn.IFNA(VLOOKUP(B41, 현재가테이블!$B$2:$D$200, 3, FALSE), "-")</f>
        <v>-1.9557649E-2</v>
      </c>
      <c r="N41" s="223"/>
      <c r="O41" s="224"/>
      <c r="Q41" s="213"/>
      <c r="R41" s="213"/>
      <c r="S41" s="213"/>
    </row>
    <row r="42" spans="1:19" ht="17.25" customHeight="1" thickBot="1">
      <c r="A42" s="253" t="s">
        <v>55</v>
      </c>
      <c r="B42" s="255" t="str">
        <f>TEXT($G$1, "[$-ko-KR]yyyy-mm-dd(ddd) ") &amp; "오전 00:00"</f>
        <v>2021-06-06(일) 오전 00:00</v>
      </c>
      <c r="C42" s="256"/>
      <c r="D42" s="215" t="str">
        <f>TEXT($G$1, "[$-ko-KR]yyyy-mm-dd(ddd) ") &amp; "오후 14:00"</f>
        <v>2021-06-06(일) 오후 14:00</v>
      </c>
      <c r="E42" s="216"/>
      <c r="F42" s="217"/>
      <c r="G42" s="215" t="str">
        <f>TEXT($G$1, "[$-ko-KR]yyyy-mm-dd(ddd) ") &amp; "오후 19:00"</f>
        <v>2021-06-06(일) 오후 19:00</v>
      </c>
      <c r="H42" s="216"/>
      <c r="I42" s="217"/>
      <c r="J42" s="215" t="str">
        <f>TEXT($G$1, "[$-ko-KR]yyyy-mm-dd(ddd) ") &amp; "오후 21:00"</f>
        <v>2021-06-06(일) 오후 21:00</v>
      </c>
      <c r="K42" s="216"/>
      <c r="L42" s="217"/>
      <c r="M42" s="215" t="str">
        <f>TEXT($G$1+1, "[$-ko-KR]yyyy-mm-dd(ddd) ") &amp; "오전 00:00"</f>
        <v>2021-06-07(월) 오전 00:00</v>
      </c>
      <c r="N42" s="216"/>
      <c r="O42" s="217"/>
      <c r="Q42" s="213"/>
      <c r="R42" s="213"/>
      <c r="S42" s="213"/>
    </row>
    <row r="43" spans="1:19" ht="17.25" customHeight="1" thickBot="1">
      <c r="A43" s="25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1" t="s">
        <v>58</v>
      </c>
      <c r="H43" s="182" t="s">
        <v>298</v>
      </c>
      <c r="I43" s="18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8"/>
      <c r="R43" s="218"/>
      <c r="S43" s="218"/>
    </row>
    <row r="44" spans="1:19" ht="17.25" customHeight="1" thickBot="1">
      <c r="A44" s="161" t="s">
        <v>186</v>
      </c>
      <c r="B44" s="124">
        <v>19.899999999999999</v>
      </c>
      <c r="C44" s="76">
        <v>8.1521739100000004E-2</v>
      </c>
      <c r="D44" s="13">
        <v>25.4</v>
      </c>
      <c r="E44" s="14">
        <f>IF(ISNUMBER(D44), (D44 - $B44) / $B44, "")</f>
        <v>0.27638190954773872</v>
      </c>
      <c r="F44" s="16">
        <f>IF(ISNUMBER(D44), $B64 * E44, "")</f>
        <v>27638.190954773872</v>
      </c>
      <c r="G44" s="29">
        <v>22.9</v>
      </c>
      <c r="H44" s="14">
        <f>IF(ISNUMBER(G44), (G44 - $B44) / $B44, "")</f>
        <v>0.15075376884422112</v>
      </c>
      <c r="I44" s="100">
        <f>IF(ISNUMBER(G44), $B64 * H44, "")</f>
        <v>15075.376884422112</v>
      </c>
      <c r="J44" s="13">
        <v>21.3</v>
      </c>
      <c r="K44" s="14">
        <f>IF(ISNUMBER(J44), (J44 - $B44) / $B44, "")</f>
        <v>7.035175879396996E-2</v>
      </c>
      <c r="L44" s="16">
        <f>IF(ISNUMBER(J44), $B64 * K44, "")</f>
        <v>7035.1758793969957</v>
      </c>
      <c r="M44" s="29">
        <v>21.3</v>
      </c>
      <c r="N44" s="14">
        <f>IF(ISNUMBER(M44), (M44 - $B44) / $B44, "")</f>
        <v>7.035175879396996E-2</v>
      </c>
      <c r="O44" s="16">
        <f>IF(ISNUMBER(M44), $B64 * N44, "")</f>
        <v>7035.1758793969957</v>
      </c>
      <c r="Q44" s="213"/>
      <c r="R44" s="213"/>
      <c r="S44" s="213"/>
    </row>
    <row r="45" spans="1:19" ht="17.25" customHeight="1" thickBot="1">
      <c r="A45" s="162" t="s">
        <v>152</v>
      </c>
      <c r="B45" s="126">
        <v>22</v>
      </c>
      <c r="C45" s="77">
        <v>2.3255814E-2</v>
      </c>
      <c r="D45" s="15">
        <v>21.3</v>
      </c>
      <c r="E45" s="32">
        <f t="shared" ref="E45:E48" si="14">IF(ISNUMBER(D45), (D45 - $B45) / $B45, "")</f>
        <v>-3.1818181818181787E-2</v>
      </c>
      <c r="F45" s="18">
        <f>IF(ISNUMBER(D45), $B64 * E45, "")</f>
        <v>-3181.8181818181788</v>
      </c>
      <c r="G45" s="31">
        <v>21.9</v>
      </c>
      <c r="H45" s="32">
        <f t="shared" ref="H45:H48" si="15">IF(ISNUMBER(G45), (G45 - $B45) / $B45, "")</f>
        <v>-4.5454545454546103E-3</v>
      </c>
      <c r="I45" s="101">
        <f>IF(ISNUMBER(G45), $B64 * H45, "")</f>
        <v>-454.54545454546104</v>
      </c>
      <c r="J45" s="15">
        <v>21.8</v>
      </c>
      <c r="K45" s="32">
        <f t="shared" ref="K45:K48" si="16">IF(ISNUMBER(J45), (J45 - $B45) / $B45, "")</f>
        <v>-9.0909090909090592E-3</v>
      </c>
      <c r="L45" s="18">
        <f>IF(ISNUMBER(J45), $B64 * K45, "")</f>
        <v>-909.09090909090594</v>
      </c>
      <c r="M45" s="31">
        <v>21.8</v>
      </c>
      <c r="N45" s="32">
        <f t="shared" ref="N45:N48" si="17">IF(ISNUMBER(M45), (M45 - $B45) / $B45, "")</f>
        <v>-9.0909090909090592E-3</v>
      </c>
      <c r="O45" s="18">
        <f>IF(ISNUMBER(M45), $B64 * N45, "")</f>
        <v>-909.09090909090594</v>
      </c>
      <c r="Q45" s="213"/>
      <c r="R45" s="213"/>
      <c r="S45" s="213"/>
    </row>
    <row r="46" spans="1:19" ht="17.25" customHeight="1" thickBot="1">
      <c r="A46" s="162" t="s">
        <v>172</v>
      </c>
      <c r="B46" s="126">
        <v>15.2</v>
      </c>
      <c r="C46" s="77">
        <v>1.33333333E-2</v>
      </c>
      <c r="D46" s="15">
        <v>15.2</v>
      </c>
      <c r="E46" s="32">
        <f t="shared" si="14"/>
        <v>0</v>
      </c>
      <c r="F46" s="18">
        <f>IF(ISNUMBER(D46), $B64 * E46, "")</f>
        <v>0</v>
      </c>
      <c r="G46" s="31">
        <v>15.5</v>
      </c>
      <c r="H46" s="32">
        <f t="shared" si="15"/>
        <v>1.9736842105263205E-2</v>
      </c>
      <c r="I46" s="101">
        <f>IF(ISNUMBER(G46), $B64 * H46, "")</f>
        <v>1973.6842105263206</v>
      </c>
      <c r="J46" s="15">
        <v>15.5</v>
      </c>
      <c r="K46" s="32">
        <f t="shared" si="16"/>
        <v>1.9736842105263205E-2</v>
      </c>
      <c r="L46" s="18">
        <f>IF(ISNUMBER(J46), $B64 * K46, "")</f>
        <v>1973.6842105263206</v>
      </c>
      <c r="M46" s="31">
        <v>15.3</v>
      </c>
      <c r="N46" s="32">
        <f t="shared" si="17"/>
        <v>6.5789473684211468E-3</v>
      </c>
      <c r="O46" s="18">
        <f>IF(ISNUMBER(M46), $B64 * N46, "")</f>
        <v>657.89473684211464</v>
      </c>
      <c r="Q46" s="218"/>
      <c r="R46" s="218"/>
      <c r="S46" s="218"/>
    </row>
    <row r="47" spans="1:19" ht="17.25" customHeight="1" thickBot="1">
      <c r="A47" s="162" t="s">
        <v>156</v>
      </c>
      <c r="B47" s="126">
        <v>88.7</v>
      </c>
      <c r="C47" s="77">
        <v>-1.22494432E-2</v>
      </c>
      <c r="D47" s="15">
        <v>89.6</v>
      </c>
      <c r="E47" s="32">
        <f t="shared" si="14"/>
        <v>1.014656144306642E-2</v>
      </c>
      <c r="F47" s="18">
        <f>IF(ISNUMBER(D47), $B64 * E47, "")</f>
        <v>1014.6561443066421</v>
      </c>
      <c r="G47" s="31">
        <v>89.7</v>
      </c>
      <c r="H47" s="32">
        <f t="shared" si="15"/>
        <v>1.1273957158962795E-2</v>
      </c>
      <c r="I47" s="101">
        <f>IF(ISNUMBER(G47), $B64 * H47, "")</f>
        <v>1127.3957158962796</v>
      </c>
      <c r="J47" s="15">
        <v>89.3</v>
      </c>
      <c r="K47" s="32">
        <f t="shared" si="16"/>
        <v>6.7643742953776131E-3</v>
      </c>
      <c r="L47" s="18">
        <f>IF(ISNUMBER(J47), $B64 * K47, "")</f>
        <v>676.43742953776132</v>
      </c>
      <c r="M47" s="31">
        <v>89.8</v>
      </c>
      <c r="N47" s="32">
        <f t="shared" si="17"/>
        <v>1.2401352874859011E-2</v>
      </c>
      <c r="O47" s="18">
        <f>IF(ISNUMBER(M47), $B64 * N47, "")</f>
        <v>1240.135287485901</v>
      </c>
      <c r="Q47" s="218"/>
      <c r="R47" s="218"/>
      <c r="S47" s="218"/>
    </row>
    <row r="48" spans="1:19" ht="17.25" customHeight="1" thickBot="1">
      <c r="A48" s="163" t="s">
        <v>196</v>
      </c>
      <c r="B48" s="128">
        <v>11.5</v>
      </c>
      <c r="C48" s="78">
        <v>-1.7094017100000001E-2</v>
      </c>
      <c r="D48" s="20">
        <v>11.8</v>
      </c>
      <c r="E48" s="21">
        <f t="shared" si="14"/>
        <v>2.6086956521739191E-2</v>
      </c>
      <c r="F48" s="22">
        <f>IF(ISNUMBER(D48), $B64 * E48, "")</f>
        <v>2608.6956521739194</v>
      </c>
      <c r="G48" s="30">
        <v>12.2</v>
      </c>
      <c r="H48" s="21">
        <f t="shared" si="15"/>
        <v>6.0869565217391244E-2</v>
      </c>
      <c r="I48" s="105">
        <f>IF(ISNUMBER(G48), $B64 * H48, "")</f>
        <v>6086.9565217391246</v>
      </c>
      <c r="J48" s="20">
        <v>12.1</v>
      </c>
      <c r="K48" s="21">
        <f t="shared" si="16"/>
        <v>5.217391304347823E-2</v>
      </c>
      <c r="L48" s="22">
        <f>IF(ISNUMBER(J48), $B64 * K48, "")</f>
        <v>5217.3913043478233</v>
      </c>
      <c r="M48" s="30">
        <v>12.1</v>
      </c>
      <c r="N48" s="21">
        <f t="shared" si="17"/>
        <v>5.217391304347823E-2</v>
      </c>
      <c r="O48" s="22">
        <f>IF(ISNUMBER(M48), $B64 * N48, "")</f>
        <v>5217.3913043478233</v>
      </c>
      <c r="Q48" s="218"/>
      <c r="R48" s="218"/>
      <c r="S48" s="218"/>
    </row>
    <row r="49" spans="1:19" ht="17.25" customHeight="1" thickBot="1">
      <c r="A49" s="162" t="s">
        <v>222</v>
      </c>
      <c r="B49" s="129">
        <v>11.4</v>
      </c>
      <c r="C49" s="80">
        <v>-1.7241379300000002E-2</v>
      </c>
      <c r="D49" s="106">
        <v>11.7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12</v>
      </c>
      <c r="H49" s="107">
        <f>IF(ISNUMBER(G49), (G49 - $B49) / $B49, "")</f>
        <v>5.263157894736839E-2</v>
      </c>
      <c r="I49" s="110">
        <f>IF(ISNUMBER(G49), $B64 * H49, "")</f>
        <v>5263.1578947368389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5263.1578947368389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3508.7719298245647</v>
      </c>
      <c r="Q49" s="218"/>
      <c r="R49" s="218"/>
      <c r="S49" s="218"/>
    </row>
    <row r="50" spans="1:19" ht="17.25" customHeight="1" thickBot="1">
      <c r="A50" s="162" t="s">
        <v>154</v>
      </c>
      <c r="B50" s="126">
        <v>10.9</v>
      </c>
      <c r="C50" s="77">
        <v>-1.8018018E-2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11.4</v>
      </c>
      <c r="H50" s="32">
        <f t="shared" ref="H50:H53" si="19">IF(ISNUMBER(G50), (G50 - $B50) / $B50, "")</f>
        <v>4.5871559633027519E-2</v>
      </c>
      <c r="I50" s="101">
        <f>IF(ISNUMBER(G50), $B64 * H50, "")</f>
        <v>4587.1559633027518</v>
      </c>
      <c r="J50" s="15">
        <v>11.7</v>
      </c>
      <c r="K50" s="32">
        <f t="shared" ref="K50:K53" si="20">IF(ISNUMBER(J50), (J50 - $B50) / $B50, "")</f>
        <v>7.339449541284393E-2</v>
      </c>
      <c r="L50" s="18">
        <f>IF(ISNUMBER(J50), $B64 * K50, "")</f>
        <v>7339.4495412843926</v>
      </c>
      <c r="M50" s="31">
        <v>11.6</v>
      </c>
      <c r="N50" s="32">
        <f t="shared" ref="N50:N53" si="21">IF(ISNUMBER(M50), (M50 - $B50) / $B50, "")</f>
        <v>6.4220183486238466E-2</v>
      </c>
      <c r="O50" s="18">
        <f>IF(ISNUMBER(M50), $B64 * N50, "")</f>
        <v>6422.0183486238466</v>
      </c>
      <c r="Q50" s="218"/>
      <c r="R50" s="218"/>
      <c r="S50" s="218"/>
    </row>
    <row r="51" spans="1:19" ht="17.25" customHeight="1" thickBot="1">
      <c r="A51" s="162" t="s">
        <v>220</v>
      </c>
      <c r="B51" s="126">
        <v>10.8</v>
      </c>
      <c r="C51" s="77">
        <v>-1.8181818200000002E-2</v>
      </c>
      <c r="D51" s="15">
        <v>11.3</v>
      </c>
      <c r="E51" s="32">
        <f t="shared" si="18"/>
        <v>4.6296296296296294E-2</v>
      </c>
      <c r="F51" s="18">
        <f>IF(ISNUMBER(D51), $B64 * E51, "")</f>
        <v>4629.6296296296296</v>
      </c>
      <c r="G51" s="31">
        <v>11.2</v>
      </c>
      <c r="H51" s="32">
        <f t="shared" si="19"/>
        <v>3.7037037037036903E-2</v>
      </c>
      <c r="I51" s="101">
        <f>IF(ISNUMBER(G51), $B64 * H51, "")</f>
        <v>3703.7037037036903</v>
      </c>
      <c r="J51" s="15">
        <v>11.4</v>
      </c>
      <c r="K51" s="32">
        <f t="shared" si="20"/>
        <v>5.5555555555555518E-2</v>
      </c>
      <c r="L51" s="18">
        <f>IF(ISNUMBER(J51), $B64 * K51, "")</f>
        <v>5555.555555555552</v>
      </c>
      <c r="M51" s="31">
        <v>11.2</v>
      </c>
      <c r="N51" s="32">
        <f t="shared" si="21"/>
        <v>3.7037037037036903E-2</v>
      </c>
      <c r="O51" s="18">
        <f>IF(ISNUMBER(M51), $B64 * N51, "")</f>
        <v>3703.7037037036903</v>
      </c>
      <c r="Q51" s="218"/>
      <c r="R51" s="218"/>
      <c r="S51" s="218"/>
    </row>
    <row r="52" spans="1:19" ht="17.25" customHeight="1" thickBot="1">
      <c r="A52" s="162" t="s">
        <v>228</v>
      </c>
      <c r="B52" s="126">
        <v>10.4</v>
      </c>
      <c r="C52" s="77">
        <v>-1.8867924500000001E-2</v>
      </c>
      <c r="D52" s="15">
        <v>10.9</v>
      </c>
      <c r="E52" s="32">
        <f t="shared" si="18"/>
        <v>4.8076923076923073E-2</v>
      </c>
      <c r="F52" s="18">
        <f>IF(ISNUMBER(D52), $B64 * E52, "")</f>
        <v>4807.6923076923076</v>
      </c>
      <c r="G52" s="31">
        <v>11.1</v>
      </c>
      <c r="H52" s="32">
        <f t="shared" si="19"/>
        <v>6.7307692307692235E-2</v>
      </c>
      <c r="I52" s="101">
        <f>IF(ISNUMBER(G52), $B64 * H52, "")</f>
        <v>6730.7692307692232</v>
      </c>
      <c r="J52" s="15">
        <v>11.1</v>
      </c>
      <c r="K52" s="32">
        <f t="shared" si="20"/>
        <v>6.7307692307692235E-2</v>
      </c>
      <c r="L52" s="18">
        <f>IF(ISNUMBER(J52), $B64 * K52, "")</f>
        <v>6730.7692307692232</v>
      </c>
      <c r="M52" s="31">
        <v>11</v>
      </c>
      <c r="N52" s="32">
        <f t="shared" si="21"/>
        <v>5.7692307692307654E-2</v>
      </c>
      <c r="O52" s="18">
        <f>IF(ISNUMBER(M52), $B64 * N52, "")</f>
        <v>5769.230769230765</v>
      </c>
      <c r="Q52" s="33"/>
      <c r="R52" s="33"/>
    </row>
    <row r="53" spans="1:19" ht="17.25" customHeight="1" thickBot="1">
      <c r="A53" s="130" t="s">
        <v>236</v>
      </c>
      <c r="B53" s="131">
        <v>51.5</v>
      </c>
      <c r="C53" s="79">
        <v>-1.9047618999999998E-2</v>
      </c>
      <c r="D53" s="24">
        <v>52.5</v>
      </c>
      <c r="E53" s="25">
        <f t="shared" si="18"/>
        <v>1.9417475728155338E-2</v>
      </c>
      <c r="F53" s="104">
        <f>IF(ISNUMBER(D53), $B64 * E53, "")</f>
        <v>1941.7475728155339</v>
      </c>
      <c r="G53" s="102">
        <v>53.1</v>
      </c>
      <c r="H53" s="25">
        <f t="shared" si="19"/>
        <v>3.106796116504857E-2</v>
      </c>
      <c r="I53" s="103">
        <f>IF(ISNUMBER(G53), $B64 * H53, "")</f>
        <v>3106.7961165048569</v>
      </c>
      <c r="J53" s="24">
        <v>54</v>
      </c>
      <c r="K53" s="25">
        <f t="shared" si="20"/>
        <v>4.8543689320388349E-2</v>
      </c>
      <c r="L53" s="104">
        <f>IF(ISNUMBER(J53), $B64 * K53, "")</f>
        <v>4854.3689320388348</v>
      </c>
      <c r="M53" s="102">
        <v>53.1</v>
      </c>
      <c r="N53" s="25">
        <f t="shared" si="21"/>
        <v>3.106796116504857E-2</v>
      </c>
      <c r="O53" s="104">
        <f>IF(ISNUMBER(M53), $B64 * N53, "")</f>
        <v>3106.7961165048569</v>
      </c>
      <c r="Q53" s="227"/>
      <c r="R53" s="228"/>
      <c r="S53" s="229"/>
    </row>
    <row r="54" spans="1:19" ht="17.25" customHeight="1">
      <c r="A54" s="161" t="s">
        <v>266</v>
      </c>
      <c r="B54" s="124">
        <v>57.2</v>
      </c>
      <c r="C54" s="76">
        <v>-2.0547945200000001E-2</v>
      </c>
      <c r="D54" s="13">
        <v>58.6</v>
      </c>
      <c r="E54" s="14">
        <f>IF(ISNUMBER(D54), (D54 - $B54) / $B54, "")</f>
        <v>2.4475524475524448E-2</v>
      </c>
      <c r="F54" s="16">
        <f>IF(ISNUMBER(D54), $B64 * E54, "")</f>
        <v>2447.5524475524448</v>
      </c>
      <c r="G54" s="29">
        <v>59.8</v>
      </c>
      <c r="H54" s="14">
        <f>IF(ISNUMBER(G54), (G54 - $B54) / $B54, "")</f>
        <v>4.5454545454545352E-2</v>
      </c>
      <c r="I54" s="100">
        <f>IF(ISNUMBER(G54), $B64 * H54, "")</f>
        <v>4545.454545454535</v>
      </c>
      <c r="J54" s="13">
        <v>63.9</v>
      </c>
      <c r="K54" s="14">
        <f>IF(ISNUMBER(J54), (J54 - $B54) / $B54, "")</f>
        <v>0.11713286713286705</v>
      </c>
      <c r="L54" s="16">
        <f>IF(ISNUMBER(J54), $B64 * K54, "")</f>
        <v>11713.286713286705</v>
      </c>
      <c r="M54" s="29">
        <v>59.7</v>
      </c>
      <c r="N54" s="14">
        <f>IF(ISNUMBER(M54), (M54 - $B54) / $B54, "")</f>
        <v>4.3706293706293704E-2</v>
      </c>
      <c r="O54" s="16">
        <f>IF(ISNUMBER(M54), $B64 * N54, "")</f>
        <v>4370.62937062937</v>
      </c>
      <c r="Q54" s="230"/>
      <c r="R54" s="231"/>
      <c r="S54" s="232"/>
    </row>
    <row r="55" spans="1:19" ht="17.25" customHeight="1" thickBot="1">
      <c r="A55" s="162" t="s">
        <v>254</v>
      </c>
      <c r="B55" s="126">
        <v>51.3</v>
      </c>
      <c r="C55" s="77">
        <v>-2.2857142899999999E-2</v>
      </c>
      <c r="D55" s="15">
        <v>51.3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52.3</v>
      </c>
      <c r="H55" s="32">
        <f t="shared" ref="H55:H58" si="23">IF(ISNUMBER(G55), (G55 - $B55) / $B55, "")</f>
        <v>1.9493177387914232E-2</v>
      </c>
      <c r="I55" s="101">
        <f>IF(ISNUMBER(G55), $B64 * H55, "")</f>
        <v>1949.3177387914232</v>
      </c>
      <c r="J55" s="15">
        <v>52</v>
      </c>
      <c r="K55" s="32">
        <f t="shared" ref="K55:K58" si="24">IF(ISNUMBER(J55), (J55 - $B55) / $B55, "")</f>
        <v>1.3645224171540018E-2</v>
      </c>
      <c r="L55" s="18">
        <f>IF(ISNUMBER(J55), $B64 * K55, "")</f>
        <v>1364.5224171540017</v>
      </c>
      <c r="M55" s="31">
        <v>51.8</v>
      </c>
      <c r="N55" s="32">
        <f t="shared" ref="N55:N58" si="25">IF(ISNUMBER(M55), (M55 - $B55) / $B55, "")</f>
        <v>9.7465886939571162E-3</v>
      </c>
      <c r="O55" s="18">
        <f>IF(ISNUMBER(M55), $B64 * N55, "")</f>
        <v>974.65886939571158</v>
      </c>
      <c r="Q55" s="233"/>
      <c r="R55" s="234"/>
      <c r="S55" s="235"/>
    </row>
    <row r="56" spans="1:19" ht="17.25" customHeight="1" thickBot="1">
      <c r="A56" s="162" t="s">
        <v>65</v>
      </c>
      <c r="B56" s="126">
        <v>36.6</v>
      </c>
      <c r="C56" s="77">
        <v>-2.4E-2</v>
      </c>
      <c r="D56" s="15">
        <v>36.6</v>
      </c>
      <c r="E56" s="32">
        <f t="shared" si="22"/>
        <v>0</v>
      </c>
      <c r="F56" s="18">
        <f>IF(ISNUMBER(D56), $B64 * E56, "")</f>
        <v>0</v>
      </c>
      <c r="G56" s="31">
        <v>36.9</v>
      </c>
      <c r="H56" s="32">
        <f t="shared" si="23"/>
        <v>8.1967213114753322E-3</v>
      </c>
      <c r="I56" s="101">
        <f>IF(ISNUMBER(G56), $B64 * H56, "")</f>
        <v>819.67213114753326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36.9</v>
      </c>
      <c r="N56" s="32">
        <f t="shared" si="25"/>
        <v>8.1967213114753322E-3</v>
      </c>
      <c r="O56" s="18">
        <f>IF(ISNUMBER(M56), $B64 * N56, "")</f>
        <v>819.67213114753326</v>
      </c>
      <c r="Q56" s="218"/>
      <c r="R56" s="218"/>
      <c r="S56" s="218"/>
    </row>
    <row r="57" spans="1:19" ht="17.25" customHeight="1" thickBot="1">
      <c r="A57" s="162" t="s">
        <v>268</v>
      </c>
      <c r="B57" s="126">
        <v>52.1</v>
      </c>
      <c r="C57" s="77">
        <v>-2.6168224300000001E-2</v>
      </c>
      <c r="D57" s="15">
        <v>53.1</v>
      </c>
      <c r="E57" s="32">
        <f t="shared" si="22"/>
        <v>1.9193857965451054E-2</v>
      </c>
      <c r="F57" s="18">
        <f>IF(ISNUMBER(D57), $B64 * E57, "")</f>
        <v>1919.3857965451054</v>
      </c>
      <c r="G57" s="31">
        <v>53.6</v>
      </c>
      <c r="H57" s="32">
        <f t="shared" si="23"/>
        <v>2.8790786948176581E-2</v>
      </c>
      <c r="I57" s="101">
        <f>IF(ISNUMBER(G57), $B64 * H57, "")</f>
        <v>2879.0786948176583</v>
      </c>
      <c r="J57" s="15">
        <v>53.6</v>
      </c>
      <c r="K57" s="32">
        <f t="shared" si="24"/>
        <v>2.8790786948176581E-2</v>
      </c>
      <c r="L57" s="18">
        <f>IF(ISNUMBER(J57), $B64 * K57, "")</f>
        <v>2879.0786948176583</v>
      </c>
      <c r="M57" s="31">
        <v>53.3</v>
      </c>
      <c r="N57" s="32">
        <f t="shared" si="25"/>
        <v>2.3032629558541184E-2</v>
      </c>
      <c r="O57" s="18">
        <f>IF(ISNUMBER(M57), $B64 * N57, "")</f>
        <v>2303.2629558541184</v>
      </c>
      <c r="Q57" s="213"/>
      <c r="R57" s="213"/>
      <c r="S57" s="213"/>
    </row>
    <row r="58" spans="1:19" ht="17.25" customHeight="1" thickBot="1">
      <c r="A58" s="163" t="s">
        <v>214</v>
      </c>
      <c r="B58" s="128">
        <v>13.7</v>
      </c>
      <c r="C58" s="78">
        <v>-2.83687943E-2</v>
      </c>
      <c r="D58" s="20">
        <v>13.9</v>
      </c>
      <c r="E58" s="21">
        <f t="shared" si="22"/>
        <v>1.4598540145985481E-2</v>
      </c>
      <c r="F58" s="22">
        <f>IF(ISNUMBER(D58), $B64 * E58, "")</f>
        <v>1459.854014598548</v>
      </c>
      <c r="G58" s="30">
        <v>14.2</v>
      </c>
      <c r="H58" s="21">
        <f t="shared" si="23"/>
        <v>3.6496350364963508E-2</v>
      </c>
      <c r="I58" s="105">
        <f>IF(ISNUMBER(G58), $B64 * H58, "")</f>
        <v>3649.6350364963509</v>
      </c>
      <c r="J58" s="20">
        <v>14.2</v>
      </c>
      <c r="K58" s="21">
        <f t="shared" si="24"/>
        <v>3.6496350364963508E-2</v>
      </c>
      <c r="L58" s="22">
        <f>IF(ISNUMBER(J58), $B64 * K58, "")</f>
        <v>3649.6350364963509</v>
      </c>
      <c r="M58" s="30">
        <v>14</v>
      </c>
      <c r="N58" s="21">
        <f t="shared" si="25"/>
        <v>2.1897810218978155E-2</v>
      </c>
      <c r="O58" s="22">
        <f>IF(ISNUMBER(M58), $B64 * N58, "")</f>
        <v>2189.7810218978157</v>
      </c>
      <c r="Q58" s="213"/>
      <c r="R58" s="213"/>
      <c r="S58" s="213"/>
    </row>
    <row r="59" spans="1:19" ht="17.25" customHeight="1" thickBot="1">
      <c r="A59" s="162" t="s">
        <v>218</v>
      </c>
      <c r="B59" s="129">
        <v>16.600000000000001</v>
      </c>
      <c r="C59" s="80">
        <v>-2.9239766100000002E-2</v>
      </c>
      <c r="D59" s="106">
        <v>16.7</v>
      </c>
      <c r="E59" s="107">
        <f>IF(ISNUMBER(D59), (D59 - $B59) / $B59, "")</f>
        <v>6.0240963855420398E-3</v>
      </c>
      <c r="F59" s="108">
        <f>IF(ISNUMBER(D59), $B64 * E59, "")</f>
        <v>602.40963855420398</v>
      </c>
      <c r="G59" s="109">
        <v>17</v>
      </c>
      <c r="H59" s="107">
        <f>IF(ISNUMBER(G59), (G59 - $B59) / $B59, "")</f>
        <v>2.4096385542168586E-2</v>
      </c>
      <c r="I59" s="110">
        <f>IF(ISNUMBER(G59), $B64 * H59, "")</f>
        <v>2409.6385542168587</v>
      </c>
      <c r="J59" s="106">
        <v>17</v>
      </c>
      <c r="K59" s="107">
        <f>IF(ISNUMBER(J59), (J59 - $B59) / $B59, "")</f>
        <v>2.4096385542168586E-2</v>
      </c>
      <c r="L59" s="108">
        <f>IF(ISNUMBER(J59), $B64 * K59, "")</f>
        <v>2409.6385542168587</v>
      </c>
      <c r="M59" s="109">
        <v>16.899999999999999</v>
      </c>
      <c r="N59" s="107">
        <f>IF(ISNUMBER(M59), (M59 - $B59) / $B59, "")</f>
        <v>1.8072289156626332E-2</v>
      </c>
      <c r="O59" s="108">
        <f>IF(ISNUMBER(M59), $B64 * N59, "")</f>
        <v>1807.2289156626332</v>
      </c>
      <c r="Q59" s="218"/>
      <c r="R59" s="218"/>
      <c r="S59" s="218"/>
    </row>
    <row r="60" spans="1:19" ht="17.25" customHeight="1" thickBot="1">
      <c r="A60" s="162" t="s">
        <v>198</v>
      </c>
      <c r="B60" s="126">
        <v>16.5</v>
      </c>
      <c r="C60" s="77">
        <v>-2.9411764699999999E-2</v>
      </c>
      <c r="D60" s="15">
        <v>16.600000000000001</v>
      </c>
      <c r="E60" s="32">
        <f t="shared" ref="E60:E63" si="26">IF(ISNUMBER(D60), (D60 - $B60) / $B60, "")</f>
        <v>6.0606060606061465E-3</v>
      </c>
      <c r="F60" s="18">
        <f>IF(ISNUMBER(D60), $B64 * E60, "")</f>
        <v>606.06060606061465</v>
      </c>
      <c r="G60" s="31">
        <v>17</v>
      </c>
      <c r="H60" s="32">
        <f t="shared" ref="H60:H63" si="27">IF(ISNUMBER(G60), (G60 - $B60) / $B60, "")</f>
        <v>3.0303030303030304E-2</v>
      </c>
      <c r="I60" s="101">
        <f>IF(ISNUMBER(G60), $B64 * H60, "")</f>
        <v>3030.3030303030305</v>
      </c>
      <c r="J60" s="15">
        <v>17</v>
      </c>
      <c r="K60" s="32">
        <f t="shared" ref="K60:K63" si="28">IF(ISNUMBER(J60), (J60 - $B60) / $B60, "")</f>
        <v>3.0303030303030304E-2</v>
      </c>
      <c r="L60" s="18">
        <f>IF(ISNUMBER(J60), $B64 * K60, "")</f>
        <v>3030.3030303030305</v>
      </c>
      <c r="M60" s="31">
        <v>16.899999999999999</v>
      </c>
      <c r="N60" s="32">
        <f t="shared" ref="N60:N63" si="29">IF(ISNUMBER(M60), (M60 - $B60) / $B60, "")</f>
        <v>2.4242424242424156E-2</v>
      </c>
      <c r="O60" s="18">
        <f>IF(ISNUMBER(M60), $B64 * N60, "")</f>
        <v>2424.2424242424154</v>
      </c>
      <c r="Q60" s="218"/>
      <c r="R60" s="218"/>
      <c r="S60" s="218"/>
    </row>
    <row r="61" spans="1:19" ht="17.25" customHeight="1" thickBot="1">
      <c r="A61" s="162" t="s">
        <v>72</v>
      </c>
      <c r="B61" s="126">
        <v>20.6</v>
      </c>
      <c r="C61" s="77">
        <v>-3.2863849799999997E-2</v>
      </c>
      <c r="D61" s="15">
        <v>21.6</v>
      </c>
      <c r="E61" s="32">
        <f t="shared" si="26"/>
        <v>4.8543689320388349E-2</v>
      </c>
      <c r="F61" s="18">
        <f>IF(ISNUMBER(D61), $B64 * E61, "")</f>
        <v>4854.3689320388348</v>
      </c>
      <c r="G61" s="31">
        <v>21.6</v>
      </c>
      <c r="H61" s="32">
        <f t="shared" si="27"/>
        <v>4.8543689320388349E-2</v>
      </c>
      <c r="I61" s="101">
        <f>IF(ISNUMBER(G61), $B64 * H61, "")</f>
        <v>4854.3689320388348</v>
      </c>
      <c r="J61" s="15">
        <v>25.4</v>
      </c>
      <c r="K61" s="32">
        <f t="shared" si="28"/>
        <v>0.23300970873786392</v>
      </c>
      <c r="L61" s="18">
        <f>IF(ISNUMBER(J61), $B64 * K61, "")</f>
        <v>23300.970873786391</v>
      </c>
      <c r="M61" s="31">
        <v>22.5</v>
      </c>
      <c r="N61" s="32">
        <f t="shared" si="29"/>
        <v>9.2233009708737795E-2</v>
      </c>
      <c r="O61" s="18">
        <f>IF(ISNUMBER(M61), $B64 * N61, "")</f>
        <v>9223.3009708737791</v>
      </c>
      <c r="Q61" s="218"/>
      <c r="R61" s="218"/>
      <c r="S61" s="218"/>
    </row>
    <row r="62" spans="1:19" ht="17.25" customHeight="1">
      <c r="A62" s="162" t="s">
        <v>260</v>
      </c>
      <c r="B62" s="126">
        <v>75.7</v>
      </c>
      <c r="C62" s="77">
        <v>-3.3205619399999997E-2</v>
      </c>
      <c r="D62" s="15">
        <v>75.8</v>
      </c>
      <c r="E62" s="32">
        <f t="shared" si="26"/>
        <v>1.3210039630118138E-3</v>
      </c>
      <c r="F62" s="18">
        <f>IF(ISNUMBER(D62), $B64 * E62, "")</f>
        <v>132.10039630118138</v>
      </c>
      <c r="G62" s="31">
        <v>77.3</v>
      </c>
      <c r="H62" s="32">
        <f t="shared" si="27"/>
        <v>2.1136063408190148E-2</v>
      </c>
      <c r="I62" s="101">
        <f>IF(ISNUMBER(G62), $B64 * H62, "")</f>
        <v>2113.6063408190148</v>
      </c>
      <c r="J62" s="15">
        <v>78</v>
      </c>
      <c r="K62" s="32">
        <f t="shared" si="28"/>
        <v>3.0383091149273411E-2</v>
      </c>
      <c r="L62" s="18">
        <f>IF(ISNUMBER(J62), $B64 * K62, "")</f>
        <v>3038.3091149273409</v>
      </c>
      <c r="M62" s="31">
        <v>76.7</v>
      </c>
      <c r="N62" s="32">
        <f t="shared" si="29"/>
        <v>1.3210039630118889E-2</v>
      </c>
      <c r="O62" s="18">
        <f>IF(ISNUMBER(M62), $B64 * N62, "")</f>
        <v>1321.003963011889</v>
      </c>
      <c r="Q62" s="240"/>
      <c r="R62" s="241"/>
      <c r="S62" s="242"/>
    </row>
    <row r="63" spans="1:19" ht="17.25" customHeight="1" thickBot="1">
      <c r="A63" s="130" t="s">
        <v>278</v>
      </c>
      <c r="B63" s="131">
        <v>79.099999999999994</v>
      </c>
      <c r="C63" s="79">
        <v>-3.4188034200000002E-2</v>
      </c>
      <c r="D63" s="24">
        <v>79.900000000000006</v>
      </c>
      <c r="E63" s="25">
        <f t="shared" si="26"/>
        <v>1.0113780025284595E-2</v>
      </c>
      <c r="F63" s="104">
        <f>IF(ISNUMBER(D63), $B64 * E63, "")</f>
        <v>1011.3780025284594</v>
      </c>
      <c r="G63" s="102">
        <v>80.5</v>
      </c>
      <c r="H63" s="25">
        <f t="shared" si="27"/>
        <v>1.769911504424786E-2</v>
      </c>
      <c r="I63" s="103">
        <f>IF(ISNUMBER(G63), $B64 * H63, "")</f>
        <v>1769.911504424786</v>
      </c>
      <c r="J63" s="24">
        <v>80.400000000000006</v>
      </c>
      <c r="K63" s="25">
        <f t="shared" si="28"/>
        <v>1.6434892541087376E-2</v>
      </c>
      <c r="L63" s="104">
        <f>IF(ISNUMBER(J63), $B64 * K63, "")</f>
        <v>1643.4892541087377</v>
      </c>
      <c r="M63" s="102">
        <v>80.8</v>
      </c>
      <c r="N63" s="25">
        <f t="shared" si="29"/>
        <v>2.1491782553729494E-2</v>
      </c>
      <c r="O63" s="104">
        <f>IF(ISNUMBER(M63), $B64 * N63, "")</f>
        <v>2149.1782553729495</v>
      </c>
      <c r="Q63" s="243"/>
      <c r="R63" s="244"/>
      <c r="S63" s="245"/>
    </row>
    <row r="64" spans="1:19" ht="17.25" customHeight="1" thickBot="1">
      <c r="A64" s="132" t="s">
        <v>300</v>
      </c>
      <c r="B64" s="251">
        <f>$B$37</f>
        <v>100000</v>
      </c>
      <c r="C64" s="252"/>
      <c r="D64" s="26" t="s">
        <v>301</v>
      </c>
      <c r="E64" s="27">
        <f>IF(COUNT(E44:E63), SUM(E44:E63) / COUNT(E44:E63), 0)</f>
        <v>2.9855319412212138E-2</v>
      </c>
      <c r="F64" s="28">
        <f>SUM(F44:F63)</f>
        <v>59710.638824424277</v>
      </c>
      <c r="G64" s="26" t="s">
        <v>301</v>
      </c>
      <c r="H64" s="27">
        <f>IF(COUNT(H44:H63), SUM(H44:H63) / COUNT(H44:H63), 0)</f>
        <v>3.7610718647782877E-2</v>
      </c>
      <c r="I64" s="28">
        <f>SUM(I44:I63)</f>
        <v>75221.43729556576</v>
      </c>
      <c r="J64" s="26" t="s">
        <v>301</v>
      </c>
      <c r="K64" s="27">
        <f>IF(COUNT(K44:K63), SUM(K44:K63) / COUNT(K44:K63), 0)</f>
        <v>4.92027385102475E-2</v>
      </c>
      <c r="L64" s="28">
        <f>SUM(L44:L63)</f>
        <v>98405.477020494975</v>
      </c>
      <c r="M64" s="26" t="s">
        <v>301</v>
      </c>
      <c r="N64" s="27">
        <f>IF(COUNT(N44:N63), SUM(N44:N63) / COUNT(N44:N63), 0)</f>
        <v>3.166749302247894E-2</v>
      </c>
      <c r="O64" s="28">
        <f>SUM(O44:O63)</f>
        <v>63334.98604495787</v>
      </c>
      <c r="Q64" s="246"/>
      <c r="R64" s="247"/>
      <c r="S64" s="248"/>
    </row>
    <row r="65" spans="1:19" ht="17.25" customHeight="1"/>
    <row r="66" spans="1:19" ht="17.25" customHeight="1" thickBot="1"/>
    <row r="67" spans="1:19" ht="17.25" thickBot="1">
      <c r="A67" s="192" t="s">
        <v>45</v>
      </c>
      <c r="B67" s="193"/>
      <c r="C67" s="193"/>
      <c r="D67" s="193"/>
      <c r="E67" s="193"/>
      <c r="F67" s="193"/>
      <c r="G67" s="193"/>
      <c r="H67" s="193"/>
      <c r="I67" s="193"/>
      <c r="J67" s="193"/>
      <c r="K67" s="193"/>
      <c r="L67" s="193"/>
      <c r="M67" s="193"/>
      <c r="N67" s="193"/>
      <c r="O67" s="194"/>
      <c r="Q67" s="213"/>
      <c r="R67" s="213"/>
      <c r="S67" s="213"/>
    </row>
    <row r="68" spans="1:19" ht="17.25" thickBot="1">
      <c r="A68" s="180" t="s">
        <v>297</v>
      </c>
      <c r="B68" s="192" t="s">
        <v>49</v>
      </c>
      <c r="C68" s="194"/>
      <c r="D68" s="192" t="s">
        <v>58</v>
      </c>
      <c r="E68" s="193"/>
      <c r="F68" s="194"/>
      <c r="G68" s="219">
        <f>_xlfn.IFNA(VLOOKUP(B68, 현재가테이블!$B$2:$D$200, 2, FALSE), "-")</f>
        <v>38300000</v>
      </c>
      <c r="H68" s="220"/>
      <c r="I68" s="221"/>
      <c r="J68" s="192" t="s">
        <v>59</v>
      </c>
      <c r="K68" s="193"/>
      <c r="L68" s="194"/>
      <c r="M68" s="222">
        <f>_xlfn.IFNA(VLOOKUP(B68, 현재가테이블!$B$2:$D$200, 3, FALSE), "-")</f>
        <v>-1.9557649E-2</v>
      </c>
      <c r="N68" s="223"/>
      <c r="O68" s="224"/>
      <c r="Q68" s="213"/>
      <c r="R68" s="213"/>
      <c r="S68" s="213"/>
    </row>
    <row r="69" spans="1:19" ht="17.25" thickBot="1">
      <c r="A69" s="253" t="s">
        <v>55</v>
      </c>
      <c r="B69" s="255" t="str">
        <f>TEXT($G$1, "[$-ko-KR]yyyy-mm-dd(ddd) ") &amp; "오전 00:00"</f>
        <v>2021-06-06(일) 오전 00:00</v>
      </c>
      <c r="C69" s="256"/>
      <c r="D69" s="215" t="str">
        <f>TEXT($G$1, "[$-ko-KR]yyyy-mm-dd(ddd) ") &amp; "오후 14:00"</f>
        <v>2021-06-06(일) 오후 14:00</v>
      </c>
      <c r="E69" s="216"/>
      <c r="F69" s="217"/>
      <c r="G69" s="215" t="str">
        <f>TEXT($G$1, "[$-ko-KR]yyyy-mm-dd(ddd) ") &amp; "오후 19:00"</f>
        <v>2021-06-06(일) 오후 19:00</v>
      </c>
      <c r="H69" s="216"/>
      <c r="I69" s="217"/>
      <c r="J69" s="215" t="str">
        <f>TEXT($G$1, "[$-ko-KR]yyyy-mm-dd(ddd) ") &amp; "오후 21:00"</f>
        <v>2021-06-06(일) 오후 21:00</v>
      </c>
      <c r="K69" s="216"/>
      <c r="L69" s="217"/>
      <c r="M69" s="215" t="str">
        <f>TEXT($G$1+1, "[$-ko-KR]yyyy-mm-dd(ddd) ") &amp; "오전 00:00"</f>
        <v>2021-06-07(월) 오전 00:00</v>
      </c>
      <c r="N69" s="216"/>
      <c r="O69" s="217"/>
      <c r="Q69" s="213"/>
      <c r="R69" s="213"/>
      <c r="S69" s="213"/>
    </row>
    <row r="70" spans="1:19" ht="17.25" thickBot="1">
      <c r="A70" s="25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1" t="s">
        <v>58</v>
      </c>
      <c r="H70" s="182" t="s">
        <v>298</v>
      </c>
      <c r="I70" s="18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8"/>
      <c r="R70" s="218"/>
      <c r="S70" s="218"/>
    </row>
    <row r="71" spans="1:19" ht="17.25" thickBot="1">
      <c r="A71" s="161" t="s">
        <v>142</v>
      </c>
      <c r="B71" s="124">
        <v>525</v>
      </c>
      <c r="C71" s="76">
        <v>8.0246913599999997E-2</v>
      </c>
      <c r="D71" s="13">
        <v>521</v>
      </c>
      <c r="E71" s="14">
        <f>IF(ISNUMBER(D71), (D71 - $B71) / $B71, "")</f>
        <v>-7.619047619047619E-3</v>
      </c>
      <c r="F71" s="16">
        <f>IF(ISNUMBER(D71), $B91 * E71, "")</f>
        <v>-761.90476190476193</v>
      </c>
      <c r="G71" s="29">
        <v>495</v>
      </c>
      <c r="H71" s="14">
        <f>IF(ISNUMBER(G71), (G71 - $B71) / $B71, "")</f>
        <v>-5.7142857142857141E-2</v>
      </c>
      <c r="I71" s="100">
        <f>IF(ISNUMBER(G71), $B91 * H71, "")</f>
        <v>-5714.2857142857138</v>
      </c>
      <c r="J71" s="13">
        <v>496</v>
      </c>
      <c r="K71" s="14">
        <f>IF(ISNUMBER(J71), (J71 - $B71) / $B71, "")</f>
        <v>-5.5238095238095239E-2</v>
      </c>
      <c r="L71" s="16">
        <f>IF(ISNUMBER(J71), $B91 * K71, "")</f>
        <v>-5523.8095238095239</v>
      </c>
      <c r="M71" s="29">
        <v>491</v>
      </c>
      <c r="N71" s="14">
        <f>IF(ISNUMBER(M71), (M71 - $B71) / $B71, "")</f>
        <v>-6.4761904761904757E-2</v>
      </c>
      <c r="O71" s="16">
        <f>IF(ISNUMBER(M71), $B91 * N71, "")</f>
        <v>-6476.1904761904752</v>
      </c>
      <c r="Q71" s="213"/>
      <c r="R71" s="213"/>
      <c r="S71" s="213"/>
    </row>
    <row r="72" spans="1:19" ht="17.25" thickBot="1">
      <c r="A72" s="162" t="s">
        <v>134</v>
      </c>
      <c r="B72" s="126">
        <v>100</v>
      </c>
      <c r="C72" s="77">
        <v>6.9518716600000002E-2</v>
      </c>
      <c r="D72" s="15">
        <v>98.7</v>
      </c>
      <c r="E72" s="32">
        <f t="shared" ref="E72:E75" si="30">IF(ISNUMBER(D72), (D72 - $B72) / $B72, "")</f>
        <v>-1.2999999999999972E-2</v>
      </c>
      <c r="F72" s="18">
        <f>IF(ISNUMBER(D72), $B91 * E72, "")</f>
        <v>-1299.9999999999973</v>
      </c>
      <c r="G72" s="31">
        <v>100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99.7</v>
      </c>
      <c r="K72" s="32">
        <f t="shared" ref="K72:K75" si="32">IF(ISNUMBER(J72), (J72 - $B72) / $B72, "")</f>
        <v>-2.9999999999999714E-3</v>
      </c>
      <c r="L72" s="18">
        <f>IF(ISNUMBER(J72), $B91 * K72, "")</f>
        <v>-299.99999999999716</v>
      </c>
      <c r="M72" s="31">
        <v>101</v>
      </c>
      <c r="N72" s="32">
        <f t="shared" ref="N72:N75" si="33">IF(ISNUMBER(M72), (M72 - $B72) / $B72, "")</f>
        <v>0.01</v>
      </c>
      <c r="O72" s="18">
        <f>IF(ISNUMBER(M72), $B91 * N72, "")</f>
        <v>1000</v>
      </c>
      <c r="Q72" s="213"/>
      <c r="R72" s="213"/>
      <c r="S72" s="213"/>
    </row>
    <row r="73" spans="1:19" ht="17.25" thickBot="1">
      <c r="A73" s="162" t="s">
        <v>112</v>
      </c>
      <c r="B73" s="126">
        <v>202</v>
      </c>
      <c r="C73" s="77">
        <v>4.6632124400000002E-2</v>
      </c>
      <c r="D73" s="15">
        <v>203</v>
      </c>
      <c r="E73" s="32">
        <f t="shared" si="30"/>
        <v>4.9504950495049506E-3</v>
      </c>
      <c r="F73" s="18">
        <f>IF(ISNUMBER(D73), $B91 * E73, "")</f>
        <v>495.04950495049508</v>
      </c>
      <c r="G73" s="31">
        <v>194</v>
      </c>
      <c r="H73" s="32">
        <f t="shared" si="31"/>
        <v>-3.9603960396039604E-2</v>
      </c>
      <c r="I73" s="101">
        <f>IF(ISNUMBER(G73), $B91 * H73, "")</f>
        <v>-3960.3960396039606</v>
      </c>
      <c r="J73" s="15">
        <v>192</v>
      </c>
      <c r="K73" s="32">
        <f t="shared" si="32"/>
        <v>-4.9504950495049507E-2</v>
      </c>
      <c r="L73" s="18">
        <f>IF(ISNUMBER(J73), $B91 * K73, "")</f>
        <v>-4950.4950495049507</v>
      </c>
      <c r="M73" s="31">
        <v>191</v>
      </c>
      <c r="N73" s="32">
        <f t="shared" si="33"/>
        <v>-5.4455445544554455E-2</v>
      </c>
      <c r="O73" s="18">
        <f>IF(ISNUMBER(M73), $B91 * N73, "")</f>
        <v>-5445.5445544554459</v>
      </c>
      <c r="Q73" s="218"/>
      <c r="R73" s="218"/>
      <c r="S73" s="218"/>
    </row>
    <row r="74" spans="1:19" ht="17.25" thickBot="1">
      <c r="A74" s="162" t="s">
        <v>61</v>
      </c>
      <c r="B74" s="126">
        <v>958</v>
      </c>
      <c r="C74" s="77">
        <v>8.4210525999999994E-3</v>
      </c>
      <c r="D74" s="15">
        <v>952</v>
      </c>
      <c r="E74" s="32">
        <f t="shared" si="30"/>
        <v>-6.2630480167014616E-3</v>
      </c>
      <c r="F74" s="18">
        <f>IF(ISNUMBER(D74), $B91 * E74, "")</f>
        <v>-626.30480167014616</v>
      </c>
      <c r="G74" s="31">
        <v>952</v>
      </c>
      <c r="H74" s="32">
        <f t="shared" si="31"/>
        <v>-6.2630480167014616E-3</v>
      </c>
      <c r="I74" s="101">
        <f>IF(ISNUMBER(G74), $B91 * H74, "")</f>
        <v>-626.30480167014616</v>
      </c>
      <c r="J74" s="15">
        <v>953</v>
      </c>
      <c r="K74" s="32">
        <f t="shared" si="32"/>
        <v>-5.2192066805845511E-3</v>
      </c>
      <c r="L74" s="18">
        <f>IF(ISNUMBER(J74), $B91 * K74, "")</f>
        <v>-521.92066805845513</v>
      </c>
      <c r="M74" s="31">
        <v>954</v>
      </c>
      <c r="N74" s="32">
        <f t="shared" si="33"/>
        <v>-4.1753653444676405E-3</v>
      </c>
      <c r="O74" s="18">
        <f>IF(ISNUMBER(M74), $B91 * N74, "")</f>
        <v>-417.53653444676405</v>
      </c>
      <c r="Q74" s="218"/>
      <c r="R74" s="218"/>
      <c r="S74" s="218"/>
    </row>
    <row r="75" spans="1:19" ht="17.25" thickBot="1">
      <c r="A75" s="163" t="s">
        <v>296</v>
      </c>
      <c r="B75" s="128">
        <v>440</v>
      </c>
      <c r="C75" s="78">
        <v>6.8649886E-3</v>
      </c>
      <c r="D75" s="20">
        <v>435</v>
      </c>
      <c r="E75" s="21">
        <f t="shared" si="30"/>
        <v>-1.1363636363636364E-2</v>
      </c>
      <c r="F75" s="22">
        <f>IF(ISNUMBER(D75), $B91 * E75, "")</f>
        <v>-1136.3636363636365</v>
      </c>
      <c r="G75" s="30">
        <v>429</v>
      </c>
      <c r="H75" s="21">
        <f t="shared" si="31"/>
        <v>-2.5000000000000001E-2</v>
      </c>
      <c r="I75" s="105">
        <f>IF(ISNUMBER(G75), $B91 * H75, "")</f>
        <v>-2500</v>
      </c>
      <c r="J75" s="20">
        <v>430</v>
      </c>
      <c r="K75" s="21">
        <f t="shared" si="32"/>
        <v>-2.2727272727272728E-2</v>
      </c>
      <c r="L75" s="22">
        <f>IF(ISNUMBER(J75), $B91 * K75, "")</f>
        <v>-2272.727272727273</v>
      </c>
      <c r="M75" s="30">
        <v>433</v>
      </c>
      <c r="N75" s="21">
        <f t="shared" si="33"/>
        <v>-1.5909090909090907E-2</v>
      </c>
      <c r="O75" s="22">
        <f>IF(ISNUMBER(M75), $B91 * N75, "")</f>
        <v>-1590.9090909090908</v>
      </c>
      <c r="Q75" s="218"/>
      <c r="R75" s="218"/>
      <c r="S75" s="218"/>
    </row>
    <row r="76" spans="1:19" ht="17.25" thickBot="1">
      <c r="A76" s="162" t="s">
        <v>80</v>
      </c>
      <c r="B76" s="129">
        <v>887</v>
      </c>
      <c r="C76" s="80">
        <v>3.3936652000000002E-3</v>
      </c>
      <c r="D76" s="106">
        <v>882</v>
      </c>
      <c r="E76" s="107">
        <f>IF(ISNUMBER(D76), (D76 - $B76) / $B76, "")</f>
        <v>-5.6369785794813977E-3</v>
      </c>
      <c r="F76" s="108">
        <f>IF(ISNUMBER(D76), $B91 * E76, "")</f>
        <v>-563.69785794813981</v>
      </c>
      <c r="G76" s="109">
        <v>883</v>
      </c>
      <c r="H76" s="107">
        <f>IF(ISNUMBER(G76), (G76 - $B76) / $B76, "")</f>
        <v>-4.5095828635851182E-3</v>
      </c>
      <c r="I76" s="110">
        <f>IF(ISNUMBER(G76), $B91 * H76, "")</f>
        <v>-450.95828635851183</v>
      </c>
      <c r="J76" s="106">
        <v>884</v>
      </c>
      <c r="K76" s="107">
        <f>IF(ISNUMBER(J76), (J76 - $B76) / $B76, "")</f>
        <v>-3.3821871476888386E-3</v>
      </c>
      <c r="L76" s="108">
        <f>IF(ISNUMBER(J76), $B91 * K76, "")</f>
        <v>-338.21871476888384</v>
      </c>
      <c r="M76" s="109">
        <v>883</v>
      </c>
      <c r="N76" s="107">
        <f>IF(ISNUMBER(M76), (M76 - $B76) / $B76, "")</f>
        <v>-4.5095828635851182E-3</v>
      </c>
      <c r="O76" s="108">
        <f>IF(ISNUMBER(M76), $B91 * N76, "")</f>
        <v>-450.95828635851183</v>
      </c>
      <c r="Q76" s="218"/>
      <c r="R76" s="218"/>
      <c r="S76" s="218"/>
    </row>
    <row r="77" spans="1:19" ht="17.25" thickBot="1">
      <c r="A77" s="162" t="s">
        <v>232</v>
      </c>
      <c r="B77" s="126">
        <v>115</v>
      </c>
      <c r="C77" s="77">
        <v>0</v>
      </c>
      <c r="D77" s="15">
        <v>121</v>
      </c>
      <c r="E77" s="32">
        <f t="shared" ref="E77:E80" si="34">IF(ISNUMBER(D77), (D77 - $B77) / $B77, "")</f>
        <v>5.2173913043478258E-2</v>
      </c>
      <c r="F77" s="18">
        <f>IF(ISNUMBER(D77), $B91 * E77, "")</f>
        <v>5217.391304347826</v>
      </c>
      <c r="G77" s="31">
        <v>120</v>
      </c>
      <c r="H77" s="32">
        <f t="shared" ref="H77:H80" si="35">IF(ISNUMBER(G77), (G77 - $B77) / $B77, "")</f>
        <v>4.3478260869565216E-2</v>
      </c>
      <c r="I77" s="101">
        <f>IF(ISNUMBER(G77), $B91 * H77, "")</f>
        <v>4347.826086956522</v>
      </c>
      <c r="J77" s="15">
        <v>122</v>
      </c>
      <c r="K77" s="32">
        <f t="shared" ref="K77:K80" si="36">IF(ISNUMBER(J77), (J77 - $B77) / $B77, "")</f>
        <v>6.0869565217391307E-2</v>
      </c>
      <c r="L77" s="18">
        <f>IF(ISNUMBER(J77), $B91 * K77, "")</f>
        <v>6086.9565217391309</v>
      </c>
      <c r="M77" s="31">
        <v>120</v>
      </c>
      <c r="N77" s="32">
        <f t="shared" ref="N77:N80" si="37">IF(ISNUMBER(M77), (M77 - $B77) / $B77, "")</f>
        <v>4.3478260869565216E-2</v>
      </c>
      <c r="O77" s="18">
        <f>IF(ISNUMBER(M77), $B91 * N77, "")</f>
        <v>4347.826086956522</v>
      </c>
      <c r="Q77" s="218"/>
      <c r="R77" s="218"/>
      <c r="S77" s="218"/>
    </row>
    <row r="78" spans="1:19" ht="17.25" thickBot="1">
      <c r="A78" s="162" t="s">
        <v>132</v>
      </c>
      <c r="B78" s="126">
        <v>155</v>
      </c>
      <c r="C78" s="77">
        <v>0</v>
      </c>
      <c r="D78" s="15">
        <v>153</v>
      </c>
      <c r="E78" s="32">
        <f t="shared" si="34"/>
        <v>-1.2903225806451613E-2</v>
      </c>
      <c r="F78" s="18">
        <f>IF(ISNUMBER(D78), $B91 * E78, "")</f>
        <v>-1290.3225806451612</v>
      </c>
      <c r="G78" s="31">
        <v>153</v>
      </c>
      <c r="H78" s="32">
        <f t="shared" si="35"/>
        <v>-1.2903225806451613E-2</v>
      </c>
      <c r="I78" s="101">
        <f>IF(ISNUMBER(G78), $B91 * H78, "")</f>
        <v>-1290.3225806451612</v>
      </c>
      <c r="J78" s="15">
        <v>152</v>
      </c>
      <c r="K78" s="32">
        <f t="shared" si="36"/>
        <v>-1.935483870967742E-2</v>
      </c>
      <c r="L78" s="18">
        <f>IF(ISNUMBER(J78), $B91 * K78, "")</f>
        <v>-1935.483870967742</v>
      </c>
      <c r="M78" s="31">
        <v>154</v>
      </c>
      <c r="N78" s="32">
        <f t="shared" si="37"/>
        <v>-6.4516129032258064E-3</v>
      </c>
      <c r="O78" s="18">
        <f>IF(ISNUMBER(M78), $B91 * N78, "")</f>
        <v>-645.16129032258061</v>
      </c>
      <c r="Q78" s="218"/>
      <c r="R78" s="218"/>
      <c r="S78" s="218"/>
    </row>
    <row r="79" spans="1:19" ht="17.25" thickBot="1">
      <c r="A79" s="162" t="s">
        <v>51</v>
      </c>
      <c r="B79" s="126">
        <v>445</v>
      </c>
      <c r="C79" s="77">
        <v>-8.9086860000000007E-3</v>
      </c>
      <c r="D79" s="15">
        <v>446</v>
      </c>
      <c r="E79" s="32">
        <f t="shared" si="34"/>
        <v>2.2471910112359553E-3</v>
      </c>
      <c r="F79" s="18">
        <f>IF(ISNUMBER(D79), $B91 * E79, "")</f>
        <v>224.71910112359552</v>
      </c>
      <c r="G79" s="31">
        <v>445</v>
      </c>
      <c r="H79" s="32">
        <f t="shared" si="35"/>
        <v>0</v>
      </c>
      <c r="I79" s="101">
        <f>IF(ISNUMBER(G79), $B91 * H79, "")</f>
        <v>0</v>
      </c>
      <c r="J79" s="15">
        <v>442</v>
      </c>
      <c r="K79" s="32">
        <f t="shared" si="36"/>
        <v>-6.7415730337078653E-3</v>
      </c>
      <c r="L79" s="18">
        <f>IF(ISNUMBER(J79), $B91 * K79, "")</f>
        <v>-674.15730337078651</v>
      </c>
      <c r="M79" s="31">
        <v>443</v>
      </c>
      <c r="N79" s="32">
        <f t="shared" si="37"/>
        <v>-4.4943820224719105E-3</v>
      </c>
      <c r="O79" s="18">
        <f>IF(ISNUMBER(M79), $B91 * N79, "")</f>
        <v>-449.43820224719104</v>
      </c>
      <c r="Q79" s="33"/>
      <c r="R79" s="33"/>
    </row>
    <row r="80" spans="1:19" ht="17.25" thickBot="1">
      <c r="A80" s="130" t="s">
        <v>120</v>
      </c>
      <c r="B80" s="131">
        <v>141</v>
      </c>
      <c r="C80" s="79">
        <v>-1.3986014E-2</v>
      </c>
      <c r="D80" s="24">
        <v>140</v>
      </c>
      <c r="E80" s="25">
        <f t="shared" si="34"/>
        <v>-7.0921985815602835E-3</v>
      </c>
      <c r="F80" s="104">
        <f>IF(ISNUMBER(D80), $B91 * E80, "")</f>
        <v>-709.21985815602841</v>
      </c>
      <c r="G80" s="102">
        <v>140</v>
      </c>
      <c r="H80" s="25">
        <f t="shared" si="35"/>
        <v>-7.0921985815602835E-3</v>
      </c>
      <c r="I80" s="103">
        <f>IF(ISNUMBER(G80), $B91 * H80, "")</f>
        <v>-709.21985815602841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142</v>
      </c>
      <c r="N80" s="25">
        <f t="shared" si="37"/>
        <v>7.0921985815602835E-3</v>
      </c>
      <c r="O80" s="104">
        <f>IF(ISNUMBER(M80), $B91 * N80, "")</f>
        <v>709.21985815602841</v>
      </c>
      <c r="Q80" s="227"/>
      <c r="R80" s="228"/>
      <c r="S80" s="229"/>
    </row>
    <row r="81" spans="1:19">
      <c r="A81" s="161" t="s">
        <v>262</v>
      </c>
      <c r="B81" s="124">
        <v>620</v>
      </c>
      <c r="C81" s="76">
        <v>-1.43084261E-2</v>
      </c>
      <c r="D81" s="13">
        <v>626</v>
      </c>
      <c r="E81" s="14">
        <f>IF(ISNUMBER(D81), (D81 - $B81) / $B81, "")</f>
        <v>9.6774193548387101E-3</v>
      </c>
      <c r="F81" s="16">
        <f>IF(ISNUMBER(D81), $B91 * E81, "")</f>
        <v>967.74193548387098</v>
      </c>
      <c r="G81" s="29">
        <v>651</v>
      </c>
      <c r="H81" s="14">
        <f>IF(ISNUMBER(G81), (G81 - $B81) / $B81, "")</f>
        <v>0.05</v>
      </c>
      <c r="I81" s="100">
        <f>IF(ISNUMBER(G81), $B91 * H81, "")</f>
        <v>5000</v>
      </c>
      <c r="J81" s="13">
        <v>660</v>
      </c>
      <c r="K81" s="14">
        <f>IF(ISNUMBER(J81), (J81 - $B81) / $B81, "")</f>
        <v>6.4516129032258063E-2</v>
      </c>
      <c r="L81" s="16">
        <f>IF(ISNUMBER(J81), $B91 * K81, "")</f>
        <v>6451.6129032258059</v>
      </c>
      <c r="M81" s="29">
        <v>638</v>
      </c>
      <c r="N81" s="14">
        <f>IF(ISNUMBER(M81), (M81 - $B81) / $B81, "")</f>
        <v>2.903225806451613E-2</v>
      </c>
      <c r="O81" s="16">
        <f>IF(ISNUMBER(M81), $B91 * N81, "")</f>
        <v>2903.2258064516132</v>
      </c>
      <c r="Q81" s="230"/>
      <c r="R81" s="231"/>
      <c r="S81" s="232"/>
    </row>
    <row r="82" spans="1:19" ht="17.25" thickBot="1">
      <c r="A82" s="162" t="s">
        <v>246</v>
      </c>
      <c r="B82" s="126">
        <v>311</v>
      </c>
      <c r="C82" s="77">
        <v>-1.58227848E-2</v>
      </c>
      <c r="D82" s="15">
        <v>308</v>
      </c>
      <c r="E82" s="32">
        <f t="shared" ref="E82:E85" si="38">IF(ISNUMBER(D82), (D82 - $B82) / $B82, "")</f>
        <v>-9.6463022508038593E-3</v>
      </c>
      <c r="F82" s="18">
        <f>IF(ISNUMBER(D82), $B91 * E82, "")</f>
        <v>-964.63022508038591</v>
      </c>
      <c r="G82" s="31">
        <v>311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313</v>
      </c>
      <c r="K82" s="32">
        <f t="shared" ref="K82:K85" si="40">IF(ISNUMBER(J82), (J82 - $B82) / $B82, "")</f>
        <v>6.4308681672025723E-3</v>
      </c>
      <c r="L82" s="18">
        <f>IF(ISNUMBER(J82), $B91 * K82, "")</f>
        <v>643.08681672025727</v>
      </c>
      <c r="M82" s="31">
        <v>311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33"/>
      <c r="R82" s="234"/>
      <c r="S82" s="235"/>
    </row>
    <row r="83" spans="1:19" ht="17.25" thickBot="1">
      <c r="A83" s="162" t="s">
        <v>148</v>
      </c>
      <c r="B83" s="126">
        <v>117</v>
      </c>
      <c r="C83" s="77">
        <v>-1.6806722699999999E-2</v>
      </c>
      <c r="D83" s="15">
        <v>118</v>
      </c>
      <c r="E83" s="32">
        <f t="shared" si="38"/>
        <v>8.5470085470085479E-3</v>
      </c>
      <c r="F83" s="18">
        <f>IF(ISNUMBER(D83), $B91 * E83, "")</f>
        <v>854.70085470085473</v>
      </c>
      <c r="G83" s="31">
        <v>119</v>
      </c>
      <c r="H83" s="32">
        <f t="shared" si="39"/>
        <v>1.7094017094017096E-2</v>
      </c>
      <c r="I83" s="101">
        <f>IF(ISNUMBER(G83), $B91 * H83, "")</f>
        <v>1709.4017094017095</v>
      </c>
      <c r="J83" s="15">
        <v>122</v>
      </c>
      <c r="K83" s="32">
        <f t="shared" si="40"/>
        <v>4.2735042735042736E-2</v>
      </c>
      <c r="L83" s="18">
        <f>IF(ISNUMBER(J83), $B91 * K83, "")</f>
        <v>4273.5042735042734</v>
      </c>
      <c r="M83" s="31">
        <v>120</v>
      </c>
      <c r="N83" s="32">
        <f t="shared" si="41"/>
        <v>2.564102564102564E-2</v>
      </c>
      <c r="O83" s="18">
        <f>IF(ISNUMBER(M83), $B91 * N83, "")</f>
        <v>2564.102564102564</v>
      </c>
      <c r="Q83" s="218"/>
      <c r="R83" s="218"/>
      <c r="S83" s="218"/>
    </row>
    <row r="84" spans="1:19" ht="17.25" thickBot="1">
      <c r="A84" s="162" t="s">
        <v>282</v>
      </c>
      <c r="B84" s="126">
        <v>108</v>
      </c>
      <c r="C84" s="77">
        <v>-1.8181818200000002E-2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111</v>
      </c>
      <c r="H84" s="32">
        <f t="shared" si="39"/>
        <v>2.7777777777777776E-2</v>
      </c>
      <c r="I84" s="101">
        <f>IF(ISNUMBER(G84), $B91 * H84, "")</f>
        <v>2777.7777777777778</v>
      </c>
      <c r="J84" s="15">
        <v>110</v>
      </c>
      <c r="K84" s="32">
        <f t="shared" si="40"/>
        <v>1.8518518518518517E-2</v>
      </c>
      <c r="L84" s="18">
        <f>IF(ISNUMBER(J84), $B91 * K84, "")</f>
        <v>1851.8518518518517</v>
      </c>
      <c r="M84" s="31">
        <v>110</v>
      </c>
      <c r="N84" s="32">
        <f t="shared" si="41"/>
        <v>1.8518518518518517E-2</v>
      </c>
      <c r="O84" s="18">
        <f>IF(ISNUMBER(M84), $B91 * N84, "")</f>
        <v>1851.8518518518517</v>
      </c>
      <c r="Q84" s="213"/>
      <c r="R84" s="213"/>
      <c r="S84" s="213"/>
    </row>
    <row r="85" spans="1:19" ht="17.25" thickBot="1">
      <c r="A85" s="163" t="s">
        <v>202</v>
      </c>
      <c r="B85" s="128">
        <v>123</v>
      </c>
      <c r="C85" s="78">
        <v>-2.3809523799999999E-2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129</v>
      </c>
      <c r="H85" s="21">
        <f t="shared" si="39"/>
        <v>4.878048780487805E-2</v>
      </c>
      <c r="I85" s="105">
        <f>IF(ISNUMBER(G85), $B91 * H85, "")</f>
        <v>4878.0487804878048</v>
      </c>
      <c r="J85" s="20">
        <v>130</v>
      </c>
      <c r="K85" s="21">
        <f t="shared" si="40"/>
        <v>5.6910569105691054E-2</v>
      </c>
      <c r="L85" s="22">
        <f>IF(ISNUMBER(J85), $B91 * K85, "")</f>
        <v>5691.0569105691056</v>
      </c>
      <c r="M85" s="30">
        <v>129</v>
      </c>
      <c r="N85" s="21">
        <f t="shared" si="41"/>
        <v>4.878048780487805E-2</v>
      </c>
      <c r="O85" s="22">
        <f>IF(ISNUMBER(M85), $B91 * N85, "")</f>
        <v>4878.0487804878048</v>
      </c>
      <c r="Q85" s="213"/>
      <c r="R85" s="213"/>
      <c r="S85" s="213"/>
    </row>
    <row r="86" spans="1:19" ht="17.25" thickBot="1">
      <c r="A86" s="162" t="s">
        <v>216</v>
      </c>
      <c r="B86" s="129">
        <v>275</v>
      </c>
      <c r="C86" s="80">
        <v>-2.4822694999999999E-2</v>
      </c>
      <c r="D86" s="106">
        <v>274</v>
      </c>
      <c r="E86" s="107">
        <f>IF(ISNUMBER(D86), (D86 - $B86) / $B86, "")</f>
        <v>-3.6363636363636364E-3</v>
      </c>
      <c r="F86" s="108">
        <f>IF(ISNUMBER(D86), $B91 * E86, "")</f>
        <v>-363.63636363636363</v>
      </c>
      <c r="G86" s="109">
        <v>277</v>
      </c>
      <c r="H86" s="107">
        <f>IF(ISNUMBER(G86), (G86 - $B86) / $B86, "")</f>
        <v>7.2727272727272727E-3</v>
      </c>
      <c r="I86" s="110">
        <f>IF(ISNUMBER(G86), $B91 * H86, "")</f>
        <v>727.27272727272725</v>
      </c>
      <c r="J86" s="106">
        <v>281</v>
      </c>
      <c r="K86" s="107">
        <f>IF(ISNUMBER(J86), (J86 - $B86) / $B86, "")</f>
        <v>2.181818181818182E-2</v>
      </c>
      <c r="L86" s="108">
        <f>IF(ISNUMBER(J86), $B91 * K86, "")</f>
        <v>2181.818181818182</v>
      </c>
      <c r="M86" s="109">
        <v>279</v>
      </c>
      <c r="N86" s="107">
        <f>IF(ISNUMBER(M86), (M86 - $B86) / $B86, "")</f>
        <v>1.4545454545454545E-2</v>
      </c>
      <c r="O86" s="108">
        <f>IF(ISNUMBER(M86), $B91 * N86, "")</f>
        <v>1454.5454545454545</v>
      </c>
      <c r="Q86" s="218"/>
      <c r="R86" s="218"/>
      <c r="S86" s="218"/>
    </row>
    <row r="87" spans="1:19" ht="17.25" thickBot="1">
      <c r="A87" s="162" t="s">
        <v>88</v>
      </c>
      <c r="B87" s="126">
        <v>307</v>
      </c>
      <c r="C87" s="77">
        <v>-2.53968254E-2</v>
      </c>
      <c r="D87" s="15">
        <v>307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309</v>
      </c>
      <c r="H87" s="32">
        <f t="shared" ref="H87:H90" si="43">IF(ISNUMBER(G87), (G87 - $B87) / $B87, "")</f>
        <v>6.5146579804560263E-3</v>
      </c>
      <c r="I87" s="101">
        <f>IF(ISNUMBER(G87), $B91 * H87, "")</f>
        <v>651.46579804560258</v>
      </c>
      <c r="J87" s="15">
        <v>311</v>
      </c>
      <c r="K87" s="32">
        <f t="shared" ref="K87:K90" si="44">IF(ISNUMBER(J87), (J87 - $B87) / $B87, "")</f>
        <v>1.3029315960912053E-2</v>
      </c>
      <c r="L87" s="18">
        <f>IF(ISNUMBER(J87), $B91 * K87, "")</f>
        <v>1302.9315960912052</v>
      </c>
      <c r="M87" s="31">
        <v>310</v>
      </c>
      <c r="N87" s="32">
        <f t="shared" ref="N87:N90" si="45">IF(ISNUMBER(M87), (M87 - $B87) / $B87, "")</f>
        <v>9.7719869706840382E-3</v>
      </c>
      <c r="O87" s="18">
        <f>IF(ISNUMBER(M87), $B91 * N87, "")</f>
        <v>977.19869706840382</v>
      </c>
      <c r="Q87" s="218"/>
      <c r="R87" s="218"/>
      <c r="S87" s="218"/>
    </row>
    <row r="88" spans="1:19" ht="17.25" thickBot="1">
      <c r="A88" s="162" t="s">
        <v>230</v>
      </c>
      <c r="B88" s="126">
        <v>111</v>
      </c>
      <c r="C88" s="77">
        <v>-2.6315789499999999E-2</v>
      </c>
      <c r="D88" s="15">
        <v>112</v>
      </c>
      <c r="E88" s="32">
        <f t="shared" si="42"/>
        <v>9.0090090090090089E-3</v>
      </c>
      <c r="F88" s="18">
        <f>IF(ISNUMBER(D88), $B91 * E88, "")</f>
        <v>900.90090090090087</v>
      </c>
      <c r="G88" s="31">
        <v>114</v>
      </c>
      <c r="H88" s="32">
        <f t="shared" si="43"/>
        <v>2.7027027027027029E-2</v>
      </c>
      <c r="I88" s="101">
        <f>IF(ISNUMBER(G88), $B91 * H88, "")</f>
        <v>2702.7027027027029</v>
      </c>
      <c r="J88" s="15">
        <v>114</v>
      </c>
      <c r="K88" s="32">
        <f t="shared" si="44"/>
        <v>2.7027027027027029E-2</v>
      </c>
      <c r="L88" s="18">
        <f>IF(ISNUMBER(J88), $B91 * K88, "")</f>
        <v>2702.7027027027029</v>
      </c>
      <c r="M88" s="31">
        <v>114</v>
      </c>
      <c r="N88" s="32">
        <f t="shared" si="45"/>
        <v>2.7027027027027029E-2</v>
      </c>
      <c r="O88" s="18">
        <f>IF(ISNUMBER(M88), $B91 * N88, "")</f>
        <v>2702.7027027027029</v>
      </c>
      <c r="Q88" s="218"/>
      <c r="R88" s="218"/>
      <c r="S88" s="218"/>
    </row>
    <row r="89" spans="1:19">
      <c r="A89" s="162" t="s">
        <v>174</v>
      </c>
      <c r="B89" s="126">
        <v>184</v>
      </c>
      <c r="C89" s="77">
        <v>-2.6455026499999999E-2</v>
      </c>
      <c r="D89" s="15">
        <v>185</v>
      </c>
      <c r="E89" s="32">
        <f t="shared" si="42"/>
        <v>5.434782608695652E-3</v>
      </c>
      <c r="F89" s="18">
        <f>IF(ISNUMBER(D89), $B91 * E89, "")</f>
        <v>543.47826086956525</v>
      </c>
      <c r="G89" s="31">
        <v>187</v>
      </c>
      <c r="H89" s="32">
        <f t="shared" si="43"/>
        <v>1.6304347826086956E-2</v>
      </c>
      <c r="I89" s="101">
        <f>IF(ISNUMBER(G89), $B91 * H89, "")</f>
        <v>1630.4347826086955</v>
      </c>
      <c r="J89" s="15">
        <v>186</v>
      </c>
      <c r="K89" s="32">
        <f t="shared" si="44"/>
        <v>1.0869565217391304E-2</v>
      </c>
      <c r="L89" s="18">
        <f>IF(ISNUMBER(J89), $B91 * K89, "")</f>
        <v>1086.9565217391305</v>
      </c>
      <c r="M89" s="31">
        <v>190</v>
      </c>
      <c r="N89" s="32">
        <f t="shared" si="45"/>
        <v>3.2608695652173912E-2</v>
      </c>
      <c r="O89" s="18">
        <f>IF(ISNUMBER(M89), $B91 * N89, "")</f>
        <v>3260.869565217391</v>
      </c>
      <c r="Q89" s="240"/>
      <c r="R89" s="241"/>
      <c r="S89" s="242"/>
    </row>
    <row r="90" spans="1:19" ht="17.25" thickBot="1">
      <c r="A90" s="130" t="s">
        <v>238</v>
      </c>
      <c r="B90" s="131">
        <v>183</v>
      </c>
      <c r="C90" s="79">
        <v>-2.65957447E-2</v>
      </c>
      <c r="D90" s="24">
        <v>184</v>
      </c>
      <c r="E90" s="25">
        <f t="shared" si="42"/>
        <v>5.4644808743169399E-3</v>
      </c>
      <c r="F90" s="104">
        <f>IF(ISNUMBER(D90), $B91 * E90, "")</f>
        <v>546.44808743169403</v>
      </c>
      <c r="G90" s="102">
        <v>187</v>
      </c>
      <c r="H90" s="25">
        <f t="shared" si="43"/>
        <v>2.185792349726776E-2</v>
      </c>
      <c r="I90" s="103">
        <f>IF(ISNUMBER(G90), $B91 * H90, "")</f>
        <v>2185.7923497267761</v>
      </c>
      <c r="J90" s="24">
        <v>187</v>
      </c>
      <c r="K90" s="25">
        <f t="shared" si="44"/>
        <v>2.185792349726776E-2</v>
      </c>
      <c r="L90" s="104">
        <f>IF(ISNUMBER(J90), $B91 * K90, "")</f>
        <v>2185.7923497267761</v>
      </c>
      <c r="M90" s="102">
        <v>186</v>
      </c>
      <c r="N90" s="25">
        <f t="shared" si="45"/>
        <v>1.6393442622950821E-2</v>
      </c>
      <c r="O90" s="104">
        <f>IF(ISNUMBER(M90), $B91 * N90, "")</f>
        <v>1639.344262295082</v>
      </c>
      <c r="Q90" s="243"/>
      <c r="R90" s="244"/>
      <c r="S90" s="245"/>
    </row>
    <row r="91" spans="1:19" ht="17.25" thickBot="1">
      <c r="A91" s="132" t="s">
        <v>300</v>
      </c>
      <c r="B91" s="251">
        <f>$B$37</f>
        <v>100000</v>
      </c>
      <c r="C91" s="252"/>
      <c r="D91" s="26" t="s">
        <v>301</v>
      </c>
      <c r="E91" s="27">
        <f>IF(COUNT(E71:E90), SUM(E71:E90) / COUNT(E71:E90), 0)</f>
        <v>1.8301830622833918E-3</v>
      </c>
      <c r="F91" s="28">
        <f>SUM(F71:F90)</f>
        <v>3660.3661245667836</v>
      </c>
      <c r="G91" s="26" t="s">
        <v>301</v>
      </c>
      <c r="H91" s="27">
        <f>IF(COUNT(H71:H90), SUM(H71:H90) / COUNT(H71:H90), 0)</f>
        <v>5.6796177171303973E-3</v>
      </c>
      <c r="I91" s="28">
        <f>SUM(I71:I90)</f>
        <v>11359.235434260798</v>
      </c>
      <c r="J91" s="26" t="s">
        <v>301</v>
      </c>
      <c r="K91" s="27">
        <f>IF(COUNT(K71:K90), SUM(K71:K90) / COUNT(K71:K90), 0)</f>
        <v>8.9707291132404034E-3</v>
      </c>
      <c r="L91" s="28">
        <f>SUM(L71:L90)</f>
        <v>17941.458226480809</v>
      </c>
      <c r="M91" s="26" t="s">
        <v>301</v>
      </c>
      <c r="N91" s="27">
        <f>IF(COUNT(N71:N90), SUM(N71:N90) / COUNT(N71:N90), 0)</f>
        <v>6.4065985974526797E-3</v>
      </c>
      <c r="O91" s="28">
        <f>SUM(O71:O90)</f>
        <v>12813.197194905359</v>
      </c>
      <c r="Q91" s="246"/>
      <c r="R91" s="247"/>
      <c r="S91" s="248"/>
    </row>
    <row r="93" spans="1:19" ht="17.25" thickBot="1"/>
    <row r="94" spans="1:19" ht="17.25" thickBot="1">
      <c r="A94" s="192" t="s">
        <v>46</v>
      </c>
      <c r="B94" s="193"/>
      <c r="C94" s="193"/>
      <c r="D94" s="193"/>
      <c r="E94" s="193"/>
      <c r="F94" s="193"/>
      <c r="G94" s="193"/>
      <c r="H94" s="193"/>
      <c r="I94" s="193"/>
      <c r="J94" s="193"/>
      <c r="K94" s="193"/>
      <c r="L94" s="193"/>
      <c r="M94" s="193"/>
      <c r="N94" s="193"/>
      <c r="O94" s="194"/>
      <c r="Q94" s="213"/>
      <c r="R94" s="213"/>
      <c r="S94" s="213"/>
    </row>
    <row r="95" spans="1:19" ht="17.25" thickBot="1">
      <c r="A95" s="180" t="s">
        <v>297</v>
      </c>
      <c r="B95" s="192" t="s">
        <v>49</v>
      </c>
      <c r="C95" s="194"/>
      <c r="D95" s="192" t="s">
        <v>58</v>
      </c>
      <c r="E95" s="193"/>
      <c r="F95" s="194"/>
      <c r="G95" s="219">
        <f>_xlfn.IFNA(VLOOKUP(B95, 현재가테이블!$B$2:$D$200, 2, FALSE), "-")</f>
        <v>38300000</v>
      </c>
      <c r="H95" s="220"/>
      <c r="I95" s="221"/>
      <c r="J95" s="192" t="s">
        <v>59</v>
      </c>
      <c r="K95" s="193"/>
      <c r="L95" s="194"/>
      <c r="M95" s="222">
        <f>_xlfn.IFNA(VLOOKUP(B95, 현재가테이블!$B$2:$D$200, 3, FALSE), "-")</f>
        <v>-1.9557649E-2</v>
      </c>
      <c r="N95" s="223"/>
      <c r="O95" s="224"/>
      <c r="Q95" s="213"/>
      <c r="R95" s="213"/>
      <c r="S95" s="213"/>
    </row>
    <row r="96" spans="1:19" ht="17.25" thickBot="1">
      <c r="A96" s="253" t="s">
        <v>55</v>
      </c>
      <c r="B96" s="255" t="str">
        <f>TEXT($G$1, "[$-ko-KR]yyyy-mm-dd(ddd) ") &amp; "오전 00:00"</f>
        <v>2021-06-06(일) 오전 00:00</v>
      </c>
      <c r="C96" s="256"/>
      <c r="D96" s="215" t="str">
        <f>TEXT($G$1, "[$-ko-KR]yyyy-mm-dd(ddd) ") &amp; "오후 14:00"</f>
        <v>2021-06-06(일) 오후 14:00</v>
      </c>
      <c r="E96" s="216"/>
      <c r="F96" s="217"/>
      <c r="G96" s="215" t="str">
        <f>TEXT($G$1, "[$-ko-KR]yyyy-mm-dd(ddd) ") &amp; "오후 19:00"</f>
        <v>2021-06-06(일) 오후 19:00</v>
      </c>
      <c r="H96" s="216"/>
      <c r="I96" s="217"/>
      <c r="J96" s="215" t="str">
        <f>TEXT($G$1, "[$-ko-KR]yyyy-mm-dd(ddd) ") &amp; "오후 21:00"</f>
        <v>2021-06-06(일) 오후 21:00</v>
      </c>
      <c r="K96" s="216"/>
      <c r="L96" s="217"/>
      <c r="M96" s="215" t="str">
        <f>TEXT($G$1+1, "[$-ko-KR]yyyy-mm-dd(ddd) ") &amp; "오전 00:00"</f>
        <v>2021-06-07(월) 오전 00:00</v>
      </c>
      <c r="N96" s="216"/>
      <c r="O96" s="217"/>
      <c r="Q96" s="213"/>
      <c r="R96" s="213"/>
      <c r="S96" s="213"/>
    </row>
    <row r="97" spans="1:19" ht="17.25" thickBot="1">
      <c r="A97" s="25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1" t="s">
        <v>58</v>
      </c>
      <c r="H97" s="182" t="s">
        <v>298</v>
      </c>
      <c r="I97" s="18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8"/>
      <c r="R97" s="218"/>
      <c r="S97" s="218"/>
    </row>
    <row r="98" spans="1:19" ht="17.25" thickBot="1">
      <c r="A98" s="161" t="s">
        <v>186</v>
      </c>
      <c r="B98" s="124">
        <v>19.899999999999999</v>
      </c>
      <c r="C98" s="76">
        <v>8.1521739100000004E-2</v>
      </c>
      <c r="D98" s="13">
        <v>25.4</v>
      </c>
      <c r="E98" s="14">
        <f>IF(ISNUMBER(D98), (D98 - $B98) / $B98, "")</f>
        <v>0.27638190954773872</v>
      </c>
      <c r="F98" s="16">
        <f>IF(ISNUMBER(D98), $B118 * E98, "")</f>
        <v>27638.190954773872</v>
      </c>
      <c r="G98" s="29">
        <v>22.9</v>
      </c>
      <c r="H98" s="14">
        <f>IF(ISNUMBER(G98), (G98 - $B98) / $B98, "")</f>
        <v>0.15075376884422112</v>
      </c>
      <c r="I98" s="100">
        <f>IF(ISNUMBER(G98), $B118 * H98, "")</f>
        <v>15075.376884422112</v>
      </c>
      <c r="J98" s="13">
        <v>21.3</v>
      </c>
      <c r="K98" s="14">
        <f>IF(ISNUMBER(J98), (J98 - $B98) / $B98, "")</f>
        <v>7.035175879396996E-2</v>
      </c>
      <c r="L98" s="16">
        <f>IF(ISNUMBER(J98), $B118 * K98, "")</f>
        <v>7035.1758793969957</v>
      </c>
      <c r="M98" s="29">
        <v>21.3</v>
      </c>
      <c r="N98" s="14">
        <f>IF(ISNUMBER(M98), (M98 - $B98) / $B98, "")</f>
        <v>7.035175879396996E-2</v>
      </c>
      <c r="O98" s="16">
        <f>IF(ISNUMBER(M98), $B118 * N98, "")</f>
        <v>7035.1758793969957</v>
      </c>
      <c r="Q98" s="213"/>
      <c r="R98" s="213"/>
      <c r="S98" s="213"/>
    </row>
    <row r="99" spans="1:19" ht="17.25" thickBot="1">
      <c r="A99" s="162" t="s">
        <v>142</v>
      </c>
      <c r="B99" s="126">
        <v>525</v>
      </c>
      <c r="C99" s="77">
        <v>8.0246913599999997E-2</v>
      </c>
      <c r="D99" s="15">
        <v>521</v>
      </c>
      <c r="E99" s="32">
        <f t="shared" ref="E99:E102" si="46">IF(ISNUMBER(D99), (D99 - $B99) / $B99, "")</f>
        <v>-7.619047619047619E-3</v>
      </c>
      <c r="F99" s="18">
        <f>IF(ISNUMBER(D99), $B118 * E99, "")</f>
        <v>-761.90476190476193</v>
      </c>
      <c r="G99" s="31">
        <v>495</v>
      </c>
      <c r="H99" s="32">
        <f t="shared" ref="H99:H102" si="47">IF(ISNUMBER(G99), (G99 - $B99) / $B99, "")</f>
        <v>-5.7142857142857141E-2</v>
      </c>
      <c r="I99" s="101">
        <f>IF(ISNUMBER(G99), $B118 * H99, "")</f>
        <v>-5714.2857142857138</v>
      </c>
      <c r="J99" s="15">
        <v>496</v>
      </c>
      <c r="K99" s="32">
        <f t="shared" ref="K99:K102" si="48">IF(ISNUMBER(J99), (J99 - $B99) / $B99, "")</f>
        <v>-5.5238095238095239E-2</v>
      </c>
      <c r="L99" s="18">
        <f>IF(ISNUMBER(J99), $B118 * K99, "")</f>
        <v>-5523.8095238095239</v>
      </c>
      <c r="M99" s="31">
        <v>491</v>
      </c>
      <c r="N99" s="32">
        <f t="shared" ref="N99:N102" si="49">IF(ISNUMBER(M99), (M99 - $B99) / $B99, "")</f>
        <v>-6.4761904761904757E-2</v>
      </c>
      <c r="O99" s="18">
        <f>IF(ISNUMBER(M99), $B118 * N99, "")</f>
        <v>-6476.1904761904752</v>
      </c>
      <c r="Q99" s="213"/>
      <c r="R99" s="213"/>
      <c r="S99" s="213"/>
    </row>
    <row r="100" spans="1:19" ht="17.25" thickBot="1">
      <c r="A100" s="162" t="s">
        <v>134</v>
      </c>
      <c r="B100" s="126">
        <v>100</v>
      </c>
      <c r="C100" s="77">
        <v>6.9518716600000002E-2</v>
      </c>
      <c r="D100" s="15">
        <v>98.7</v>
      </c>
      <c r="E100" s="32">
        <f t="shared" si="46"/>
        <v>-1.2999999999999972E-2</v>
      </c>
      <c r="F100" s="18">
        <f>IF(ISNUMBER(D100), $B118 * E100, "")</f>
        <v>-1299.9999999999973</v>
      </c>
      <c r="G100" s="31">
        <v>100</v>
      </c>
      <c r="H100" s="32">
        <f t="shared" si="47"/>
        <v>0</v>
      </c>
      <c r="I100" s="101">
        <f>IF(ISNUMBER(G100), $B118 * H100, "")</f>
        <v>0</v>
      </c>
      <c r="J100" s="15">
        <v>99.7</v>
      </c>
      <c r="K100" s="32">
        <f t="shared" si="48"/>
        <v>-2.9999999999999714E-3</v>
      </c>
      <c r="L100" s="18">
        <f>IF(ISNUMBER(J100), $B118 * K100, "")</f>
        <v>-299.99999999999716</v>
      </c>
      <c r="M100" s="31">
        <v>101</v>
      </c>
      <c r="N100" s="32">
        <f t="shared" si="49"/>
        <v>0.01</v>
      </c>
      <c r="O100" s="18">
        <f>IF(ISNUMBER(M100), $B118 * N100, "")</f>
        <v>1000</v>
      </c>
      <c r="Q100" s="218"/>
      <c r="R100" s="218"/>
      <c r="S100" s="218"/>
    </row>
    <row r="101" spans="1:19" ht="17.25" thickBot="1">
      <c r="A101" s="162" t="s">
        <v>112</v>
      </c>
      <c r="B101" s="126">
        <v>202</v>
      </c>
      <c r="C101" s="77">
        <v>4.6632124400000002E-2</v>
      </c>
      <c r="D101" s="15">
        <v>203</v>
      </c>
      <c r="E101" s="32">
        <f t="shared" si="46"/>
        <v>4.9504950495049506E-3</v>
      </c>
      <c r="F101" s="18">
        <f>IF(ISNUMBER(D101), $B118 * E101, "")</f>
        <v>495.04950495049508</v>
      </c>
      <c r="G101" s="31">
        <v>194</v>
      </c>
      <c r="H101" s="32">
        <f t="shared" si="47"/>
        <v>-3.9603960396039604E-2</v>
      </c>
      <c r="I101" s="101">
        <f>IF(ISNUMBER(G101), $B118 * H101, "")</f>
        <v>-3960.3960396039606</v>
      </c>
      <c r="J101" s="15">
        <v>192</v>
      </c>
      <c r="K101" s="32">
        <f t="shared" si="48"/>
        <v>-4.9504950495049507E-2</v>
      </c>
      <c r="L101" s="18">
        <f>IF(ISNUMBER(J101), $B118 * K101, "")</f>
        <v>-4950.4950495049507</v>
      </c>
      <c r="M101" s="31">
        <v>191</v>
      </c>
      <c r="N101" s="32">
        <f t="shared" si="49"/>
        <v>-5.4455445544554455E-2</v>
      </c>
      <c r="O101" s="18">
        <f>IF(ISNUMBER(M101), $B118 * N101, "")</f>
        <v>-5445.5445544554459</v>
      </c>
      <c r="Q101" s="218"/>
      <c r="R101" s="218"/>
      <c r="S101" s="218"/>
    </row>
    <row r="102" spans="1:19" ht="17.25" thickBot="1">
      <c r="A102" s="163" t="s">
        <v>114</v>
      </c>
      <c r="B102" s="128">
        <v>10760</v>
      </c>
      <c r="C102" s="78">
        <v>4.4660194200000003E-2</v>
      </c>
      <c r="D102" s="20">
        <v>10640</v>
      </c>
      <c r="E102" s="21">
        <f t="shared" si="46"/>
        <v>-1.1152416356877323E-2</v>
      </c>
      <c r="F102" s="22">
        <f>IF(ISNUMBER(D102), $B118 * E102, "")</f>
        <v>-1115.2416356877322</v>
      </c>
      <c r="G102" s="30">
        <v>10400</v>
      </c>
      <c r="H102" s="21">
        <f t="shared" si="47"/>
        <v>-3.3457249070631967E-2</v>
      </c>
      <c r="I102" s="105">
        <f>IF(ISNUMBER(G102), $B118 * H102, "")</f>
        <v>-3345.7249070631965</v>
      </c>
      <c r="J102" s="20">
        <v>10280</v>
      </c>
      <c r="K102" s="21">
        <f t="shared" si="48"/>
        <v>-4.4609665427509292E-2</v>
      </c>
      <c r="L102" s="22">
        <f>IF(ISNUMBER(J102), $B118 * K102, "")</f>
        <v>-4460.966542750929</v>
      </c>
      <c r="M102" s="30">
        <v>10410</v>
      </c>
      <c r="N102" s="21">
        <f t="shared" si="49"/>
        <v>-3.2527881040892194E-2</v>
      </c>
      <c r="O102" s="22">
        <f>IF(ISNUMBER(M102), $B118 * N102, "")</f>
        <v>-3252.7881040892194</v>
      </c>
      <c r="Q102" s="218"/>
      <c r="R102" s="218"/>
      <c r="S102" s="218"/>
    </row>
    <row r="103" spans="1:19" ht="17.25" thickBot="1">
      <c r="A103" s="162" t="s">
        <v>118</v>
      </c>
      <c r="B103" s="129">
        <v>5610</v>
      </c>
      <c r="C103" s="80">
        <v>3.6011080299999998E-2</v>
      </c>
      <c r="D103" s="106">
        <v>5520</v>
      </c>
      <c r="E103" s="107">
        <f>IF(ISNUMBER(D103), (D103 - $B103) / $B103, "")</f>
        <v>-1.6042780748663103E-2</v>
      </c>
      <c r="F103" s="108">
        <f>IF(ISNUMBER(D103), $B118 * E103, "")</f>
        <v>-1604.2780748663104</v>
      </c>
      <c r="G103" s="109">
        <v>5405</v>
      </c>
      <c r="H103" s="107">
        <f>IF(ISNUMBER(G103), (G103 - $B103) / $B103, "")</f>
        <v>-3.6541889483065956E-2</v>
      </c>
      <c r="I103" s="110">
        <f>IF(ISNUMBER(G103), $B118 * H103, "")</f>
        <v>-3654.1889483065956</v>
      </c>
      <c r="J103" s="106">
        <v>5340</v>
      </c>
      <c r="K103" s="107">
        <f>IF(ISNUMBER(J103), (J103 - $B103) / $B103, "")</f>
        <v>-4.8128342245989303E-2</v>
      </c>
      <c r="L103" s="108">
        <f>IF(ISNUMBER(J103), $B118 * K103, "")</f>
        <v>-4812.8342245989306</v>
      </c>
      <c r="M103" s="109">
        <v>5390</v>
      </c>
      <c r="N103" s="107">
        <f>IF(ISNUMBER(M103), (M103 - $B103) / $B103, "")</f>
        <v>-3.9215686274509803E-2</v>
      </c>
      <c r="O103" s="108">
        <f>IF(ISNUMBER(M103), $B118 * N103, "")</f>
        <v>-3921.5686274509803</v>
      </c>
      <c r="Q103" s="218"/>
      <c r="R103" s="218"/>
      <c r="S103" s="218"/>
    </row>
    <row r="104" spans="1:19" ht="17.25" thickBot="1">
      <c r="A104" s="162" t="s">
        <v>164</v>
      </c>
      <c r="B104" s="126">
        <v>16650</v>
      </c>
      <c r="C104" s="77">
        <v>3.0321782200000001E-2</v>
      </c>
      <c r="D104" s="15">
        <v>16980</v>
      </c>
      <c r="E104" s="32">
        <f t="shared" ref="E104:E107" si="50">IF(ISNUMBER(D104), (D104 - $B104) / $B104, "")</f>
        <v>1.9819819819819819E-2</v>
      </c>
      <c r="F104" s="18">
        <f>IF(ISNUMBER(D104), $B118 * E104, "")</f>
        <v>1981.9819819819818</v>
      </c>
      <c r="G104" s="31">
        <v>18420</v>
      </c>
      <c r="H104" s="32">
        <f t="shared" ref="H104:H107" si="51">IF(ISNUMBER(G104), (G104 - $B104) / $B104, "")</f>
        <v>0.1063063063063063</v>
      </c>
      <c r="I104" s="101">
        <f>IF(ISNUMBER(G104), $B118 * H104, "")</f>
        <v>10630.630630630631</v>
      </c>
      <c r="J104" s="15">
        <v>18200</v>
      </c>
      <c r="K104" s="32">
        <f t="shared" ref="K104:K107" si="52">IF(ISNUMBER(J104), (J104 - $B104) / $B104, "")</f>
        <v>9.3093093093093091E-2</v>
      </c>
      <c r="L104" s="18">
        <f>IF(ISNUMBER(J104), $B118 * K104, "")</f>
        <v>9309.3093093093084</v>
      </c>
      <c r="M104" s="31">
        <v>18940</v>
      </c>
      <c r="N104" s="32">
        <f t="shared" ref="N104:N107" si="53">IF(ISNUMBER(M104), (M104 - $B104) / $B104, "")</f>
        <v>0.13753753753753753</v>
      </c>
      <c r="O104" s="18">
        <f>IF(ISNUMBER(M104), $B118 * N104, "")</f>
        <v>13753.753753753754</v>
      </c>
      <c r="Q104" s="218"/>
      <c r="R104" s="218"/>
      <c r="S104" s="218"/>
    </row>
    <row r="105" spans="1:19" ht="17.25" thickBot="1">
      <c r="A105" s="162" t="s">
        <v>152</v>
      </c>
      <c r="B105" s="126">
        <v>22</v>
      </c>
      <c r="C105" s="77">
        <v>2.3255814E-2</v>
      </c>
      <c r="D105" s="15">
        <v>21.3</v>
      </c>
      <c r="E105" s="32">
        <f t="shared" si="50"/>
        <v>-3.1818181818181787E-2</v>
      </c>
      <c r="F105" s="18">
        <f>IF(ISNUMBER(D105), $B118 * E105, "")</f>
        <v>-3181.8181818181788</v>
      </c>
      <c r="G105" s="31">
        <v>21.9</v>
      </c>
      <c r="H105" s="32">
        <f t="shared" si="51"/>
        <v>-4.5454545454546103E-3</v>
      </c>
      <c r="I105" s="101">
        <f>IF(ISNUMBER(G105), $B118 * H105, "")</f>
        <v>-454.54545454546104</v>
      </c>
      <c r="J105" s="15">
        <v>21.8</v>
      </c>
      <c r="K105" s="32">
        <f t="shared" si="52"/>
        <v>-9.0909090909090592E-3</v>
      </c>
      <c r="L105" s="18">
        <f>IF(ISNUMBER(J105), $B118 * K105, "")</f>
        <v>-909.09090909090594</v>
      </c>
      <c r="M105" s="31">
        <v>21.8</v>
      </c>
      <c r="N105" s="32">
        <f t="shared" si="53"/>
        <v>-9.0909090909090592E-3</v>
      </c>
      <c r="O105" s="18">
        <f>IF(ISNUMBER(M105), $B118 * N105, "")</f>
        <v>-909.09090909090594</v>
      </c>
      <c r="Q105" s="218"/>
      <c r="R105" s="218"/>
      <c r="S105" s="218"/>
    </row>
    <row r="106" spans="1:19" ht="17.25" thickBot="1">
      <c r="A106" s="162" t="s">
        <v>172</v>
      </c>
      <c r="B106" s="126">
        <v>15.2</v>
      </c>
      <c r="C106" s="77">
        <v>1.33333333E-2</v>
      </c>
      <c r="D106" s="15">
        <v>15.2</v>
      </c>
      <c r="E106" s="32">
        <f t="shared" si="50"/>
        <v>0</v>
      </c>
      <c r="F106" s="18">
        <f>IF(ISNUMBER(D106), $B118 * E106, "")</f>
        <v>0</v>
      </c>
      <c r="G106" s="31">
        <v>15.5</v>
      </c>
      <c r="H106" s="32">
        <f t="shared" si="51"/>
        <v>1.9736842105263205E-2</v>
      </c>
      <c r="I106" s="101">
        <f>IF(ISNUMBER(G106), $B118 * H106, "")</f>
        <v>1973.6842105263206</v>
      </c>
      <c r="J106" s="15">
        <v>15.5</v>
      </c>
      <c r="K106" s="32">
        <f t="shared" si="52"/>
        <v>1.9736842105263205E-2</v>
      </c>
      <c r="L106" s="18">
        <f>IF(ISNUMBER(J106), $B118 * K106, "")</f>
        <v>1973.6842105263206</v>
      </c>
      <c r="M106" s="31">
        <v>15.3</v>
      </c>
      <c r="N106" s="32">
        <f t="shared" si="53"/>
        <v>6.5789473684211468E-3</v>
      </c>
      <c r="O106" s="18">
        <f>IF(ISNUMBER(M106), $B118 * N106, "")</f>
        <v>657.89473684211464</v>
      </c>
      <c r="Q106" s="33"/>
      <c r="R106" s="33"/>
    </row>
    <row r="107" spans="1:19" ht="17.25" thickBot="1">
      <c r="A107" s="130" t="s">
        <v>74</v>
      </c>
      <c r="B107" s="131">
        <v>17790</v>
      </c>
      <c r="C107" s="79">
        <v>1.1945392500000001E-2</v>
      </c>
      <c r="D107" s="24">
        <v>17310</v>
      </c>
      <c r="E107" s="25">
        <f t="shared" si="50"/>
        <v>-2.6981450252951095E-2</v>
      </c>
      <c r="F107" s="104">
        <f>IF(ISNUMBER(D107), $B118 * E107, "")</f>
        <v>-2698.1450252951095</v>
      </c>
      <c r="G107" s="102">
        <v>17510</v>
      </c>
      <c r="H107" s="25">
        <f t="shared" si="51"/>
        <v>-1.5739179314221474E-2</v>
      </c>
      <c r="I107" s="103">
        <f>IF(ISNUMBER(G107), $B118 * H107, "")</f>
        <v>-1573.9179314221474</v>
      </c>
      <c r="J107" s="24">
        <v>17250</v>
      </c>
      <c r="K107" s="25">
        <f t="shared" si="52"/>
        <v>-3.0354131534569982E-2</v>
      </c>
      <c r="L107" s="104">
        <f>IF(ISNUMBER(J107), $B118 * K107, "")</f>
        <v>-3035.4131534569983</v>
      </c>
      <c r="M107" s="102">
        <v>17270</v>
      </c>
      <c r="N107" s="25">
        <f t="shared" si="53"/>
        <v>-2.9229904440697022E-2</v>
      </c>
      <c r="O107" s="104">
        <f>IF(ISNUMBER(M107), $B118 * N107, "")</f>
        <v>-2922.9904440697023</v>
      </c>
      <c r="Q107" s="227"/>
      <c r="R107" s="228"/>
      <c r="S107" s="229"/>
    </row>
    <row r="108" spans="1:19">
      <c r="A108" s="161" t="s">
        <v>61</v>
      </c>
      <c r="B108" s="124">
        <v>958</v>
      </c>
      <c r="C108" s="76">
        <v>8.4210525999999994E-3</v>
      </c>
      <c r="D108" s="13">
        <v>952</v>
      </c>
      <c r="E108" s="14">
        <f>IF(ISNUMBER(D108), (D108 - $B108) / $B108, "")</f>
        <v>-6.2630480167014616E-3</v>
      </c>
      <c r="F108" s="16">
        <f>IF(ISNUMBER(D108), $B118 * E108, "")</f>
        <v>-626.30480167014616</v>
      </c>
      <c r="G108" s="29">
        <v>952</v>
      </c>
      <c r="H108" s="14">
        <f>IF(ISNUMBER(G108), (G108 - $B108) / $B108, "")</f>
        <v>-6.2630480167014616E-3</v>
      </c>
      <c r="I108" s="100">
        <f>IF(ISNUMBER(G108), $B118 * H108, "")</f>
        <v>-626.30480167014616</v>
      </c>
      <c r="J108" s="13">
        <v>953</v>
      </c>
      <c r="K108" s="14">
        <f>IF(ISNUMBER(J108), (J108 - $B108) / $B108, "")</f>
        <v>-5.2192066805845511E-3</v>
      </c>
      <c r="L108" s="16">
        <f>IF(ISNUMBER(J108), $B118 * K108, "")</f>
        <v>-521.92066805845513</v>
      </c>
      <c r="M108" s="29">
        <v>954</v>
      </c>
      <c r="N108" s="14">
        <f>IF(ISNUMBER(M108), (M108 - $B108) / $B108, "")</f>
        <v>-4.1753653444676405E-3</v>
      </c>
      <c r="O108" s="16">
        <f>IF(ISNUMBER(M108), $B118 * N108, "")</f>
        <v>-417.53653444676405</v>
      </c>
      <c r="Q108" s="230"/>
      <c r="R108" s="231"/>
      <c r="S108" s="232"/>
    </row>
    <row r="109" spans="1:19" ht="17.25" thickBot="1">
      <c r="A109" s="162" t="s">
        <v>296</v>
      </c>
      <c r="B109" s="126">
        <v>440</v>
      </c>
      <c r="C109" s="77">
        <v>6.8649886E-3</v>
      </c>
      <c r="D109" s="15">
        <v>435</v>
      </c>
      <c r="E109" s="32">
        <f t="shared" ref="E109:E112" si="54">IF(ISNUMBER(D109), (D109 - $B109) / $B109, "")</f>
        <v>-1.1363636363636364E-2</v>
      </c>
      <c r="F109" s="18">
        <f>IF(ISNUMBER(D109), $B118 * E109, "")</f>
        <v>-1136.3636363636365</v>
      </c>
      <c r="G109" s="31">
        <v>429</v>
      </c>
      <c r="H109" s="32">
        <f t="shared" ref="H109:H112" si="55">IF(ISNUMBER(G109), (G109 - $B109) / $B109, "")</f>
        <v>-2.5000000000000001E-2</v>
      </c>
      <c r="I109" s="101">
        <f>IF(ISNUMBER(G109), $B118 * H109, "")</f>
        <v>-2500</v>
      </c>
      <c r="J109" s="15">
        <v>430</v>
      </c>
      <c r="K109" s="32">
        <f t="shared" ref="K109:K112" si="56">IF(ISNUMBER(J109), (J109 - $B109) / $B109, "")</f>
        <v>-2.2727272727272728E-2</v>
      </c>
      <c r="L109" s="18">
        <f>IF(ISNUMBER(J109), $B118 * K109, "")</f>
        <v>-2272.727272727273</v>
      </c>
      <c r="M109" s="31">
        <v>433</v>
      </c>
      <c r="N109" s="32">
        <f t="shared" ref="N109:N112" si="57">IF(ISNUMBER(M109), (M109 - $B109) / $B109, "")</f>
        <v>-1.5909090909090907E-2</v>
      </c>
      <c r="O109" s="18">
        <f>IF(ISNUMBER(M109), $B118 * N109, "")</f>
        <v>-1590.9090909090908</v>
      </c>
      <c r="Q109" s="233"/>
      <c r="R109" s="234"/>
      <c r="S109" s="235"/>
    </row>
    <row r="110" spans="1:19" ht="17.25" thickBot="1">
      <c r="A110" s="162" t="s">
        <v>63</v>
      </c>
      <c r="B110" s="126">
        <v>65990</v>
      </c>
      <c r="C110" s="77">
        <v>6.4053683000000004E-3</v>
      </c>
      <c r="D110" s="15">
        <v>65400</v>
      </c>
      <c r="E110" s="32">
        <f t="shared" si="54"/>
        <v>-8.9407485982724664E-3</v>
      </c>
      <c r="F110" s="18">
        <f>IF(ISNUMBER(D110), $B118 * E110, "")</f>
        <v>-894.07485982724666</v>
      </c>
      <c r="G110" s="31">
        <v>65300</v>
      </c>
      <c r="H110" s="32">
        <f t="shared" si="55"/>
        <v>-1.0456129716623731E-2</v>
      </c>
      <c r="I110" s="101">
        <f>IF(ISNUMBER(G110), $B118 * H110, "")</f>
        <v>-1045.612971662373</v>
      </c>
      <c r="J110" s="15">
        <v>65620</v>
      </c>
      <c r="K110" s="32">
        <f t="shared" si="56"/>
        <v>-5.6069101378996818E-3</v>
      </c>
      <c r="L110" s="18">
        <f>IF(ISNUMBER(J110), $B118 * K110, "")</f>
        <v>-560.69101378996822</v>
      </c>
      <c r="M110" s="31">
        <v>65740</v>
      </c>
      <c r="N110" s="32">
        <f t="shared" si="57"/>
        <v>-3.7884527958781632E-3</v>
      </c>
      <c r="O110" s="18">
        <f>IF(ISNUMBER(M110), $B118 * N110, "")</f>
        <v>-378.84527958781632</v>
      </c>
      <c r="Q110" s="218"/>
      <c r="R110" s="218"/>
      <c r="S110" s="218"/>
    </row>
    <row r="111" spans="1:19" ht="17.25" thickBot="1">
      <c r="A111" s="162" t="s">
        <v>80</v>
      </c>
      <c r="B111" s="126">
        <v>887</v>
      </c>
      <c r="C111" s="77">
        <v>3.3936652000000002E-3</v>
      </c>
      <c r="D111" s="15">
        <v>882</v>
      </c>
      <c r="E111" s="32">
        <f t="shared" si="54"/>
        <v>-5.6369785794813977E-3</v>
      </c>
      <c r="F111" s="18">
        <f>IF(ISNUMBER(D111), $B118 * E111, "")</f>
        <v>-563.69785794813981</v>
      </c>
      <c r="G111" s="31">
        <v>883</v>
      </c>
      <c r="H111" s="32">
        <f t="shared" si="55"/>
        <v>-4.5095828635851182E-3</v>
      </c>
      <c r="I111" s="101">
        <f>IF(ISNUMBER(G111), $B118 * H111, "")</f>
        <v>-450.95828635851183</v>
      </c>
      <c r="J111" s="15">
        <v>884</v>
      </c>
      <c r="K111" s="32">
        <f t="shared" si="56"/>
        <v>-3.3821871476888386E-3</v>
      </c>
      <c r="L111" s="18">
        <f>IF(ISNUMBER(J111), $B118 * K111, "")</f>
        <v>-338.21871476888384</v>
      </c>
      <c r="M111" s="31">
        <v>883</v>
      </c>
      <c r="N111" s="32">
        <f t="shared" si="57"/>
        <v>-4.5095828635851182E-3</v>
      </c>
      <c r="O111" s="18">
        <f>IF(ISNUMBER(M111), $B118 * N111, "")</f>
        <v>-450.95828635851183</v>
      </c>
      <c r="Q111" s="213"/>
      <c r="R111" s="213"/>
      <c r="S111" s="213"/>
    </row>
    <row r="112" spans="1:19" ht="17.25" thickBot="1">
      <c r="A112" s="163" t="s">
        <v>274</v>
      </c>
      <c r="B112" s="128">
        <v>9130</v>
      </c>
      <c r="C112" s="78">
        <v>2.7457441000000001E-3</v>
      </c>
      <c r="D112" s="20">
        <v>9170</v>
      </c>
      <c r="E112" s="21">
        <f t="shared" si="54"/>
        <v>4.3811610076670317E-3</v>
      </c>
      <c r="F112" s="22">
        <f>IF(ISNUMBER(D112), $B118 * E112, "")</f>
        <v>438.11610076670314</v>
      </c>
      <c r="G112" s="30">
        <v>9465</v>
      </c>
      <c r="H112" s="21">
        <f t="shared" si="55"/>
        <v>3.6692223439211392E-2</v>
      </c>
      <c r="I112" s="105">
        <f>IF(ISNUMBER(G112), $B118 * H112, "")</f>
        <v>3669.2223439211393</v>
      </c>
      <c r="J112" s="20">
        <v>9420</v>
      </c>
      <c r="K112" s="21">
        <f t="shared" si="56"/>
        <v>3.1763417305585982E-2</v>
      </c>
      <c r="L112" s="22">
        <f>IF(ISNUMBER(J112), $B118 * K112, "")</f>
        <v>3176.3417305585981</v>
      </c>
      <c r="M112" s="30">
        <v>9295</v>
      </c>
      <c r="N112" s="21">
        <f t="shared" si="57"/>
        <v>1.8072289156626505E-2</v>
      </c>
      <c r="O112" s="22">
        <f>IF(ISNUMBER(M112), $B118 * N112, "")</f>
        <v>1807.2289156626505</v>
      </c>
      <c r="Q112" s="213"/>
      <c r="R112" s="213"/>
      <c r="S112" s="213"/>
    </row>
    <row r="113" spans="1:19" ht="17.25" thickBot="1">
      <c r="A113" s="162" t="s">
        <v>178</v>
      </c>
      <c r="B113" s="129">
        <v>27900</v>
      </c>
      <c r="C113" s="80">
        <v>1.7953321E-3</v>
      </c>
      <c r="D113" s="106">
        <v>27840</v>
      </c>
      <c r="E113" s="107">
        <f>IF(ISNUMBER(D113), (D113 - $B113) / $B113, "")</f>
        <v>-2.1505376344086021E-3</v>
      </c>
      <c r="F113" s="108">
        <f>IF(ISNUMBER(D113), $B118 * E113, "")</f>
        <v>-215.05376344086022</v>
      </c>
      <c r="G113" s="109">
        <v>28450</v>
      </c>
      <c r="H113" s="107">
        <f>IF(ISNUMBER(G113), (G113 - $B113) / $B113, "")</f>
        <v>1.9713261648745518E-2</v>
      </c>
      <c r="I113" s="110">
        <f>IF(ISNUMBER(G113), $B118 * H113, "")</f>
        <v>1971.3261648745518</v>
      </c>
      <c r="J113" s="106">
        <v>28250</v>
      </c>
      <c r="K113" s="107">
        <f>IF(ISNUMBER(J113), (J113 - $B113) / $B113, "")</f>
        <v>1.2544802867383513E-2</v>
      </c>
      <c r="L113" s="108">
        <f>IF(ISNUMBER(J113), $B118 * K113, "")</f>
        <v>1254.4802867383512</v>
      </c>
      <c r="M113" s="109">
        <v>28260</v>
      </c>
      <c r="N113" s="107">
        <f>IF(ISNUMBER(M113), (M113 - $B113) / $B113, "")</f>
        <v>1.2903225806451613E-2</v>
      </c>
      <c r="O113" s="108">
        <f>IF(ISNUMBER(M113), $B118 * N113, "")</f>
        <v>1290.3225806451612</v>
      </c>
      <c r="Q113" s="218"/>
      <c r="R113" s="218"/>
      <c r="S113" s="218"/>
    </row>
    <row r="114" spans="1:19" ht="17.25" thickBot="1">
      <c r="A114" s="162" t="s">
        <v>232</v>
      </c>
      <c r="B114" s="126">
        <v>115</v>
      </c>
      <c r="C114" s="77">
        <v>0</v>
      </c>
      <c r="D114" s="15">
        <v>121</v>
      </c>
      <c r="E114" s="32">
        <f t="shared" ref="E114:E117" si="58">IF(ISNUMBER(D114), (D114 - $B114) / $B114, "")</f>
        <v>5.2173913043478258E-2</v>
      </c>
      <c r="F114" s="18">
        <f>IF(ISNUMBER(D114), $B118 * E114, "")</f>
        <v>5217.391304347826</v>
      </c>
      <c r="G114" s="31">
        <v>120</v>
      </c>
      <c r="H114" s="32">
        <f t="shared" ref="H114:H117" si="59">IF(ISNUMBER(G114), (G114 - $B114) / $B114, "")</f>
        <v>4.3478260869565216E-2</v>
      </c>
      <c r="I114" s="101">
        <f>IF(ISNUMBER(G114), $B118 * H114, "")</f>
        <v>4347.826086956522</v>
      </c>
      <c r="J114" s="15">
        <v>122</v>
      </c>
      <c r="K114" s="32">
        <f t="shared" ref="K114:K117" si="60">IF(ISNUMBER(J114), (J114 - $B114) / $B114, "")</f>
        <v>6.0869565217391307E-2</v>
      </c>
      <c r="L114" s="18">
        <f>IF(ISNUMBER(J114), $B118 * K114, "")</f>
        <v>6086.9565217391309</v>
      </c>
      <c r="M114" s="31">
        <v>120</v>
      </c>
      <c r="N114" s="32">
        <f t="shared" ref="N114:N117" si="61">IF(ISNUMBER(M114), (M114 - $B114) / $B114, "")</f>
        <v>4.3478260869565216E-2</v>
      </c>
      <c r="O114" s="18">
        <f>IF(ISNUMBER(M114), $B118 * N114, "")</f>
        <v>4347.826086956522</v>
      </c>
      <c r="Q114" s="218"/>
      <c r="R114" s="218"/>
      <c r="S114" s="218"/>
    </row>
    <row r="115" spans="1:19" ht="17.25" thickBot="1">
      <c r="A115" s="162" t="s">
        <v>132</v>
      </c>
      <c r="B115" s="126">
        <v>155</v>
      </c>
      <c r="C115" s="77">
        <v>0</v>
      </c>
      <c r="D115" s="15">
        <v>153</v>
      </c>
      <c r="E115" s="32">
        <f t="shared" si="58"/>
        <v>-1.2903225806451613E-2</v>
      </c>
      <c r="F115" s="18">
        <f>IF(ISNUMBER(D115), $B118 * E115, "")</f>
        <v>-1290.3225806451612</v>
      </c>
      <c r="G115" s="31">
        <v>153</v>
      </c>
      <c r="H115" s="32">
        <f t="shared" si="59"/>
        <v>-1.2903225806451613E-2</v>
      </c>
      <c r="I115" s="101">
        <f>IF(ISNUMBER(G115), $B118 * H115, "")</f>
        <v>-1290.3225806451612</v>
      </c>
      <c r="J115" s="15">
        <v>152</v>
      </c>
      <c r="K115" s="32">
        <f t="shared" si="60"/>
        <v>-1.935483870967742E-2</v>
      </c>
      <c r="L115" s="18">
        <f>IF(ISNUMBER(J115), $B118 * K115, "")</f>
        <v>-1935.483870967742</v>
      </c>
      <c r="M115" s="31">
        <v>154</v>
      </c>
      <c r="N115" s="32">
        <f t="shared" si="61"/>
        <v>-6.4516129032258064E-3</v>
      </c>
      <c r="O115" s="18">
        <f>IF(ISNUMBER(M115), $B118 * N115, "")</f>
        <v>-645.16129032258061</v>
      </c>
      <c r="Q115" s="218"/>
      <c r="R115" s="218"/>
      <c r="S115" s="218"/>
    </row>
    <row r="116" spans="1:19">
      <c r="A116" s="162" t="s">
        <v>51</v>
      </c>
      <c r="B116" s="126">
        <v>445</v>
      </c>
      <c r="C116" s="77">
        <v>-8.9086860000000007E-3</v>
      </c>
      <c r="D116" s="15">
        <v>446</v>
      </c>
      <c r="E116" s="32">
        <f t="shared" si="58"/>
        <v>2.2471910112359553E-3</v>
      </c>
      <c r="F116" s="18">
        <f>IF(ISNUMBER(D116), $B118 * E116, "")</f>
        <v>224.71910112359552</v>
      </c>
      <c r="G116" s="31">
        <v>445</v>
      </c>
      <c r="H116" s="32">
        <f t="shared" si="59"/>
        <v>0</v>
      </c>
      <c r="I116" s="101">
        <f>IF(ISNUMBER(G116), $B118 * H116, "")</f>
        <v>0</v>
      </c>
      <c r="J116" s="15">
        <v>442</v>
      </c>
      <c r="K116" s="32">
        <f t="shared" si="60"/>
        <v>-6.7415730337078653E-3</v>
      </c>
      <c r="L116" s="18">
        <f>IF(ISNUMBER(J116), $B118 * K116, "")</f>
        <v>-674.15730337078651</v>
      </c>
      <c r="M116" s="31">
        <v>443</v>
      </c>
      <c r="N116" s="32">
        <f t="shared" si="61"/>
        <v>-4.4943820224719105E-3</v>
      </c>
      <c r="O116" s="18">
        <f>IF(ISNUMBER(M116), $B118 * N116, "")</f>
        <v>-449.43820224719104</v>
      </c>
      <c r="Q116" s="240"/>
      <c r="R116" s="241"/>
      <c r="S116" s="242"/>
    </row>
    <row r="117" spans="1:19" ht="17.25" thickBot="1">
      <c r="A117" s="130" t="s">
        <v>106</v>
      </c>
      <c r="B117" s="131">
        <v>1230</v>
      </c>
      <c r="C117" s="79">
        <v>-1.20481928E-2</v>
      </c>
      <c r="D117" s="24">
        <v>1210</v>
      </c>
      <c r="E117" s="25">
        <f t="shared" si="58"/>
        <v>-1.6260162601626018E-2</v>
      </c>
      <c r="F117" s="104">
        <f>IF(ISNUMBER(D117), $B118 * E117, "")</f>
        <v>-1626.0162601626018</v>
      </c>
      <c r="G117" s="102">
        <v>1245</v>
      </c>
      <c r="H117" s="25">
        <f t="shared" si="59"/>
        <v>1.2195121951219513E-2</v>
      </c>
      <c r="I117" s="103">
        <f>IF(ISNUMBER(G117), $B118 * H117, "")</f>
        <v>1219.5121951219512</v>
      </c>
      <c r="J117" s="24">
        <v>1240</v>
      </c>
      <c r="K117" s="25">
        <f t="shared" si="60"/>
        <v>8.130081300813009E-3</v>
      </c>
      <c r="L117" s="104">
        <f>IF(ISNUMBER(J117), $B118 * K117, "")</f>
        <v>813.00813008130092</v>
      </c>
      <c r="M117" s="102">
        <v>1245</v>
      </c>
      <c r="N117" s="25">
        <f t="shared" si="61"/>
        <v>1.2195121951219513E-2</v>
      </c>
      <c r="O117" s="104">
        <f>IF(ISNUMBER(M117), $B118 * N117, "")</f>
        <v>1219.5121951219512</v>
      </c>
      <c r="Q117" s="243"/>
      <c r="R117" s="244"/>
      <c r="S117" s="245"/>
    </row>
    <row r="118" spans="1:19" ht="17.25" thickBot="1">
      <c r="A118" s="132" t="s">
        <v>300</v>
      </c>
      <c r="B118" s="251">
        <f>$B$37</f>
        <v>100000</v>
      </c>
      <c r="C118" s="252"/>
      <c r="D118" s="26" t="s">
        <v>301</v>
      </c>
      <c r="E118" s="27">
        <f>IF(COUNT(E98:E117), SUM(E98:E117) / COUNT(E98:E117), 0)</f>
        <v>9.4911137541572963E-3</v>
      </c>
      <c r="F118" s="28">
        <f>SUM(F98:F117)</f>
        <v>18982.227508314583</v>
      </c>
      <c r="G118" s="26" t="s">
        <v>301</v>
      </c>
      <c r="H118" s="27">
        <f>IF(COUNT(H98:H117), SUM(H98:H117) / COUNT(H98:H117), 0)</f>
        <v>7.1356604404449794E-3</v>
      </c>
      <c r="I118" s="28">
        <f>SUM(I98:I117)</f>
        <v>14271.32088088996</v>
      </c>
      <c r="J118" s="26" t="s">
        <v>301</v>
      </c>
      <c r="K118" s="27">
        <f>IF(COUNT(K98:K117), SUM(K98:K117) / COUNT(K98:K117), 0)</f>
        <v>-3.234260892726692E-4</v>
      </c>
      <c r="L118" s="28">
        <f>SUM(L98:L117)</f>
        <v>-646.85217854533983</v>
      </c>
      <c r="M118" s="26" t="s">
        <v>301</v>
      </c>
      <c r="N118" s="27">
        <f>IF(COUNT(N98:N117), SUM(N98:N117) / COUNT(N98:N117), 0)</f>
        <v>2.1253461745802324E-3</v>
      </c>
      <c r="O118" s="28">
        <f>SUM(O98:O117)</f>
        <v>4250.692349160463</v>
      </c>
      <c r="Q118" s="246"/>
      <c r="R118" s="247"/>
      <c r="S118" s="248"/>
    </row>
    <row r="120" spans="1:19" ht="17.25" thickBot="1"/>
    <row r="121" spans="1:19" ht="17.25" thickBot="1">
      <c r="A121" s="192" t="s">
        <v>288</v>
      </c>
      <c r="B121" s="193"/>
      <c r="C121" s="193"/>
      <c r="D121" s="193"/>
      <c r="E121" s="193"/>
      <c r="F121" s="193"/>
      <c r="G121" s="193"/>
      <c r="H121" s="193"/>
      <c r="I121" s="193"/>
      <c r="J121" s="193"/>
      <c r="K121" s="193"/>
      <c r="L121" s="193"/>
      <c r="M121" s="193"/>
      <c r="N121" s="193"/>
      <c r="O121" s="194"/>
      <c r="Q121" s="213"/>
      <c r="R121" s="213"/>
      <c r="S121" s="213"/>
    </row>
    <row r="122" spans="1:19" ht="17.25" thickBot="1">
      <c r="A122" s="180" t="s">
        <v>297</v>
      </c>
      <c r="B122" s="192" t="s">
        <v>49</v>
      </c>
      <c r="C122" s="194"/>
      <c r="D122" s="192" t="s">
        <v>58</v>
      </c>
      <c r="E122" s="193"/>
      <c r="F122" s="194"/>
      <c r="G122" s="219">
        <f>_xlfn.IFNA(VLOOKUP(B122, 현재가테이블!$B$2:$D$200, 2, FALSE), "-")</f>
        <v>38300000</v>
      </c>
      <c r="H122" s="220"/>
      <c r="I122" s="221"/>
      <c r="J122" s="192" t="s">
        <v>59</v>
      </c>
      <c r="K122" s="193"/>
      <c r="L122" s="194"/>
      <c r="M122" s="222">
        <f>_xlfn.IFNA(VLOOKUP(B122, 현재가테이블!$B$2:$D$200, 3, FALSE), "-")</f>
        <v>-1.9557649E-2</v>
      </c>
      <c r="N122" s="223"/>
      <c r="O122" s="224"/>
      <c r="Q122" s="213"/>
      <c r="R122" s="213"/>
      <c r="S122" s="213"/>
    </row>
    <row r="123" spans="1:19" ht="17.25" thickBot="1">
      <c r="A123" s="253" t="s">
        <v>55</v>
      </c>
      <c r="B123" s="255" t="str">
        <f>TEXT($G$1, "[$-ko-KR]yyyy-mm-dd(ddd) ") &amp; "오전 00:00"</f>
        <v>2021-06-06(일) 오전 00:00</v>
      </c>
      <c r="C123" s="256"/>
      <c r="D123" s="215" t="str">
        <f>TEXT($G$1, "[$-ko-KR]yyyy-mm-dd(ddd) ") &amp; "오후 14:00"</f>
        <v>2021-06-06(일) 오후 14:00</v>
      </c>
      <c r="E123" s="216"/>
      <c r="F123" s="217"/>
      <c r="G123" s="215" t="str">
        <f>TEXT($G$1, "[$-ko-KR]yyyy-mm-dd(ddd) ") &amp; "오후 19:00"</f>
        <v>2021-06-06(일) 오후 19:00</v>
      </c>
      <c r="H123" s="216"/>
      <c r="I123" s="217"/>
      <c r="J123" s="215" t="str">
        <f>TEXT($G$1, "[$-ko-KR]yyyy-mm-dd(ddd) ") &amp; "오후 21:00"</f>
        <v>2021-06-06(일) 오후 21:00</v>
      </c>
      <c r="K123" s="216"/>
      <c r="L123" s="217"/>
      <c r="M123" s="215" t="str">
        <f>TEXT($G$1+1, "[$-ko-KR]yyyy-mm-dd(ddd) ") &amp; "오전 00:00"</f>
        <v>2021-06-07(월) 오전 00:00</v>
      </c>
      <c r="N123" s="216"/>
      <c r="O123" s="217"/>
      <c r="Q123" s="213"/>
      <c r="R123" s="213"/>
      <c r="S123" s="213"/>
    </row>
    <row r="124" spans="1:19" ht="17.25" thickBot="1">
      <c r="A124" s="25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1" t="s">
        <v>58</v>
      </c>
      <c r="H124" s="182" t="s">
        <v>298</v>
      </c>
      <c r="I124" s="18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8"/>
      <c r="R124" s="218"/>
      <c r="S124" s="218"/>
    </row>
    <row r="125" spans="1:19" ht="17.25" thickBot="1">
      <c r="A125" s="161" t="s">
        <v>222</v>
      </c>
      <c r="B125" s="124">
        <v>11.4</v>
      </c>
      <c r="C125" s="76">
        <v>-1.7241379300000002E-2</v>
      </c>
      <c r="D125" s="13">
        <v>11.7</v>
      </c>
      <c r="E125" s="14">
        <f>IF(ISNUMBER(D125), (D125 - $B125) / $B125, "")</f>
        <v>2.6315789473684115E-2</v>
      </c>
      <c r="F125" s="16">
        <f>IF(ISNUMBER(D125), $B145 * E125, "")</f>
        <v>2631.5789473684117</v>
      </c>
      <c r="G125" s="29">
        <v>12</v>
      </c>
      <c r="H125" s="14">
        <f>IF(ISNUMBER(G125), (G125 - $B125) / $B125, "")</f>
        <v>5.263157894736839E-2</v>
      </c>
      <c r="I125" s="100">
        <f>IF(ISNUMBER(G125), $B145 * H125, "")</f>
        <v>5263.1578947368389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5263.1578947368389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3508.7719298245647</v>
      </c>
      <c r="Q125" s="213"/>
      <c r="R125" s="213"/>
      <c r="S125" s="213"/>
    </row>
    <row r="126" spans="1:19" ht="17.25" thickBot="1">
      <c r="A126" s="162" t="s">
        <v>154</v>
      </c>
      <c r="B126" s="126">
        <v>10.9</v>
      </c>
      <c r="C126" s="77">
        <v>-1.8018018E-2</v>
      </c>
      <c r="D126" s="15">
        <v>11.4</v>
      </c>
      <c r="E126" s="32">
        <f t="shared" ref="E126:E129" si="62">IF(ISNUMBER(D126), (D126 - $B126) / $B126, "")</f>
        <v>4.5871559633027519E-2</v>
      </c>
      <c r="F126" s="18">
        <f>IF(ISNUMBER(D126), $B145 * E126, "")</f>
        <v>4587.1559633027518</v>
      </c>
      <c r="G126" s="31">
        <v>11.4</v>
      </c>
      <c r="H126" s="32">
        <f t="shared" ref="H126:H129" si="63">IF(ISNUMBER(G126), (G126 - $B126) / $B126, "")</f>
        <v>4.5871559633027519E-2</v>
      </c>
      <c r="I126" s="101">
        <f>IF(ISNUMBER(G126), $B145 * H126, "")</f>
        <v>4587.1559633027518</v>
      </c>
      <c r="J126" s="15">
        <v>11.7</v>
      </c>
      <c r="K126" s="32">
        <f t="shared" ref="K126:K129" si="64">IF(ISNUMBER(J126), (J126 - $B126) / $B126, "")</f>
        <v>7.339449541284393E-2</v>
      </c>
      <c r="L126" s="18">
        <f>IF(ISNUMBER(J126), $B145 * K126, "")</f>
        <v>7339.4495412843926</v>
      </c>
      <c r="M126" s="31">
        <v>11.6</v>
      </c>
      <c r="N126" s="32">
        <f t="shared" ref="N126:N129" si="65">IF(ISNUMBER(M126), (M126 - $B126) / $B126, "")</f>
        <v>6.4220183486238466E-2</v>
      </c>
      <c r="O126" s="18">
        <f>IF(ISNUMBER(M126), $B145 * N126, "")</f>
        <v>6422.0183486238466</v>
      </c>
      <c r="Q126" s="213"/>
      <c r="R126" s="213"/>
      <c r="S126" s="213"/>
    </row>
    <row r="127" spans="1:19" ht="17.25" thickBot="1">
      <c r="A127" s="162" t="s">
        <v>220</v>
      </c>
      <c r="B127" s="126">
        <v>10.8</v>
      </c>
      <c r="C127" s="77">
        <v>-1.8181818200000002E-2</v>
      </c>
      <c r="D127" s="15">
        <v>11.3</v>
      </c>
      <c r="E127" s="32">
        <f t="shared" si="62"/>
        <v>4.6296296296296294E-2</v>
      </c>
      <c r="F127" s="18">
        <f>IF(ISNUMBER(D127), $B145 * E127, "")</f>
        <v>4629.6296296296296</v>
      </c>
      <c r="G127" s="31">
        <v>11.2</v>
      </c>
      <c r="H127" s="32">
        <f t="shared" si="63"/>
        <v>3.7037037037036903E-2</v>
      </c>
      <c r="I127" s="101">
        <f>IF(ISNUMBER(G127), $B145 * H127, "")</f>
        <v>3703.7037037036903</v>
      </c>
      <c r="J127" s="15">
        <v>11.4</v>
      </c>
      <c r="K127" s="32">
        <f t="shared" si="64"/>
        <v>5.5555555555555518E-2</v>
      </c>
      <c r="L127" s="18">
        <f>IF(ISNUMBER(J127), $B145 * K127, "")</f>
        <v>5555.555555555552</v>
      </c>
      <c r="M127" s="31">
        <v>11.2</v>
      </c>
      <c r="N127" s="32">
        <f t="shared" si="65"/>
        <v>3.7037037037036903E-2</v>
      </c>
      <c r="O127" s="18">
        <f>IF(ISNUMBER(M127), $B145 * N127, "")</f>
        <v>3703.7037037036903</v>
      </c>
      <c r="Q127" s="218"/>
      <c r="R127" s="218"/>
      <c r="S127" s="218"/>
    </row>
    <row r="128" spans="1:19" ht="17.25" thickBot="1">
      <c r="A128" s="162" t="s">
        <v>228</v>
      </c>
      <c r="B128" s="126">
        <v>10.4</v>
      </c>
      <c r="C128" s="77">
        <v>-1.8867924500000001E-2</v>
      </c>
      <c r="D128" s="15">
        <v>10.9</v>
      </c>
      <c r="E128" s="32">
        <f t="shared" si="62"/>
        <v>4.8076923076923073E-2</v>
      </c>
      <c r="F128" s="18">
        <f>IF(ISNUMBER(D128), $B145 * E128, "")</f>
        <v>4807.6923076923076</v>
      </c>
      <c r="G128" s="31">
        <v>11.1</v>
      </c>
      <c r="H128" s="32">
        <f t="shared" si="63"/>
        <v>6.7307692307692235E-2</v>
      </c>
      <c r="I128" s="101">
        <f>IF(ISNUMBER(G128), $B145 * H128, "")</f>
        <v>6730.7692307692232</v>
      </c>
      <c r="J128" s="15">
        <v>11.1</v>
      </c>
      <c r="K128" s="32">
        <f t="shared" si="64"/>
        <v>6.7307692307692235E-2</v>
      </c>
      <c r="L128" s="18">
        <f>IF(ISNUMBER(J128), $B145 * K128, "")</f>
        <v>6730.7692307692232</v>
      </c>
      <c r="M128" s="31">
        <v>11</v>
      </c>
      <c r="N128" s="32">
        <f t="shared" si="65"/>
        <v>5.7692307692307654E-2</v>
      </c>
      <c r="O128" s="18">
        <f>IF(ISNUMBER(M128), $B145 * N128, "")</f>
        <v>5769.230769230765</v>
      </c>
      <c r="Q128" s="218"/>
      <c r="R128" s="218"/>
      <c r="S128" s="218"/>
    </row>
    <row r="129" spans="1:19" ht="17.25" thickBot="1">
      <c r="A129" s="163" t="s">
        <v>236</v>
      </c>
      <c r="B129" s="128">
        <v>51.5</v>
      </c>
      <c r="C129" s="78">
        <v>-1.9047618999999998E-2</v>
      </c>
      <c r="D129" s="20">
        <v>52.5</v>
      </c>
      <c r="E129" s="21">
        <f t="shared" si="62"/>
        <v>1.9417475728155338E-2</v>
      </c>
      <c r="F129" s="22">
        <f>IF(ISNUMBER(D129), $B145 * E129, "")</f>
        <v>1941.7475728155339</v>
      </c>
      <c r="G129" s="30">
        <v>53.1</v>
      </c>
      <c r="H129" s="21">
        <f t="shared" si="63"/>
        <v>3.106796116504857E-2</v>
      </c>
      <c r="I129" s="105">
        <f>IF(ISNUMBER(G129), $B145 * H129, "")</f>
        <v>3106.7961165048569</v>
      </c>
      <c r="J129" s="20">
        <v>54</v>
      </c>
      <c r="K129" s="21">
        <f t="shared" si="64"/>
        <v>4.8543689320388349E-2</v>
      </c>
      <c r="L129" s="22">
        <f>IF(ISNUMBER(J129), $B145 * K129, "")</f>
        <v>4854.3689320388348</v>
      </c>
      <c r="M129" s="30">
        <v>53.1</v>
      </c>
      <c r="N129" s="21">
        <f t="shared" si="65"/>
        <v>3.106796116504857E-2</v>
      </c>
      <c r="O129" s="22">
        <f>IF(ISNUMBER(M129), $B145 * N129, "")</f>
        <v>3106.7961165048569</v>
      </c>
      <c r="Q129" s="218"/>
      <c r="R129" s="218"/>
      <c r="S129" s="218"/>
    </row>
    <row r="130" spans="1:19" ht="17.25" thickBot="1">
      <c r="A130" s="162" t="s">
        <v>266</v>
      </c>
      <c r="B130" s="129">
        <v>57.2</v>
      </c>
      <c r="C130" s="80">
        <v>-2.0547945200000001E-2</v>
      </c>
      <c r="D130" s="106">
        <v>58.6</v>
      </c>
      <c r="E130" s="107">
        <f>IF(ISNUMBER(D130), (D130 - $B130) / $B130, "")</f>
        <v>2.4475524475524448E-2</v>
      </c>
      <c r="F130" s="108">
        <f>IF(ISNUMBER(D130), $B145 * E130, "")</f>
        <v>2447.5524475524448</v>
      </c>
      <c r="G130" s="109">
        <v>59.8</v>
      </c>
      <c r="H130" s="107">
        <f>IF(ISNUMBER(G130), (G130 - $B130) / $B130, "")</f>
        <v>4.5454545454545352E-2</v>
      </c>
      <c r="I130" s="110">
        <f>IF(ISNUMBER(G130), $B145 * H130, "")</f>
        <v>4545.454545454535</v>
      </c>
      <c r="J130" s="106">
        <v>63.9</v>
      </c>
      <c r="K130" s="107">
        <f>IF(ISNUMBER(J130), (J130 - $B130) / $B130, "")</f>
        <v>0.11713286713286705</v>
      </c>
      <c r="L130" s="108">
        <f>IF(ISNUMBER(J130), $B145 * K130, "")</f>
        <v>11713.286713286705</v>
      </c>
      <c r="M130" s="109">
        <v>59.7</v>
      </c>
      <c r="N130" s="107">
        <f>IF(ISNUMBER(M130), (M130 - $B130) / $B130, "")</f>
        <v>4.3706293706293704E-2</v>
      </c>
      <c r="O130" s="108">
        <f>IF(ISNUMBER(M130), $B145 * N130, "")</f>
        <v>4370.62937062937</v>
      </c>
      <c r="Q130" s="218"/>
      <c r="R130" s="218"/>
      <c r="S130" s="218"/>
    </row>
    <row r="131" spans="1:19" ht="17.25" thickBot="1">
      <c r="A131" s="162" t="s">
        <v>254</v>
      </c>
      <c r="B131" s="126">
        <v>51.3</v>
      </c>
      <c r="C131" s="77">
        <v>-2.2857142899999999E-2</v>
      </c>
      <c r="D131" s="15">
        <v>51.3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52.3</v>
      </c>
      <c r="H131" s="32">
        <f t="shared" ref="H131:H134" si="67">IF(ISNUMBER(G131), (G131 - $B131) / $B131, "")</f>
        <v>1.9493177387914232E-2</v>
      </c>
      <c r="I131" s="101">
        <f>IF(ISNUMBER(G131), $B145 * H131, "")</f>
        <v>1949.3177387914232</v>
      </c>
      <c r="J131" s="15">
        <v>52</v>
      </c>
      <c r="K131" s="32">
        <f t="shared" ref="K131:K134" si="68">IF(ISNUMBER(J131), (J131 - $B131) / $B131, "")</f>
        <v>1.3645224171540018E-2</v>
      </c>
      <c r="L131" s="18">
        <f>IF(ISNUMBER(J131), $B145 * K131, "")</f>
        <v>1364.5224171540017</v>
      </c>
      <c r="M131" s="31">
        <v>51.8</v>
      </c>
      <c r="N131" s="32">
        <f t="shared" ref="N131:N134" si="69">IF(ISNUMBER(M131), (M131 - $B131) / $B131, "")</f>
        <v>9.7465886939571162E-3</v>
      </c>
      <c r="O131" s="18">
        <f>IF(ISNUMBER(M131), $B145 * N131, "")</f>
        <v>974.65886939571158</v>
      </c>
      <c r="Q131" s="218"/>
      <c r="R131" s="218"/>
      <c r="S131" s="218"/>
    </row>
    <row r="132" spans="1:19" ht="17.25" thickBot="1">
      <c r="A132" s="162" t="s">
        <v>65</v>
      </c>
      <c r="B132" s="126">
        <v>36.6</v>
      </c>
      <c r="C132" s="77">
        <v>-2.4E-2</v>
      </c>
      <c r="D132" s="15">
        <v>36.6</v>
      </c>
      <c r="E132" s="32">
        <f t="shared" si="66"/>
        <v>0</v>
      </c>
      <c r="F132" s="18">
        <f>IF(ISNUMBER(D132), $B145 * E132, "")</f>
        <v>0</v>
      </c>
      <c r="G132" s="31">
        <v>36.9</v>
      </c>
      <c r="H132" s="32">
        <f t="shared" si="67"/>
        <v>8.1967213114753322E-3</v>
      </c>
      <c r="I132" s="101">
        <f>IF(ISNUMBER(G132), $B145 * H132, "")</f>
        <v>819.67213114753326</v>
      </c>
      <c r="J132" s="15">
        <v>37.200000000000003</v>
      </c>
      <c r="K132" s="32">
        <f t="shared" si="68"/>
        <v>1.6393442622950859E-2</v>
      </c>
      <c r="L132" s="18">
        <f>IF(ISNUMBER(J132), $B145 * K132, "")</f>
        <v>1639.3442622950859</v>
      </c>
      <c r="M132" s="31">
        <v>36.9</v>
      </c>
      <c r="N132" s="32">
        <f t="shared" si="69"/>
        <v>8.1967213114753322E-3</v>
      </c>
      <c r="O132" s="18">
        <f>IF(ISNUMBER(M132), $B145 * N132, "")</f>
        <v>819.67213114753326</v>
      </c>
      <c r="Q132" s="218"/>
      <c r="R132" s="218"/>
      <c r="S132" s="218"/>
    </row>
    <row r="133" spans="1:19" ht="17.25" thickBot="1">
      <c r="A133" s="162" t="s">
        <v>268</v>
      </c>
      <c r="B133" s="126">
        <v>52.1</v>
      </c>
      <c r="C133" s="77">
        <v>-2.6168224300000001E-2</v>
      </c>
      <c r="D133" s="15">
        <v>53.1</v>
      </c>
      <c r="E133" s="32">
        <f t="shared" si="66"/>
        <v>1.9193857965451054E-2</v>
      </c>
      <c r="F133" s="18">
        <f>IF(ISNUMBER(D133), $B145 * E133, "")</f>
        <v>1919.3857965451054</v>
      </c>
      <c r="G133" s="31">
        <v>53.6</v>
      </c>
      <c r="H133" s="32">
        <f t="shared" si="67"/>
        <v>2.8790786948176581E-2</v>
      </c>
      <c r="I133" s="101">
        <f>IF(ISNUMBER(G133), $B145 * H133, "")</f>
        <v>2879.0786948176583</v>
      </c>
      <c r="J133" s="15">
        <v>53.6</v>
      </c>
      <c r="K133" s="32">
        <f t="shared" si="68"/>
        <v>2.8790786948176581E-2</v>
      </c>
      <c r="L133" s="18">
        <f>IF(ISNUMBER(J133), $B145 * K133, "")</f>
        <v>2879.0786948176583</v>
      </c>
      <c r="M133" s="31">
        <v>53.3</v>
      </c>
      <c r="N133" s="32">
        <f t="shared" si="69"/>
        <v>2.3032629558541184E-2</v>
      </c>
      <c r="O133" s="18">
        <f>IF(ISNUMBER(M133), $B145 * N133, "")</f>
        <v>2303.2629558541184</v>
      </c>
      <c r="Q133" s="33"/>
      <c r="R133" s="33"/>
    </row>
    <row r="134" spans="1:19" ht="17.25" thickBot="1">
      <c r="A134" s="130" t="s">
        <v>214</v>
      </c>
      <c r="B134" s="131">
        <v>13.7</v>
      </c>
      <c r="C134" s="79">
        <v>-2.83687943E-2</v>
      </c>
      <c r="D134" s="24">
        <v>13.9</v>
      </c>
      <c r="E134" s="25">
        <f t="shared" si="66"/>
        <v>1.4598540145985481E-2</v>
      </c>
      <c r="F134" s="104">
        <f>IF(ISNUMBER(D134), $B145 * E134, "")</f>
        <v>1459.854014598548</v>
      </c>
      <c r="G134" s="102">
        <v>14.2</v>
      </c>
      <c r="H134" s="25">
        <f t="shared" si="67"/>
        <v>3.6496350364963508E-2</v>
      </c>
      <c r="I134" s="103">
        <f>IF(ISNUMBER(G134), $B145 * H134, "")</f>
        <v>3649.6350364963509</v>
      </c>
      <c r="J134" s="24">
        <v>14.2</v>
      </c>
      <c r="K134" s="25">
        <f t="shared" si="68"/>
        <v>3.6496350364963508E-2</v>
      </c>
      <c r="L134" s="104">
        <f>IF(ISNUMBER(J134), $B145 * K134, "")</f>
        <v>3649.6350364963509</v>
      </c>
      <c r="M134" s="102">
        <v>14</v>
      </c>
      <c r="N134" s="25">
        <f t="shared" si="69"/>
        <v>2.1897810218978155E-2</v>
      </c>
      <c r="O134" s="104">
        <f>IF(ISNUMBER(M134), $B145 * N134, "")</f>
        <v>2189.7810218978157</v>
      </c>
      <c r="Q134" s="227"/>
      <c r="R134" s="228"/>
      <c r="S134" s="229"/>
    </row>
    <row r="135" spans="1:19">
      <c r="A135" s="161" t="s">
        <v>218</v>
      </c>
      <c r="B135" s="124">
        <v>16.600000000000001</v>
      </c>
      <c r="C135" s="76">
        <v>-2.9239766100000002E-2</v>
      </c>
      <c r="D135" s="13">
        <v>16.7</v>
      </c>
      <c r="E135" s="14">
        <f>IF(ISNUMBER(D135), (D135 - $B135) / $B135, "")</f>
        <v>6.0240963855420398E-3</v>
      </c>
      <c r="F135" s="16">
        <f>IF(ISNUMBER(D135), $B145 * E135, "")</f>
        <v>602.40963855420398</v>
      </c>
      <c r="G135" s="29">
        <v>17</v>
      </c>
      <c r="H135" s="14">
        <f>IF(ISNUMBER(G135), (G135 - $B135) / $B135, "")</f>
        <v>2.4096385542168586E-2</v>
      </c>
      <c r="I135" s="100">
        <f>IF(ISNUMBER(G135), $B145 * H135, "")</f>
        <v>2409.6385542168587</v>
      </c>
      <c r="J135" s="13">
        <v>17</v>
      </c>
      <c r="K135" s="14">
        <f>IF(ISNUMBER(J135), (J135 - $B135) / $B135, "")</f>
        <v>2.4096385542168586E-2</v>
      </c>
      <c r="L135" s="16">
        <f>IF(ISNUMBER(J135), $B145 * K135, "")</f>
        <v>2409.6385542168587</v>
      </c>
      <c r="M135" s="29">
        <v>16.899999999999999</v>
      </c>
      <c r="N135" s="14">
        <f>IF(ISNUMBER(M135), (M135 - $B135) / $B135, "")</f>
        <v>1.8072289156626332E-2</v>
      </c>
      <c r="O135" s="16">
        <f>IF(ISNUMBER(M135), $B145 * N135, "")</f>
        <v>1807.2289156626332</v>
      </c>
      <c r="Q135" s="230"/>
      <c r="R135" s="231"/>
      <c r="S135" s="232"/>
    </row>
    <row r="136" spans="1:19" ht="17.25" thickBot="1">
      <c r="A136" s="162" t="s">
        <v>198</v>
      </c>
      <c r="B136" s="126">
        <v>16.5</v>
      </c>
      <c r="C136" s="77">
        <v>-2.9411764699999999E-2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17</v>
      </c>
      <c r="H136" s="32">
        <f t="shared" ref="H136:H139" si="71">IF(ISNUMBER(G136), (G136 - $B136) / $B136, "")</f>
        <v>3.0303030303030304E-2</v>
      </c>
      <c r="I136" s="101">
        <f>IF(ISNUMBER(G136), $B145 * H136, "")</f>
        <v>3030.3030303030305</v>
      </c>
      <c r="J136" s="15">
        <v>17</v>
      </c>
      <c r="K136" s="32">
        <f t="shared" ref="K136:K139" si="72">IF(ISNUMBER(J136), (J136 - $B136) / $B136, "")</f>
        <v>3.0303030303030304E-2</v>
      </c>
      <c r="L136" s="18">
        <f>IF(ISNUMBER(J136), $B145 * K136, "")</f>
        <v>3030.3030303030305</v>
      </c>
      <c r="M136" s="31">
        <v>16.899999999999999</v>
      </c>
      <c r="N136" s="32">
        <f t="shared" ref="N136:N139" si="73">IF(ISNUMBER(M136), (M136 - $B136) / $B136, "")</f>
        <v>2.4242424242424156E-2</v>
      </c>
      <c r="O136" s="18">
        <f>IF(ISNUMBER(M136), $B145 * N136, "")</f>
        <v>2424.2424242424154</v>
      </c>
      <c r="Q136" s="233"/>
      <c r="R136" s="234"/>
      <c r="S136" s="235"/>
    </row>
    <row r="137" spans="1:19" ht="17.25" thickBot="1">
      <c r="A137" s="162" t="s">
        <v>72</v>
      </c>
      <c r="B137" s="126">
        <v>20.6</v>
      </c>
      <c r="C137" s="77">
        <v>-3.2863849799999997E-2</v>
      </c>
      <c r="D137" s="15">
        <v>21.6</v>
      </c>
      <c r="E137" s="32">
        <f t="shared" si="70"/>
        <v>4.8543689320388349E-2</v>
      </c>
      <c r="F137" s="18">
        <f>IF(ISNUMBER(D137), $B145 * E137, "")</f>
        <v>4854.3689320388348</v>
      </c>
      <c r="G137" s="31">
        <v>21.6</v>
      </c>
      <c r="H137" s="32">
        <f t="shared" si="71"/>
        <v>4.8543689320388349E-2</v>
      </c>
      <c r="I137" s="101">
        <f>IF(ISNUMBER(G137), $B145 * H137, "")</f>
        <v>4854.3689320388348</v>
      </c>
      <c r="J137" s="15">
        <v>25.4</v>
      </c>
      <c r="K137" s="32">
        <f t="shared" si="72"/>
        <v>0.23300970873786392</v>
      </c>
      <c r="L137" s="18">
        <f>IF(ISNUMBER(J137), $B145 * K137, "")</f>
        <v>23300.970873786391</v>
      </c>
      <c r="M137" s="31">
        <v>22.5</v>
      </c>
      <c r="N137" s="32">
        <f t="shared" si="73"/>
        <v>9.2233009708737795E-2</v>
      </c>
      <c r="O137" s="18">
        <f>IF(ISNUMBER(M137), $B145 * N137, "")</f>
        <v>9223.3009708737791</v>
      </c>
      <c r="Q137" s="218"/>
      <c r="R137" s="218"/>
      <c r="S137" s="218"/>
    </row>
    <row r="138" spans="1:19" ht="17.25" thickBot="1">
      <c r="A138" s="162" t="s">
        <v>260</v>
      </c>
      <c r="B138" s="126">
        <v>75.7</v>
      </c>
      <c r="C138" s="77">
        <v>-3.3205619399999997E-2</v>
      </c>
      <c r="D138" s="15">
        <v>75.8</v>
      </c>
      <c r="E138" s="32">
        <f t="shared" si="70"/>
        <v>1.3210039630118138E-3</v>
      </c>
      <c r="F138" s="18">
        <f>IF(ISNUMBER(D138), $B145 * E138, "")</f>
        <v>132.10039630118138</v>
      </c>
      <c r="G138" s="31">
        <v>77.3</v>
      </c>
      <c r="H138" s="32">
        <f t="shared" si="71"/>
        <v>2.1136063408190148E-2</v>
      </c>
      <c r="I138" s="101">
        <f>IF(ISNUMBER(G138), $B145 * H138, "")</f>
        <v>2113.6063408190148</v>
      </c>
      <c r="J138" s="15">
        <v>78</v>
      </c>
      <c r="K138" s="32">
        <f t="shared" si="72"/>
        <v>3.0383091149273411E-2</v>
      </c>
      <c r="L138" s="18">
        <f>IF(ISNUMBER(J138), $B145 * K138, "")</f>
        <v>3038.3091149273409</v>
      </c>
      <c r="M138" s="31">
        <v>76.7</v>
      </c>
      <c r="N138" s="32">
        <f t="shared" si="73"/>
        <v>1.3210039630118889E-2</v>
      </c>
      <c r="O138" s="18">
        <f>IF(ISNUMBER(M138), $B145 * N138, "")</f>
        <v>1321.003963011889</v>
      </c>
      <c r="Q138" s="213"/>
      <c r="R138" s="213"/>
      <c r="S138" s="213"/>
    </row>
    <row r="139" spans="1:19" ht="17.25" thickBot="1">
      <c r="A139" s="163" t="s">
        <v>278</v>
      </c>
      <c r="B139" s="128">
        <v>79.099999999999994</v>
      </c>
      <c r="C139" s="78">
        <v>-3.4188034200000002E-2</v>
      </c>
      <c r="D139" s="20">
        <v>79.900000000000006</v>
      </c>
      <c r="E139" s="21">
        <f t="shared" si="70"/>
        <v>1.0113780025284595E-2</v>
      </c>
      <c r="F139" s="22">
        <f>IF(ISNUMBER(D139), $B145 * E139, "")</f>
        <v>1011.3780025284594</v>
      </c>
      <c r="G139" s="30">
        <v>80.5</v>
      </c>
      <c r="H139" s="21">
        <f t="shared" si="71"/>
        <v>1.769911504424786E-2</v>
      </c>
      <c r="I139" s="105">
        <f>IF(ISNUMBER(G139), $B145 * H139, "")</f>
        <v>1769.911504424786</v>
      </c>
      <c r="J139" s="20">
        <v>80.400000000000006</v>
      </c>
      <c r="K139" s="21">
        <f t="shared" si="72"/>
        <v>1.6434892541087376E-2</v>
      </c>
      <c r="L139" s="22">
        <f>IF(ISNUMBER(J139), $B145 * K139, "")</f>
        <v>1643.4892541087377</v>
      </c>
      <c r="M139" s="30">
        <v>80.8</v>
      </c>
      <c r="N139" s="21">
        <f t="shared" si="73"/>
        <v>2.1491782553729494E-2</v>
      </c>
      <c r="O139" s="22">
        <f>IF(ISNUMBER(M139), $B145 * N139, "")</f>
        <v>2149.1782553729495</v>
      </c>
      <c r="Q139" s="213"/>
      <c r="R139" s="213"/>
      <c r="S139" s="213"/>
    </row>
    <row r="140" spans="1:19" ht="17.25" thickBot="1">
      <c r="A140" s="162" t="s">
        <v>100</v>
      </c>
      <c r="B140" s="129">
        <v>4.71</v>
      </c>
      <c r="C140" s="80">
        <v>-3.48360656E-2</v>
      </c>
      <c r="D140" s="106">
        <v>4.67</v>
      </c>
      <c r="E140" s="107">
        <f>IF(ISNUMBER(D140), (D140 - $B140) / $B140, "")</f>
        <v>-8.492569002123149E-3</v>
      </c>
      <c r="F140" s="108">
        <f>IF(ISNUMBER(D140), $B145 * E140, "")</f>
        <v>-849.25690021231492</v>
      </c>
      <c r="G140" s="109">
        <v>4.66</v>
      </c>
      <c r="H140" s="107">
        <f>IF(ISNUMBER(G140), (G140 - $B140) / $B140, "")</f>
        <v>-1.0615711252653891E-2</v>
      </c>
      <c r="I140" s="110">
        <f>IF(ISNUMBER(G140), $B145 * H140, "")</f>
        <v>-1061.5711252653891</v>
      </c>
      <c r="J140" s="106">
        <v>4.66</v>
      </c>
      <c r="K140" s="107">
        <f>IF(ISNUMBER(J140), (J140 - $B140) / $B140, "")</f>
        <v>-1.0615711252653891E-2</v>
      </c>
      <c r="L140" s="108">
        <f>IF(ISNUMBER(J140), $B145 * K140, "")</f>
        <v>-1061.5711252653891</v>
      </c>
      <c r="M140" s="109">
        <v>4.67</v>
      </c>
      <c r="N140" s="107">
        <f>IF(ISNUMBER(M140), (M140 - $B140) / $B140, "")</f>
        <v>-8.492569002123149E-3</v>
      </c>
      <c r="O140" s="108">
        <f>IF(ISNUMBER(M140), $B145 * N140, "")</f>
        <v>-849.25690021231492</v>
      </c>
      <c r="Q140" s="218"/>
      <c r="R140" s="218"/>
      <c r="S140" s="218"/>
    </row>
    <row r="141" spans="1:19" ht="17.25" thickBot="1">
      <c r="A141" s="162" t="s">
        <v>122</v>
      </c>
      <c r="B141" s="126">
        <v>65.900000000000006</v>
      </c>
      <c r="C141" s="77">
        <v>-3.6549707600000002E-2</v>
      </c>
      <c r="D141" s="15">
        <v>65.900000000000006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66.3</v>
      </c>
      <c r="H141" s="32">
        <f t="shared" ref="H141:H144" si="75">IF(ISNUMBER(G141), (G141 - $B141) / $B141, "")</f>
        <v>6.0698027314110992E-3</v>
      </c>
      <c r="I141" s="101">
        <f>IF(ISNUMBER(G141), $B145 * H141, "")</f>
        <v>606.98027314110993</v>
      </c>
      <c r="J141" s="15">
        <v>66.900000000000006</v>
      </c>
      <c r="K141" s="32">
        <f t="shared" ref="K141:K144" si="76">IF(ISNUMBER(J141), (J141 - $B141) / $B141, "")</f>
        <v>1.5174506828528072E-2</v>
      </c>
      <c r="L141" s="18">
        <f>IF(ISNUMBER(J141), $B145 * K141, "")</f>
        <v>1517.4506828528072</v>
      </c>
      <c r="M141" s="31">
        <v>66.599999999999994</v>
      </c>
      <c r="N141" s="32">
        <f t="shared" ref="N141:N144" si="77">IF(ISNUMBER(M141), (M141 - $B141) / $B141, "")</f>
        <v>1.0622154779969478E-2</v>
      </c>
      <c r="O141" s="18">
        <f>IF(ISNUMBER(M141), $B145 * N141, "")</f>
        <v>1062.2154779969478</v>
      </c>
      <c r="Q141" s="218"/>
      <c r="R141" s="218"/>
      <c r="S141" s="218"/>
    </row>
    <row r="142" spans="1:19" ht="17.25" thickBot="1">
      <c r="A142" s="162" t="s">
        <v>264</v>
      </c>
      <c r="B142" s="126">
        <v>85.7</v>
      </c>
      <c r="C142" s="77">
        <v>-4.1387024600000002E-2</v>
      </c>
      <c r="D142" s="15">
        <v>86.5</v>
      </c>
      <c r="E142" s="32">
        <f t="shared" si="74"/>
        <v>9.3348891481913315E-3</v>
      </c>
      <c r="F142" s="18">
        <f>IF(ISNUMBER(D142), $B145 * E142, "")</f>
        <v>933.48891481913313</v>
      </c>
      <c r="G142" s="31">
        <v>87.9</v>
      </c>
      <c r="H142" s="32">
        <f t="shared" si="75"/>
        <v>2.5670945157526288E-2</v>
      </c>
      <c r="I142" s="101">
        <f>IF(ISNUMBER(G142), $B145 * H142, "")</f>
        <v>2567.0945157526289</v>
      </c>
      <c r="J142" s="15">
        <v>88.5</v>
      </c>
      <c r="K142" s="32">
        <f t="shared" si="76"/>
        <v>3.2672112018669743E-2</v>
      </c>
      <c r="L142" s="18">
        <f>IF(ISNUMBER(J142), $B145 * K142, "")</f>
        <v>3267.2112018669741</v>
      </c>
      <c r="M142" s="31">
        <v>87.7</v>
      </c>
      <c r="N142" s="32">
        <f t="shared" si="77"/>
        <v>2.3337222870478413E-2</v>
      </c>
      <c r="O142" s="18">
        <f>IF(ISNUMBER(M142), $B145 * N142, "")</f>
        <v>2333.7222870478413</v>
      </c>
      <c r="Q142" s="218"/>
      <c r="R142" s="218"/>
      <c r="S142" s="218"/>
    </row>
    <row r="143" spans="1:19">
      <c r="A143" s="162" t="s">
        <v>126</v>
      </c>
      <c r="B143" s="126">
        <v>27.7</v>
      </c>
      <c r="C143" s="77">
        <v>-4.1522491299999999E-2</v>
      </c>
      <c r="D143" s="15">
        <v>28.7</v>
      </c>
      <c r="E143" s="32">
        <f t="shared" si="74"/>
        <v>3.6101083032490974E-2</v>
      </c>
      <c r="F143" s="18">
        <f>IF(ISNUMBER(D143), $B145 * E143, "")</f>
        <v>3610.1083032490974</v>
      </c>
      <c r="G143" s="31">
        <v>29.4</v>
      </c>
      <c r="H143" s="32">
        <f t="shared" si="75"/>
        <v>6.1371841155234634E-2</v>
      </c>
      <c r="I143" s="101">
        <f>IF(ISNUMBER(G143), $B145 * H143, "")</f>
        <v>6137.1841155234633</v>
      </c>
      <c r="J143" s="15">
        <v>30.3</v>
      </c>
      <c r="K143" s="32">
        <f t="shared" si="76"/>
        <v>9.3862815884476591E-2</v>
      </c>
      <c r="L143" s="18">
        <f>IF(ISNUMBER(J143), $B145 * K143, "")</f>
        <v>9386.2815884476586</v>
      </c>
      <c r="M143" s="31">
        <v>29.6</v>
      </c>
      <c r="N143" s="32">
        <f t="shared" si="77"/>
        <v>6.8592057761732925E-2</v>
      </c>
      <c r="O143" s="18">
        <f>IF(ISNUMBER(M143), $B145 * N143, "")</f>
        <v>6859.2057761732922</v>
      </c>
      <c r="Q143" s="240"/>
      <c r="R143" s="241"/>
      <c r="S143" s="242"/>
    </row>
    <row r="144" spans="1:19" ht="17.25" thickBot="1">
      <c r="A144" s="130" t="s">
        <v>212</v>
      </c>
      <c r="B144" s="131">
        <v>79.099999999999994</v>
      </c>
      <c r="C144" s="79">
        <v>-4.5838359500000002E-2</v>
      </c>
      <c r="D144" s="24">
        <v>78.8</v>
      </c>
      <c r="E144" s="25">
        <f t="shared" si="74"/>
        <v>-3.7926675094816331E-3</v>
      </c>
      <c r="F144" s="104">
        <f>IF(ISNUMBER(D144), $B145 * E144, "")</f>
        <v>-379.26675094816329</v>
      </c>
      <c r="G144" s="102">
        <v>79.599999999999994</v>
      </c>
      <c r="H144" s="25">
        <f t="shared" si="75"/>
        <v>6.3211125158027818E-3</v>
      </c>
      <c r="I144" s="103">
        <f>IF(ISNUMBER(G144), $B145 * H144, "")</f>
        <v>632.11125158027824</v>
      </c>
      <c r="J144" s="24">
        <v>79.8</v>
      </c>
      <c r="K144" s="25">
        <f t="shared" si="76"/>
        <v>8.8495575221239301E-3</v>
      </c>
      <c r="L144" s="104">
        <f>IF(ISNUMBER(J144), $B145 * K144, "")</f>
        <v>884.95575221239301</v>
      </c>
      <c r="M144" s="102">
        <v>79.599999999999994</v>
      </c>
      <c r="N144" s="25">
        <f t="shared" si="77"/>
        <v>6.3211125158027818E-3</v>
      </c>
      <c r="O144" s="104">
        <f>IF(ISNUMBER(M144), $B145 * N144, "")</f>
        <v>632.11125158027824</v>
      </c>
      <c r="Q144" s="243"/>
      <c r="R144" s="244"/>
      <c r="S144" s="245"/>
    </row>
    <row r="145" spans="1:19" ht="17.25" thickBot="1">
      <c r="A145" s="132" t="s">
        <v>300</v>
      </c>
      <c r="B145" s="251">
        <f>$B$37</f>
        <v>100000</v>
      </c>
      <c r="C145" s="252"/>
      <c r="D145" s="26" t="s">
        <v>301</v>
      </c>
      <c r="E145" s="27">
        <f>IF(COUNT(E125:E144), SUM(E125:E144) / COUNT(E125:E144), 0)</f>
        <v>1.7472993910947886E-2</v>
      </c>
      <c r="F145" s="28">
        <f>SUM(F125:F144)</f>
        <v>34945.987821895782</v>
      </c>
      <c r="G145" s="26" t="s">
        <v>301</v>
      </c>
      <c r="H145" s="27">
        <f>IF(COUNT(H125:H144), SUM(H125:H144) / COUNT(H125:H144), 0)</f>
        <v>3.0147184224129743E-2</v>
      </c>
      <c r="I145" s="28">
        <f>SUM(I125:I144)</f>
        <v>60294.368448259484</v>
      </c>
      <c r="J145" s="26" t="s">
        <v>301</v>
      </c>
      <c r="K145" s="27">
        <f>IF(COUNT(K125:K144), SUM(K125:K144) / COUNT(K125:K144), 0)</f>
        <v>4.9203103602945719E-2</v>
      </c>
      <c r="L145" s="28">
        <f>SUM(L125:L144)</f>
        <v>98406.207205891449</v>
      </c>
      <c r="M145" s="26" t="s">
        <v>301</v>
      </c>
      <c r="N145" s="27">
        <f>IF(COUNT(N125:N144), SUM(N125:N144) / COUNT(N125:N144), 0)</f>
        <v>3.0065738819281002E-2</v>
      </c>
      <c r="O145" s="28">
        <f>SUM(O125:O144)</f>
        <v>60131.477638562006</v>
      </c>
      <c r="Q145" s="246"/>
      <c r="R145" s="247"/>
      <c r="S145" s="248"/>
    </row>
    <row r="147" spans="1:19" ht="17.25" thickBot="1"/>
    <row r="148" spans="1:19" ht="17.25" thickBot="1">
      <c r="A148" s="192" t="s">
        <v>289</v>
      </c>
      <c r="B148" s="193"/>
      <c r="C148" s="193"/>
      <c r="D148" s="193"/>
      <c r="E148" s="193"/>
      <c r="F148" s="193"/>
      <c r="G148" s="193"/>
      <c r="H148" s="193"/>
      <c r="I148" s="193"/>
      <c r="J148" s="193"/>
      <c r="K148" s="193"/>
      <c r="L148" s="193"/>
      <c r="M148" s="193"/>
      <c r="N148" s="193"/>
      <c r="O148" s="194"/>
      <c r="Q148" s="213"/>
      <c r="R148" s="213"/>
      <c r="S148" s="213"/>
    </row>
    <row r="149" spans="1:19" ht="17.25" thickBot="1">
      <c r="A149" s="180" t="s">
        <v>297</v>
      </c>
      <c r="B149" s="192" t="s">
        <v>49</v>
      </c>
      <c r="C149" s="194"/>
      <c r="D149" s="192" t="s">
        <v>58</v>
      </c>
      <c r="E149" s="193"/>
      <c r="F149" s="194"/>
      <c r="G149" s="219">
        <f>_xlfn.IFNA(VLOOKUP(B149, 현재가테이블!$B$2:$D$200, 2, FALSE), "-")</f>
        <v>38300000</v>
      </c>
      <c r="H149" s="220"/>
      <c r="I149" s="221"/>
      <c r="J149" s="192" t="s">
        <v>59</v>
      </c>
      <c r="K149" s="193"/>
      <c r="L149" s="194"/>
      <c r="M149" s="222">
        <f>_xlfn.IFNA(VLOOKUP(B149, 현재가테이블!$B$2:$D$200, 3, FALSE), "-")</f>
        <v>-1.9557649E-2</v>
      </c>
      <c r="N149" s="223"/>
      <c r="O149" s="224"/>
      <c r="Q149" s="213"/>
      <c r="R149" s="213"/>
      <c r="S149" s="213"/>
    </row>
    <row r="150" spans="1:19" ht="17.25" thickBot="1">
      <c r="A150" s="253" t="s">
        <v>55</v>
      </c>
      <c r="B150" s="255" t="str">
        <f>TEXT($G$1, "[$-ko-KR]yyyy-mm-dd(ddd) ") &amp; "오전 00:00"</f>
        <v>2021-06-06(일) 오전 00:00</v>
      </c>
      <c r="C150" s="256"/>
      <c r="D150" s="215" t="str">
        <f>TEXT($G$1, "[$-ko-KR]yyyy-mm-dd(ddd) ") &amp; "오후 14:00"</f>
        <v>2021-06-06(일) 오후 14:00</v>
      </c>
      <c r="E150" s="216"/>
      <c r="F150" s="217"/>
      <c r="G150" s="215" t="str">
        <f>TEXT($G$1, "[$-ko-KR]yyyy-mm-dd(ddd) ") &amp; "오후 19:00"</f>
        <v>2021-06-06(일) 오후 19:00</v>
      </c>
      <c r="H150" s="216"/>
      <c r="I150" s="217"/>
      <c r="J150" s="215" t="str">
        <f>TEXT($G$1, "[$-ko-KR]yyyy-mm-dd(ddd) ") &amp; "오후 21:00"</f>
        <v>2021-06-06(일) 오후 21:00</v>
      </c>
      <c r="K150" s="216"/>
      <c r="L150" s="217"/>
      <c r="M150" s="215" t="str">
        <f>TEXT($G$1+1, "[$-ko-KR]yyyy-mm-dd(ddd) ") &amp; "오전 00:00"</f>
        <v>2021-06-07(월) 오전 00:00</v>
      </c>
      <c r="N150" s="216"/>
      <c r="O150" s="217"/>
      <c r="Q150" s="213"/>
      <c r="R150" s="213"/>
      <c r="S150" s="213"/>
    </row>
    <row r="151" spans="1:19" ht="17.25" thickBot="1">
      <c r="A151" s="25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1" t="s">
        <v>58</v>
      </c>
      <c r="H151" s="182" t="s">
        <v>298</v>
      </c>
      <c r="I151" s="18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8"/>
      <c r="R151" s="218"/>
      <c r="S151" s="218"/>
    </row>
    <row r="152" spans="1:19" ht="17.25" thickBot="1">
      <c r="A152" s="161" t="s">
        <v>284</v>
      </c>
      <c r="B152" s="124">
        <v>252</v>
      </c>
      <c r="C152" s="76">
        <v>-2.7027026999999999E-2</v>
      </c>
      <c r="D152" s="13">
        <v>254</v>
      </c>
      <c r="E152" s="14">
        <f>IF(ISNUMBER(D152), (D152 - $B152) / $B152, "")</f>
        <v>7.9365079365079361E-3</v>
      </c>
      <c r="F152" s="16">
        <f>IF(ISNUMBER(D152), $B172 * E152, "")</f>
        <v>793.65079365079362</v>
      </c>
      <c r="G152" s="29">
        <v>261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259</v>
      </c>
      <c r="K152" s="14">
        <f>IF(ISNUMBER(J152), (J152 - $B152) / $B152, "")</f>
        <v>2.7777777777777776E-2</v>
      </c>
      <c r="L152" s="16">
        <f>IF(ISNUMBER(J152), $B172 * K152, "")</f>
        <v>2777.7777777777778</v>
      </c>
      <c r="M152" s="29">
        <v>255</v>
      </c>
      <c r="N152" s="14">
        <f>IF(ISNUMBER(M152), (M152 - $B152) / $B152, "")</f>
        <v>1.1904761904761904E-2</v>
      </c>
      <c r="O152" s="16">
        <f>IF(ISNUMBER(M152), $B172 * N152, "")</f>
        <v>1190.4761904761904</v>
      </c>
      <c r="Q152" s="213"/>
      <c r="R152" s="213"/>
      <c r="S152" s="213"/>
    </row>
    <row r="153" spans="1:19" ht="17.25" thickBot="1">
      <c r="A153" s="162" t="s">
        <v>128</v>
      </c>
      <c r="B153" s="126">
        <v>369</v>
      </c>
      <c r="C153" s="77">
        <v>-2.8947368399999999E-2</v>
      </c>
      <c r="D153" s="15">
        <v>373</v>
      </c>
      <c r="E153" s="32">
        <f t="shared" ref="E153:E156" si="78">IF(ISNUMBER(D153), (D153 - $B153) / $B153, "")</f>
        <v>1.0840108401084011E-2</v>
      </c>
      <c r="F153" s="18">
        <f>IF(ISNUMBER(D153), $B172 * E153, "")</f>
        <v>1084.010840108401</v>
      </c>
      <c r="G153" s="31">
        <v>376</v>
      </c>
      <c r="H153" s="32">
        <f t="shared" ref="H153:H156" si="79">IF(ISNUMBER(G153), (G153 - $B153) / $B153, "")</f>
        <v>1.8970189701897018E-2</v>
      </c>
      <c r="I153" s="101">
        <f>IF(ISNUMBER(G153), $B172 * H153, "")</f>
        <v>1897.0189701897018</v>
      </c>
      <c r="J153" s="15">
        <v>376</v>
      </c>
      <c r="K153" s="32">
        <f t="shared" ref="K153:K156" si="80">IF(ISNUMBER(J153), (J153 - $B153) / $B153, "")</f>
        <v>1.8970189701897018E-2</v>
      </c>
      <c r="L153" s="18">
        <f>IF(ISNUMBER(J153), $B172 * K153, "")</f>
        <v>1897.0189701897018</v>
      </c>
      <c r="M153" s="31">
        <v>377</v>
      </c>
      <c r="N153" s="32">
        <f t="shared" ref="N153:N156" si="81">IF(ISNUMBER(M153), (M153 - $B153) / $B153, "")</f>
        <v>2.1680216802168022E-2</v>
      </c>
      <c r="O153" s="18">
        <f>IF(ISNUMBER(M153), $B172 * N153, "")</f>
        <v>2168.021680216802</v>
      </c>
      <c r="Q153" s="213"/>
      <c r="R153" s="213"/>
      <c r="S153" s="213"/>
    </row>
    <row r="154" spans="1:19" ht="17.25" thickBot="1">
      <c r="A154" s="162" t="s">
        <v>234</v>
      </c>
      <c r="B154" s="126">
        <v>819</v>
      </c>
      <c r="C154" s="77">
        <v>-2.96208531E-2</v>
      </c>
      <c r="D154" s="15">
        <v>827</v>
      </c>
      <c r="E154" s="32">
        <f t="shared" si="78"/>
        <v>9.768009768009768E-3</v>
      </c>
      <c r="F154" s="18">
        <f>IF(ISNUMBER(D154), $B172 * E154, "")</f>
        <v>976.80097680097685</v>
      </c>
      <c r="G154" s="31">
        <v>851</v>
      </c>
      <c r="H154" s="32">
        <f t="shared" si="79"/>
        <v>3.9072039072039072E-2</v>
      </c>
      <c r="I154" s="101">
        <f>IF(ISNUMBER(G154), $B172 * H154, "")</f>
        <v>3907.2039072039074</v>
      </c>
      <c r="J154" s="15">
        <v>854</v>
      </c>
      <c r="K154" s="32">
        <f t="shared" si="80"/>
        <v>4.2735042735042736E-2</v>
      </c>
      <c r="L154" s="18">
        <f>IF(ISNUMBER(J154), $B172 * K154, "")</f>
        <v>4273.5042735042734</v>
      </c>
      <c r="M154" s="31">
        <v>831</v>
      </c>
      <c r="N154" s="32">
        <f t="shared" si="81"/>
        <v>1.4652014652014652E-2</v>
      </c>
      <c r="O154" s="18">
        <f>IF(ISNUMBER(M154), $B172 * N154, "")</f>
        <v>1465.2014652014652</v>
      </c>
      <c r="Q154" s="218"/>
      <c r="R154" s="218"/>
      <c r="S154" s="218"/>
    </row>
    <row r="155" spans="1:19" ht="17.25" thickBot="1">
      <c r="A155" s="162" t="s">
        <v>258</v>
      </c>
      <c r="B155" s="126">
        <v>485</v>
      </c>
      <c r="C155" s="77">
        <v>-0.03</v>
      </c>
      <c r="D155" s="15">
        <v>489</v>
      </c>
      <c r="E155" s="32">
        <f t="shared" si="78"/>
        <v>8.2474226804123713E-3</v>
      </c>
      <c r="F155" s="18">
        <f>IF(ISNUMBER(D155), $B172 * E155, "")</f>
        <v>824.74226804123714</v>
      </c>
      <c r="G155" s="31">
        <v>491</v>
      </c>
      <c r="H155" s="32">
        <f t="shared" si="79"/>
        <v>1.2371134020618556E-2</v>
      </c>
      <c r="I155" s="101">
        <f>IF(ISNUMBER(G155), $B172 * H155, "")</f>
        <v>1237.1134020618556</v>
      </c>
      <c r="J155" s="15">
        <v>492</v>
      </c>
      <c r="K155" s="32">
        <f t="shared" si="80"/>
        <v>1.443298969072165E-2</v>
      </c>
      <c r="L155" s="18">
        <f>IF(ISNUMBER(J155), $B172 * K155, "")</f>
        <v>1443.2989690721649</v>
      </c>
      <c r="M155" s="31">
        <v>490</v>
      </c>
      <c r="N155" s="32">
        <f t="shared" si="81"/>
        <v>1.0309278350515464E-2</v>
      </c>
      <c r="O155" s="18">
        <f>IF(ISNUMBER(M155), $B172 * N155, "")</f>
        <v>1030.9278350515465</v>
      </c>
      <c r="Q155" s="218"/>
      <c r="R155" s="218"/>
      <c r="S155" s="218"/>
    </row>
    <row r="156" spans="1:19" ht="17.25" thickBot="1">
      <c r="A156" s="163" t="s">
        <v>182</v>
      </c>
      <c r="B156" s="128">
        <v>289</v>
      </c>
      <c r="C156" s="78">
        <v>-3.02013423E-2</v>
      </c>
      <c r="D156" s="20">
        <v>291</v>
      </c>
      <c r="E156" s="21">
        <f t="shared" si="78"/>
        <v>6.920415224913495E-3</v>
      </c>
      <c r="F156" s="22">
        <f>IF(ISNUMBER(D156), $B172 * E156, "")</f>
        <v>692.0415224913495</v>
      </c>
      <c r="G156" s="30">
        <v>298</v>
      </c>
      <c r="H156" s="21">
        <f t="shared" si="79"/>
        <v>3.1141868512110725E-2</v>
      </c>
      <c r="I156" s="105">
        <f>IF(ISNUMBER(G156), $B172 * H156, "")</f>
        <v>3114.1868512110723</v>
      </c>
      <c r="J156" s="20">
        <v>303</v>
      </c>
      <c r="K156" s="21">
        <f t="shared" si="80"/>
        <v>4.8442906574394463E-2</v>
      </c>
      <c r="L156" s="22">
        <f>IF(ISNUMBER(J156), $B172 * K156, "")</f>
        <v>4844.2906574394465</v>
      </c>
      <c r="M156" s="30">
        <v>298</v>
      </c>
      <c r="N156" s="21">
        <f t="shared" si="81"/>
        <v>3.1141868512110725E-2</v>
      </c>
      <c r="O156" s="22">
        <f>IF(ISNUMBER(M156), $B172 * N156, "")</f>
        <v>3114.1868512110723</v>
      </c>
      <c r="Q156" s="218"/>
      <c r="R156" s="218"/>
      <c r="S156" s="218"/>
    </row>
    <row r="157" spans="1:19" ht="17.25" thickBot="1">
      <c r="A157" s="162" t="s">
        <v>240</v>
      </c>
      <c r="B157" s="129">
        <v>127</v>
      </c>
      <c r="C157" s="80">
        <v>-3.0534351099999999E-2</v>
      </c>
      <c r="D157" s="106">
        <v>127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131</v>
      </c>
      <c r="H157" s="107">
        <f>IF(ISNUMBER(G157), (G157 - $B157) / $B157, "")</f>
        <v>3.1496062992125984E-2</v>
      </c>
      <c r="I157" s="110">
        <f>IF(ISNUMBER(G157), $B172 * H157, "")</f>
        <v>3149.6062992125985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131</v>
      </c>
      <c r="N157" s="107">
        <f>IF(ISNUMBER(M157), (M157 - $B157) / $B157, "")</f>
        <v>3.1496062992125984E-2</v>
      </c>
      <c r="O157" s="108">
        <f>IF(ISNUMBER(M157), $B172 * N157, "")</f>
        <v>3149.6062992125985</v>
      </c>
      <c r="Q157" s="218"/>
      <c r="R157" s="218"/>
      <c r="S157" s="218"/>
    </row>
    <row r="158" spans="1:19" ht="17.25" thickBot="1">
      <c r="A158" s="162" t="s">
        <v>208</v>
      </c>
      <c r="B158" s="126">
        <v>311</v>
      </c>
      <c r="C158" s="77">
        <v>-3.1152648000000002E-2</v>
      </c>
      <c r="D158" s="15">
        <v>314</v>
      </c>
      <c r="E158" s="32">
        <f t="shared" ref="E158:E161" si="82">IF(ISNUMBER(D158), (D158 - $B158) / $B158, "")</f>
        <v>9.6463022508038593E-3</v>
      </c>
      <c r="F158" s="18">
        <f>IF(ISNUMBER(D158), $B172 * E158, "")</f>
        <v>964.63022508038591</v>
      </c>
      <c r="G158" s="31">
        <v>318</v>
      </c>
      <c r="H158" s="32">
        <f t="shared" ref="H158:H161" si="83">IF(ISNUMBER(G158), (G158 - $B158) / $B158, "")</f>
        <v>2.2508038585209004E-2</v>
      </c>
      <c r="I158" s="101">
        <f>IF(ISNUMBER(G158), $B172 * H158, "")</f>
        <v>2250.8038585209006</v>
      </c>
      <c r="J158" s="15">
        <v>318</v>
      </c>
      <c r="K158" s="32">
        <f t="shared" ref="K158:K161" si="84">IF(ISNUMBER(J158), (J158 - $B158) / $B158, "")</f>
        <v>2.2508038585209004E-2</v>
      </c>
      <c r="L158" s="18">
        <f>IF(ISNUMBER(J158), $B172 * K158, "")</f>
        <v>2250.8038585209006</v>
      </c>
      <c r="M158" s="31">
        <v>320</v>
      </c>
      <c r="N158" s="32">
        <f t="shared" ref="N158:N161" si="85">IF(ISNUMBER(M158), (M158 - $B158) / $B158, "")</f>
        <v>2.8938906752411574E-2</v>
      </c>
      <c r="O158" s="18">
        <f>IF(ISNUMBER(M158), $B172 * N158, "")</f>
        <v>2893.8906752411576</v>
      </c>
      <c r="Q158" s="218"/>
      <c r="R158" s="218"/>
      <c r="S158" s="218"/>
    </row>
    <row r="159" spans="1:19" ht="17.25" thickBot="1">
      <c r="A159" s="162" t="s">
        <v>57</v>
      </c>
      <c r="B159" s="126">
        <v>213</v>
      </c>
      <c r="C159" s="77">
        <v>-3.1818181799999998E-2</v>
      </c>
      <c r="D159" s="15">
        <v>214</v>
      </c>
      <c r="E159" s="32">
        <f t="shared" si="82"/>
        <v>4.6948356807511738E-3</v>
      </c>
      <c r="F159" s="18">
        <f>IF(ISNUMBER(D159), $B172 * E159, "")</f>
        <v>469.48356807511738</v>
      </c>
      <c r="G159" s="31">
        <v>217</v>
      </c>
      <c r="H159" s="32">
        <f t="shared" si="83"/>
        <v>1.8779342723004695E-2</v>
      </c>
      <c r="I159" s="101">
        <f>IF(ISNUMBER(G159), $B172 * H159, "")</f>
        <v>1877.9342723004695</v>
      </c>
      <c r="J159" s="15">
        <v>216</v>
      </c>
      <c r="K159" s="32">
        <f t="shared" si="84"/>
        <v>1.4084507042253521E-2</v>
      </c>
      <c r="L159" s="18">
        <f>IF(ISNUMBER(J159), $B172 * K159, "")</f>
        <v>1408.4507042253522</v>
      </c>
      <c r="M159" s="31">
        <v>216</v>
      </c>
      <c r="N159" s="32">
        <f t="shared" si="85"/>
        <v>1.4084507042253521E-2</v>
      </c>
      <c r="O159" s="18">
        <f>IF(ISNUMBER(M159), $B172 * N159, "")</f>
        <v>1408.4507042253522</v>
      </c>
      <c r="Q159" s="218"/>
      <c r="R159" s="218"/>
      <c r="S159" s="218"/>
    </row>
    <row r="160" spans="1:19" ht="17.25" thickBot="1">
      <c r="A160" s="162" t="s">
        <v>200</v>
      </c>
      <c r="B160" s="126">
        <v>210</v>
      </c>
      <c r="C160" s="77">
        <v>-3.2258064500000003E-2</v>
      </c>
      <c r="D160" s="15">
        <v>244</v>
      </c>
      <c r="E160" s="32">
        <f t="shared" si="82"/>
        <v>0.16190476190476191</v>
      </c>
      <c r="F160" s="18">
        <f>IF(ISNUMBER(D160), $B172 * E160, "")</f>
        <v>16190.476190476191</v>
      </c>
      <c r="G160" s="31">
        <v>246</v>
      </c>
      <c r="H160" s="32">
        <f t="shared" si="83"/>
        <v>0.17142857142857143</v>
      </c>
      <c r="I160" s="101">
        <f>IF(ISNUMBER(G160), $B172 * H160, "")</f>
        <v>17142.857142857141</v>
      </c>
      <c r="J160" s="15">
        <v>229</v>
      </c>
      <c r="K160" s="32">
        <f t="shared" si="84"/>
        <v>9.0476190476190474E-2</v>
      </c>
      <c r="L160" s="18">
        <f>IF(ISNUMBER(J160), $B172 * K160, "")</f>
        <v>9047.6190476190477</v>
      </c>
      <c r="M160" s="31">
        <v>224</v>
      </c>
      <c r="N160" s="32">
        <f t="shared" si="85"/>
        <v>6.6666666666666666E-2</v>
      </c>
      <c r="O160" s="18">
        <f>IF(ISNUMBER(M160), $B172 * N160, "")</f>
        <v>6666.666666666667</v>
      </c>
      <c r="Q160" s="33"/>
      <c r="R160" s="33"/>
    </row>
    <row r="161" spans="1:19" ht="17.25" thickBot="1">
      <c r="A161" s="130" t="s">
        <v>170</v>
      </c>
      <c r="B161" s="131">
        <v>294</v>
      </c>
      <c r="C161" s="79">
        <v>-3.2894736799999998E-2</v>
      </c>
      <c r="D161" s="24">
        <v>294</v>
      </c>
      <c r="E161" s="25">
        <f t="shared" si="82"/>
        <v>0</v>
      </c>
      <c r="F161" s="104">
        <f>IF(ISNUMBER(D161), $B172 * E161, "")</f>
        <v>0</v>
      </c>
      <c r="G161" s="102">
        <v>295</v>
      </c>
      <c r="H161" s="25">
        <f t="shared" si="83"/>
        <v>3.4013605442176869E-3</v>
      </c>
      <c r="I161" s="103">
        <f>IF(ISNUMBER(G161), $B172 * H161, "")</f>
        <v>340.13605442176868</v>
      </c>
      <c r="J161" s="24">
        <v>298</v>
      </c>
      <c r="K161" s="25">
        <f t="shared" si="84"/>
        <v>1.3605442176870748E-2</v>
      </c>
      <c r="L161" s="104">
        <f>IF(ISNUMBER(J161), $B172 * K161, "")</f>
        <v>1360.5442176870747</v>
      </c>
      <c r="M161" s="102">
        <v>297</v>
      </c>
      <c r="N161" s="25">
        <f t="shared" si="85"/>
        <v>1.020408163265306E-2</v>
      </c>
      <c r="O161" s="104">
        <f>IF(ISNUMBER(M161), $B172 * N161, "")</f>
        <v>1020.408163265306</v>
      </c>
      <c r="Q161" s="227"/>
      <c r="R161" s="228"/>
      <c r="S161" s="229"/>
    </row>
    <row r="162" spans="1:19">
      <c r="A162" s="161" t="s">
        <v>226</v>
      </c>
      <c r="B162" s="124">
        <v>294</v>
      </c>
      <c r="C162" s="76">
        <v>-3.2894736799999998E-2</v>
      </c>
      <c r="D162" s="13">
        <v>296</v>
      </c>
      <c r="E162" s="14">
        <f>IF(ISNUMBER(D162), (D162 - $B162) / $B162, "")</f>
        <v>6.8027210884353739E-3</v>
      </c>
      <c r="F162" s="16">
        <f>IF(ISNUMBER(D162), $B172 * E162, "")</f>
        <v>680.27210884353735</v>
      </c>
      <c r="G162" s="29">
        <v>302</v>
      </c>
      <c r="H162" s="14">
        <f>IF(ISNUMBER(G162), (G162 - $B162) / $B162, "")</f>
        <v>2.7210884353741496E-2</v>
      </c>
      <c r="I162" s="100">
        <f>IF(ISNUMBER(G162), $B172 * H162, "")</f>
        <v>2721.0884353741494</v>
      </c>
      <c r="J162" s="13">
        <v>303</v>
      </c>
      <c r="K162" s="14">
        <f>IF(ISNUMBER(J162), (J162 - $B162) / $B162, "")</f>
        <v>3.0612244897959183E-2</v>
      </c>
      <c r="L162" s="16">
        <f>IF(ISNUMBER(J162), $B172 * K162, "")</f>
        <v>3061.2244897959181</v>
      </c>
      <c r="M162" s="29">
        <v>298</v>
      </c>
      <c r="N162" s="14">
        <f>IF(ISNUMBER(M162), (M162 - $B162) / $B162, "")</f>
        <v>1.3605442176870748E-2</v>
      </c>
      <c r="O162" s="16">
        <f>IF(ISNUMBER(M162), $B172 * N162, "")</f>
        <v>1360.5442176870747</v>
      </c>
      <c r="Q162" s="230"/>
      <c r="R162" s="231"/>
      <c r="S162" s="232"/>
    </row>
    <row r="163" spans="1:19" ht="17.25" thickBot="1">
      <c r="A163" s="162" t="s">
        <v>250</v>
      </c>
      <c r="B163" s="126">
        <v>117</v>
      </c>
      <c r="C163" s="77">
        <v>-3.3057851200000002E-2</v>
      </c>
      <c r="D163" s="15">
        <v>118</v>
      </c>
      <c r="E163" s="32">
        <f t="shared" ref="E163:E166" si="86">IF(ISNUMBER(D163), (D163 - $B163) / $B163, "")</f>
        <v>8.5470085470085479E-3</v>
      </c>
      <c r="F163" s="18">
        <f>IF(ISNUMBER(D163), $B172 * E163, "")</f>
        <v>854.70085470085473</v>
      </c>
      <c r="G163" s="31">
        <v>120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121</v>
      </c>
      <c r="K163" s="32">
        <f t="shared" ref="K163:K166" si="88">IF(ISNUMBER(J163), (J163 - $B163) / $B163, "")</f>
        <v>3.4188034188034191E-2</v>
      </c>
      <c r="L163" s="18">
        <f>IF(ISNUMBER(J163), $B172 * K163, "")</f>
        <v>3418.8034188034189</v>
      </c>
      <c r="M163" s="31">
        <v>120</v>
      </c>
      <c r="N163" s="32">
        <f t="shared" ref="N163:N166" si="89">IF(ISNUMBER(M163), (M163 - $B163) / $B163, "")</f>
        <v>2.564102564102564E-2</v>
      </c>
      <c r="O163" s="18">
        <f>IF(ISNUMBER(M163), $B172 * N163, "")</f>
        <v>2564.102564102564</v>
      </c>
      <c r="Q163" s="233"/>
      <c r="R163" s="234"/>
      <c r="S163" s="235"/>
    </row>
    <row r="164" spans="1:19" ht="17.25" thickBot="1">
      <c r="A164" s="162" t="s">
        <v>54</v>
      </c>
      <c r="B164" s="126">
        <v>262</v>
      </c>
      <c r="C164" s="77">
        <v>-3.3210332100000003E-2</v>
      </c>
      <c r="D164" s="15">
        <v>259</v>
      </c>
      <c r="E164" s="32">
        <f t="shared" si="86"/>
        <v>-1.1450381679389313E-2</v>
      </c>
      <c r="F164" s="18">
        <f>IF(ISNUMBER(D164), $B172 * E164, "")</f>
        <v>-1145.0381679389313</v>
      </c>
      <c r="G164" s="31">
        <v>263</v>
      </c>
      <c r="H164" s="32">
        <f t="shared" si="87"/>
        <v>3.8167938931297708E-3</v>
      </c>
      <c r="I164" s="101">
        <f>IF(ISNUMBER(G164), $B172 * H164, "")</f>
        <v>381.67938931297709</v>
      </c>
      <c r="J164" s="15">
        <v>263</v>
      </c>
      <c r="K164" s="32">
        <f t="shared" si="88"/>
        <v>3.8167938931297708E-3</v>
      </c>
      <c r="L164" s="18">
        <f>IF(ISNUMBER(J164), $B172 * K164, "")</f>
        <v>381.67938931297709</v>
      </c>
      <c r="M164" s="31">
        <v>265</v>
      </c>
      <c r="N164" s="32">
        <f t="shared" si="89"/>
        <v>1.1450381679389313E-2</v>
      </c>
      <c r="O164" s="18">
        <f>IF(ISNUMBER(M164), $B172 * N164, "")</f>
        <v>1145.0381679389313</v>
      </c>
      <c r="Q164" s="218"/>
      <c r="R164" s="218"/>
      <c r="S164" s="218"/>
    </row>
    <row r="165" spans="1:19" ht="17.25" thickBot="1">
      <c r="A165" s="162" t="s">
        <v>136</v>
      </c>
      <c r="B165" s="126">
        <v>143</v>
      </c>
      <c r="C165" s="77">
        <v>-3.3783783800000002E-2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152</v>
      </c>
      <c r="H165" s="32">
        <f t="shared" si="87"/>
        <v>6.2937062937062943E-2</v>
      </c>
      <c r="I165" s="101">
        <f>IF(ISNUMBER(G165), $B172 * H165, "")</f>
        <v>6293.7062937062947</v>
      </c>
      <c r="J165" s="15">
        <v>150</v>
      </c>
      <c r="K165" s="32">
        <f t="shared" si="88"/>
        <v>4.8951048951048952E-2</v>
      </c>
      <c r="L165" s="18">
        <f>IF(ISNUMBER(J165), $B172 * K165, "")</f>
        <v>4895.1048951048951</v>
      </c>
      <c r="M165" s="31">
        <v>148</v>
      </c>
      <c r="N165" s="32">
        <f t="shared" si="89"/>
        <v>3.4965034965034968E-2</v>
      </c>
      <c r="O165" s="18">
        <f>IF(ISNUMBER(M165), $B172 * N165, "")</f>
        <v>3496.5034965034965</v>
      </c>
      <c r="Q165" s="213"/>
      <c r="R165" s="213"/>
      <c r="S165" s="213"/>
    </row>
    <row r="166" spans="1:19" ht="17.25" thickBot="1">
      <c r="A166" s="163" t="s">
        <v>168</v>
      </c>
      <c r="B166" s="128">
        <v>106</v>
      </c>
      <c r="C166" s="78">
        <v>-3.6363636400000003E-2</v>
      </c>
      <c r="D166" s="20">
        <v>106</v>
      </c>
      <c r="E166" s="21">
        <f t="shared" si="86"/>
        <v>0</v>
      </c>
      <c r="F166" s="22">
        <f>IF(ISNUMBER(D166), $B172 * E166, "")</f>
        <v>0</v>
      </c>
      <c r="G166" s="30">
        <v>108</v>
      </c>
      <c r="H166" s="21">
        <f t="shared" si="87"/>
        <v>1.8867924528301886E-2</v>
      </c>
      <c r="I166" s="105">
        <f>IF(ISNUMBER(G166), $B172 * H166, "")</f>
        <v>1886.7924528301885</v>
      </c>
      <c r="J166" s="20">
        <v>107</v>
      </c>
      <c r="K166" s="21">
        <f t="shared" si="88"/>
        <v>9.433962264150943E-3</v>
      </c>
      <c r="L166" s="22">
        <f>IF(ISNUMBER(J166), $B172 * K166, "")</f>
        <v>943.39622641509425</v>
      </c>
      <c r="M166" s="30">
        <v>107</v>
      </c>
      <c r="N166" s="21">
        <f t="shared" si="89"/>
        <v>9.433962264150943E-3</v>
      </c>
      <c r="O166" s="22">
        <f>IF(ISNUMBER(M166), $B172 * N166, "")</f>
        <v>943.39622641509425</v>
      </c>
      <c r="Q166" s="213"/>
      <c r="R166" s="213"/>
      <c r="S166" s="213"/>
    </row>
    <row r="167" spans="1:19" ht="17.25" thickBot="1">
      <c r="A167" s="162" t="s">
        <v>270</v>
      </c>
      <c r="B167" s="129">
        <v>356</v>
      </c>
      <c r="C167" s="80">
        <v>-3.7837837800000003E-2</v>
      </c>
      <c r="D167" s="106">
        <v>356</v>
      </c>
      <c r="E167" s="107">
        <f>IF(ISNUMBER(D167), (D167 - $B167) / $B167, "")</f>
        <v>0</v>
      </c>
      <c r="F167" s="108">
        <f>IF(ISNUMBER(D167), $B172 * E167, "")</f>
        <v>0</v>
      </c>
      <c r="G167" s="109">
        <v>360</v>
      </c>
      <c r="H167" s="107">
        <f>IF(ISNUMBER(G167), (G167 - $B167) / $B167, "")</f>
        <v>1.1235955056179775E-2</v>
      </c>
      <c r="I167" s="110">
        <f>IF(ISNUMBER(G167), $B172 * H167, "")</f>
        <v>1123.5955056179776</v>
      </c>
      <c r="J167" s="106">
        <v>362</v>
      </c>
      <c r="K167" s="107">
        <f>IF(ISNUMBER(J167), (J167 - $B167) / $B167, "")</f>
        <v>1.6853932584269662E-2</v>
      </c>
      <c r="L167" s="108">
        <f>IF(ISNUMBER(J167), $B172 * K167, "")</f>
        <v>1685.3932584269662</v>
      </c>
      <c r="M167" s="109">
        <v>357</v>
      </c>
      <c r="N167" s="107">
        <f>IF(ISNUMBER(M167), (M167 - $B167) / $B167, "")</f>
        <v>2.8089887640449437E-3</v>
      </c>
      <c r="O167" s="108">
        <f>IF(ISNUMBER(M167), $B172 * N167, "")</f>
        <v>280.89887640449439</v>
      </c>
      <c r="Q167" s="218"/>
      <c r="R167" s="218"/>
      <c r="S167" s="218"/>
    </row>
    <row r="168" spans="1:19" ht="17.25" thickBot="1">
      <c r="A168" s="162" t="s">
        <v>210</v>
      </c>
      <c r="B168" s="126">
        <v>126</v>
      </c>
      <c r="C168" s="77">
        <v>-3.8167938899999997E-2</v>
      </c>
      <c r="D168" s="15">
        <v>127</v>
      </c>
      <c r="E168" s="32">
        <f t="shared" ref="E168:E171" si="90">IF(ISNUMBER(D168), (D168 - $B168) / $B168, "")</f>
        <v>7.9365079365079361E-3</v>
      </c>
      <c r="F168" s="18">
        <f>IF(ISNUMBER(D168), $B172 * E168, "")</f>
        <v>793.65079365079362</v>
      </c>
      <c r="G168" s="31">
        <v>131</v>
      </c>
      <c r="H168" s="32">
        <f t="shared" ref="H168:H171" si="91">IF(ISNUMBER(G168), (G168 - $B168) / $B168, "")</f>
        <v>3.968253968253968E-2</v>
      </c>
      <c r="I168" s="101">
        <f>IF(ISNUMBER(G168), $B172 * H168, "")</f>
        <v>3968.2539682539682</v>
      </c>
      <c r="J168" s="15">
        <v>132</v>
      </c>
      <c r="K168" s="32">
        <f t="shared" ref="K168:K171" si="92">IF(ISNUMBER(J168), (J168 - $B168) / $B168, "")</f>
        <v>4.7619047619047616E-2</v>
      </c>
      <c r="L168" s="18">
        <f>IF(ISNUMBER(J168), $B172 * K168, "")</f>
        <v>4761.9047619047615</v>
      </c>
      <c r="M168" s="31">
        <v>131</v>
      </c>
      <c r="N168" s="32">
        <f t="shared" ref="N168:N171" si="93">IF(ISNUMBER(M168), (M168 - $B168) / $B168, "")</f>
        <v>3.968253968253968E-2</v>
      </c>
      <c r="O168" s="18">
        <f>IF(ISNUMBER(M168), $B172 * N168, "")</f>
        <v>3968.2539682539682</v>
      </c>
      <c r="Q168" s="218"/>
      <c r="R168" s="218"/>
      <c r="S168" s="218"/>
    </row>
    <row r="169" spans="1:19" ht="17.25" thickBot="1">
      <c r="A169" s="162" t="s">
        <v>256</v>
      </c>
      <c r="B169" s="126">
        <v>174</v>
      </c>
      <c r="C169" s="77">
        <v>-3.8674033099999998E-2</v>
      </c>
      <c r="D169" s="15">
        <v>175</v>
      </c>
      <c r="E169" s="32">
        <f t="shared" si="90"/>
        <v>5.7471264367816091E-3</v>
      </c>
      <c r="F169" s="18">
        <f>IF(ISNUMBER(D169), $B172 * E169, "")</f>
        <v>574.71264367816093</v>
      </c>
      <c r="G169" s="31">
        <v>180</v>
      </c>
      <c r="H169" s="32">
        <f t="shared" si="91"/>
        <v>3.4482758620689655E-2</v>
      </c>
      <c r="I169" s="101">
        <f>IF(ISNUMBER(G169), $B172 * H169, "")</f>
        <v>3448.2758620689656</v>
      </c>
      <c r="J169" s="15">
        <v>181</v>
      </c>
      <c r="K169" s="32">
        <f t="shared" si="92"/>
        <v>4.0229885057471264E-2</v>
      </c>
      <c r="L169" s="18">
        <f>IF(ISNUMBER(J169), $B172 * K169, "")</f>
        <v>4022.9885057471265</v>
      </c>
      <c r="M169" s="31">
        <v>179</v>
      </c>
      <c r="N169" s="32">
        <f t="shared" si="93"/>
        <v>2.8735632183908046E-2</v>
      </c>
      <c r="O169" s="18">
        <f>IF(ISNUMBER(M169), $B172 * N169, "")</f>
        <v>2873.5632183908046</v>
      </c>
      <c r="Q169" s="218"/>
      <c r="R169" s="218"/>
      <c r="S169" s="218"/>
    </row>
    <row r="170" spans="1:19">
      <c r="A170" s="162" t="s">
        <v>116</v>
      </c>
      <c r="B170" s="126">
        <v>372</v>
      </c>
      <c r="C170" s="77">
        <v>-4.1237113399999997E-2</v>
      </c>
      <c r="D170" s="15">
        <v>372</v>
      </c>
      <c r="E170" s="32">
        <f t="shared" si="90"/>
        <v>0</v>
      </c>
      <c r="F170" s="18">
        <f>IF(ISNUMBER(D170), $B172 * E170, "")</f>
        <v>0</v>
      </c>
      <c r="G170" s="31">
        <v>378</v>
      </c>
      <c r="H170" s="32">
        <f t="shared" si="91"/>
        <v>1.6129032258064516E-2</v>
      </c>
      <c r="I170" s="101">
        <f>IF(ISNUMBER(G170), $B172 * H170, "")</f>
        <v>1612.9032258064515</v>
      </c>
      <c r="J170" s="15">
        <v>379</v>
      </c>
      <c r="K170" s="32">
        <f t="shared" si="92"/>
        <v>1.8817204301075269E-2</v>
      </c>
      <c r="L170" s="18">
        <f>IF(ISNUMBER(J170), $B172 * K170, "")</f>
        <v>1881.7204301075269</v>
      </c>
      <c r="M170" s="31">
        <v>376</v>
      </c>
      <c r="N170" s="32">
        <f t="shared" si="93"/>
        <v>1.0752688172043012E-2</v>
      </c>
      <c r="O170" s="18">
        <f>IF(ISNUMBER(M170), $B172 * N170, "")</f>
        <v>1075.2688172043011</v>
      </c>
      <c r="Q170" s="240"/>
      <c r="R170" s="241"/>
      <c r="S170" s="242"/>
    </row>
    <row r="171" spans="1:19" ht="17.25" thickBot="1">
      <c r="A171" s="130" t="s">
        <v>252</v>
      </c>
      <c r="B171" s="131">
        <v>311</v>
      </c>
      <c r="C171" s="79">
        <v>-4.3076923099999997E-2</v>
      </c>
      <c r="D171" s="24">
        <v>316</v>
      </c>
      <c r="E171" s="25">
        <f t="shared" si="90"/>
        <v>1.607717041800643E-2</v>
      </c>
      <c r="F171" s="104">
        <f>IF(ISNUMBER(D171), $B172 * E171, "")</f>
        <v>1607.7170418006431</v>
      </c>
      <c r="G171" s="102">
        <v>321</v>
      </c>
      <c r="H171" s="25">
        <f t="shared" si="91"/>
        <v>3.215434083601286E-2</v>
      </c>
      <c r="I171" s="103">
        <f>IF(ISNUMBER(G171), $B172 * H171, "")</f>
        <v>3215.4340836012861</v>
      </c>
      <c r="J171" s="24">
        <v>321</v>
      </c>
      <c r="K171" s="25">
        <f t="shared" si="92"/>
        <v>3.215434083601286E-2</v>
      </c>
      <c r="L171" s="104">
        <f>IF(ISNUMBER(J171), $B172 * K171, "")</f>
        <v>3215.4340836012861</v>
      </c>
      <c r="M171" s="102">
        <v>317</v>
      </c>
      <c r="N171" s="25">
        <f t="shared" si="93"/>
        <v>1.9292604501607719E-2</v>
      </c>
      <c r="O171" s="104">
        <f>IF(ISNUMBER(M171), $B172 * N171, "")</f>
        <v>1929.2604501607718</v>
      </c>
      <c r="Q171" s="243"/>
      <c r="R171" s="244"/>
      <c r="S171" s="245"/>
    </row>
    <row r="172" spans="1:19" ht="17.25" thickBot="1">
      <c r="A172" s="132" t="s">
        <v>300</v>
      </c>
      <c r="B172" s="251">
        <f>$B$37</f>
        <v>100000</v>
      </c>
      <c r="C172" s="252"/>
      <c r="D172" s="26" t="s">
        <v>301</v>
      </c>
      <c r="E172" s="27">
        <f>IF(COUNT(E152:E171), SUM(E152:E171) / COUNT(E152:E171), 0)</f>
        <v>1.3380226529030457E-2</v>
      </c>
      <c r="F172" s="28">
        <f>SUM(F152:F171)</f>
        <v>26760.45305806091</v>
      </c>
      <c r="G172" s="26" t="s">
        <v>301</v>
      </c>
      <c r="H172" s="27">
        <f>IF(COUNT(H152:H171), SUM(H152:H171) / COUNT(H152:H171), 0)</f>
        <v>3.2852060555041404E-2</v>
      </c>
      <c r="I172" s="28">
        <f>SUM(I152:I171)</f>
        <v>65704.121110082822</v>
      </c>
      <c r="J172" s="26" t="s">
        <v>301</v>
      </c>
      <c r="K172" s="27">
        <f>IF(COUNT(K152:K171), SUM(K152:K171) / COUNT(K152:K171), 0)</f>
        <v>3.0360282117234148E-2</v>
      </c>
      <c r="L172" s="28">
        <f>SUM(L152:L171)</f>
        <v>60720.564234468315</v>
      </c>
      <c r="M172" s="26" t="s">
        <v>301</v>
      </c>
      <c r="N172" s="27">
        <f>IF(COUNT(N152:N171), SUM(N152:N171) / COUNT(N152:N171), 0)</f>
        <v>2.1872333266914835E-2</v>
      </c>
      <c r="O172" s="28">
        <f>SUM(O152:O171)</f>
        <v>43744.666533829659</v>
      </c>
      <c r="Q172" s="246"/>
      <c r="R172" s="247"/>
      <c r="S172" s="248"/>
    </row>
    <row r="174" spans="1:19" ht="17.25" thickBot="1"/>
    <row r="175" spans="1:19" ht="17.25" thickBot="1">
      <c r="A175" s="192" t="s">
        <v>285</v>
      </c>
      <c r="B175" s="193"/>
      <c r="C175" s="193"/>
      <c r="D175" s="193"/>
      <c r="E175" s="193"/>
      <c r="F175" s="193"/>
      <c r="G175" s="193"/>
      <c r="H175" s="193"/>
      <c r="I175" s="193"/>
      <c r="J175" s="193"/>
      <c r="K175" s="193"/>
      <c r="L175" s="193"/>
      <c r="M175" s="193"/>
      <c r="N175" s="193"/>
      <c r="O175" s="194"/>
      <c r="Q175" s="213"/>
      <c r="R175" s="213"/>
      <c r="S175" s="213"/>
    </row>
    <row r="176" spans="1:19" ht="17.25" thickBot="1">
      <c r="A176" s="180" t="s">
        <v>297</v>
      </c>
      <c r="B176" s="192" t="s">
        <v>49</v>
      </c>
      <c r="C176" s="194"/>
      <c r="D176" s="192" t="s">
        <v>58</v>
      </c>
      <c r="E176" s="193"/>
      <c r="F176" s="194"/>
      <c r="G176" s="219">
        <f>_xlfn.IFNA(VLOOKUP(B176, 현재가테이블!$B$2:$D$200, 2, FALSE), "-")</f>
        <v>38300000</v>
      </c>
      <c r="H176" s="220"/>
      <c r="I176" s="221"/>
      <c r="J176" s="192" t="s">
        <v>59</v>
      </c>
      <c r="K176" s="193"/>
      <c r="L176" s="194"/>
      <c r="M176" s="222">
        <f>_xlfn.IFNA(VLOOKUP(B176, 현재가테이블!$B$2:$D$200, 3, FALSE), "-")</f>
        <v>-1.9557649E-2</v>
      </c>
      <c r="N176" s="223"/>
      <c r="O176" s="224"/>
      <c r="Q176" s="213"/>
      <c r="R176" s="213"/>
      <c r="S176" s="213"/>
    </row>
    <row r="177" spans="1:19" ht="17.25" thickBot="1">
      <c r="A177" s="253" t="s">
        <v>55</v>
      </c>
      <c r="B177" s="255" t="str">
        <f>TEXT($G$1, "[$-ko-KR]yyyy-mm-dd(ddd) ") &amp; "오전 00:00"</f>
        <v>2021-06-06(일) 오전 00:00</v>
      </c>
      <c r="C177" s="256"/>
      <c r="D177" s="215" t="str">
        <f>TEXT($G$1, "[$-ko-KR]yyyy-mm-dd(ddd) ") &amp; "오후 14:00"</f>
        <v>2021-06-06(일) 오후 14:00</v>
      </c>
      <c r="E177" s="216"/>
      <c r="F177" s="217"/>
      <c r="G177" s="215" t="str">
        <f>TEXT($G$1, "[$-ko-KR]yyyy-mm-dd(ddd) ") &amp; "오후 19:00"</f>
        <v>2021-06-06(일) 오후 19:00</v>
      </c>
      <c r="H177" s="216"/>
      <c r="I177" s="217"/>
      <c r="J177" s="215" t="str">
        <f>TEXT($G$1, "[$-ko-KR]yyyy-mm-dd(ddd) ") &amp; "오후 21:00"</f>
        <v>2021-06-06(일) 오후 21:00</v>
      </c>
      <c r="K177" s="216"/>
      <c r="L177" s="217"/>
      <c r="M177" s="215" t="str">
        <f>TEXT($G$1+1, "[$-ko-KR]yyyy-mm-dd(ddd) ") &amp; "오전 00:00"</f>
        <v>2021-06-07(월) 오전 00:00</v>
      </c>
      <c r="N177" s="216"/>
      <c r="O177" s="217"/>
      <c r="Q177" s="213"/>
      <c r="R177" s="213"/>
      <c r="S177" s="213"/>
    </row>
    <row r="178" spans="1:19" ht="17.25" thickBot="1">
      <c r="A178" s="25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1" t="s">
        <v>58</v>
      </c>
      <c r="H178" s="182" t="s">
        <v>298</v>
      </c>
      <c r="I178" s="18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8"/>
      <c r="R178" s="218"/>
      <c r="S178" s="218"/>
    </row>
    <row r="179" spans="1:19" ht="17.25" thickBot="1">
      <c r="A179" s="161" t="s">
        <v>278</v>
      </c>
      <c r="B179" s="124">
        <v>79.099999999999994</v>
      </c>
      <c r="C179" s="76">
        <v>-3.4188034200000002E-2</v>
      </c>
      <c r="D179" s="13">
        <v>79.900000000000006</v>
      </c>
      <c r="E179" s="14">
        <f>IF(ISNUMBER(D179), (D179 - $B179) / $B179, "")</f>
        <v>1.0113780025284595E-2</v>
      </c>
      <c r="F179" s="16">
        <f>IF(ISNUMBER(D179), $B199 * E179, "")</f>
        <v>1011.3780025284594</v>
      </c>
      <c r="G179" s="29">
        <v>80.5</v>
      </c>
      <c r="H179" s="14">
        <f>IF(ISNUMBER(G179), (G179 - $B179) / $B179, "")</f>
        <v>1.769911504424786E-2</v>
      </c>
      <c r="I179" s="100">
        <f>IF(ISNUMBER(G179), $B199 * H179, "")</f>
        <v>1769.911504424786</v>
      </c>
      <c r="J179" s="13">
        <v>80.400000000000006</v>
      </c>
      <c r="K179" s="14">
        <f>IF(ISNUMBER(J179), (J179 - $B179) / $B179, "")</f>
        <v>1.6434892541087376E-2</v>
      </c>
      <c r="L179" s="16">
        <f>IF(ISNUMBER(J179), $B199 * K179, "")</f>
        <v>1643.4892541087377</v>
      </c>
      <c r="M179" s="29">
        <v>80.8</v>
      </c>
      <c r="N179" s="14">
        <f>IF(ISNUMBER(M179), (M179 - $B179) / $B179, "")</f>
        <v>2.1491782553729494E-2</v>
      </c>
      <c r="O179" s="16">
        <f>IF(ISNUMBER(M179), $B199 * N179, "")</f>
        <v>2149.1782553729495</v>
      </c>
      <c r="Q179" s="213"/>
      <c r="R179" s="213"/>
      <c r="S179" s="213"/>
    </row>
    <row r="180" spans="1:19" ht="17.25" thickBot="1">
      <c r="A180" s="162" t="s">
        <v>100</v>
      </c>
      <c r="B180" s="126">
        <v>4.71</v>
      </c>
      <c r="C180" s="77">
        <v>-3.48360656E-2</v>
      </c>
      <c r="D180" s="15">
        <v>4.67</v>
      </c>
      <c r="E180" s="32">
        <f t="shared" ref="E180:E183" si="94">IF(ISNUMBER(D180), (D180 - $B180) / $B180, "")</f>
        <v>-8.492569002123149E-3</v>
      </c>
      <c r="F180" s="18">
        <f>IF(ISNUMBER(D180), $B199 * E180, "")</f>
        <v>-849.25690021231492</v>
      </c>
      <c r="G180" s="31">
        <v>4.66</v>
      </c>
      <c r="H180" s="32">
        <f t="shared" ref="H180:H183" si="95">IF(ISNUMBER(G180), (G180 - $B180) / $B180, "")</f>
        <v>-1.0615711252653891E-2</v>
      </c>
      <c r="I180" s="101">
        <f>IF(ISNUMBER(G180), $B199 * H180, "")</f>
        <v>-1061.5711252653891</v>
      </c>
      <c r="J180" s="15">
        <v>4.66</v>
      </c>
      <c r="K180" s="32">
        <f t="shared" ref="K180:K183" si="96">IF(ISNUMBER(J180), (J180 - $B180) / $B180, "")</f>
        <v>-1.0615711252653891E-2</v>
      </c>
      <c r="L180" s="18">
        <f>IF(ISNUMBER(J180), $B199 * K180, "")</f>
        <v>-1061.5711252653891</v>
      </c>
      <c r="M180" s="31">
        <v>4.67</v>
      </c>
      <c r="N180" s="32">
        <f t="shared" ref="N180:N183" si="97">IF(ISNUMBER(M180), (M180 - $B180) / $B180, "")</f>
        <v>-8.492569002123149E-3</v>
      </c>
      <c r="O180" s="18">
        <f>IF(ISNUMBER(M180), $B199 * N180, "")</f>
        <v>-849.25690021231492</v>
      </c>
      <c r="Q180" s="213"/>
      <c r="R180" s="213"/>
      <c r="S180" s="213"/>
    </row>
    <row r="181" spans="1:19" ht="17.25" thickBot="1">
      <c r="A181" s="162" t="s">
        <v>168</v>
      </c>
      <c r="B181" s="126">
        <v>106</v>
      </c>
      <c r="C181" s="77">
        <v>-3.6363636400000003E-2</v>
      </c>
      <c r="D181" s="15">
        <v>106</v>
      </c>
      <c r="E181" s="32">
        <f t="shared" si="94"/>
        <v>0</v>
      </c>
      <c r="F181" s="18">
        <f>IF(ISNUMBER(D181), $B199 * E181, "")</f>
        <v>0</v>
      </c>
      <c r="G181" s="31">
        <v>108</v>
      </c>
      <c r="H181" s="32">
        <f t="shared" si="95"/>
        <v>1.8867924528301886E-2</v>
      </c>
      <c r="I181" s="101">
        <f>IF(ISNUMBER(G181), $B199 * H181, "")</f>
        <v>1886.7924528301885</v>
      </c>
      <c r="J181" s="15">
        <v>107</v>
      </c>
      <c r="K181" s="32">
        <f t="shared" si="96"/>
        <v>9.433962264150943E-3</v>
      </c>
      <c r="L181" s="18">
        <f>IF(ISNUMBER(J181), $B199 * K181, "")</f>
        <v>943.39622641509425</v>
      </c>
      <c r="M181" s="31">
        <v>107</v>
      </c>
      <c r="N181" s="32">
        <f t="shared" si="97"/>
        <v>9.433962264150943E-3</v>
      </c>
      <c r="O181" s="18">
        <f>IF(ISNUMBER(M181), $B199 * N181, "")</f>
        <v>943.39622641509425</v>
      </c>
      <c r="Q181" s="218"/>
      <c r="R181" s="218"/>
      <c r="S181" s="218"/>
    </row>
    <row r="182" spans="1:19" ht="17.25" thickBot="1">
      <c r="A182" s="162" t="s">
        <v>122</v>
      </c>
      <c r="B182" s="126">
        <v>65.900000000000006</v>
      </c>
      <c r="C182" s="77">
        <v>-3.6549707600000002E-2</v>
      </c>
      <c r="D182" s="15">
        <v>65.900000000000006</v>
      </c>
      <c r="E182" s="32">
        <f t="shared" si="94"/>
        <v>0</v>
      </c>
      <c r="F182" s="18">
        <f>IF(ISNUMBER(D182), $B199 * E182, "")</f>
        <v>0</v>
      </c>
      <c r="G182" s="31">
        <v>66.3</v>
      </c>
      <c r="H182" s="32">
        <f t="shared" si="95"/>
        <v>6.0698027314110992E-3</v>
      </c>
      <c r="I182" s="101">
        <f>IF(ISNUMBER(G182), $B199 * H182, "")</f>
        <v>606.98027314110993</v>
      </c>
      <c r="J182" s="15">
        <v>66.900000000000006</v>
      </c>
      <c r="K182" s="32">
        <f t="shared" si="96"/>
        <v>1.5174506828528072E-2</v>
      </c>
      <c r="L182" s="18">
        <f>IF(ISNUMBER(J182), $B199 * K182, "")</f>
        <v>1517.4506828528072</v>
      </c>
      <c r="M182" s="31">
        <v>66.599999999999994</v>
      </c>
      <c r="N182" s="32">
        <f t="shared" si="97"/>
        <v>1.0622154779969478E-2</v>
      </c>
      <c r="O182" s="18">
        <f>IF(ISNUMBER(M182), $B199 * N182, "")</f>
        <v>1062.2154779969478</v>
      </c>
      <c r="Q182" s="218"/>
      <c r="R182" s="218"/>
      <c r="S182" s="218"/>
    </row>
    <row r="183" spans="1:19" ht="17.25" thickBot="1">
      <c r="A183" s="163" t="s">
        <v>138</v>
      </c>
      <c r="B183" s="128">
        <v>28030</v>
      </c>
      <c r="C183" s="78">
        <v>-3.7431318700000001E-2</v>
      </c>
      <c r="D183" s="20">
        <v>28220</v>
      </c>
      <c r="E183" s="21">
        <f t="shared" si="94"/>
        <v>6.7784516589368534E-3</v>
      </c>
      <c r="F183" s="22">
        <f>IF(ISNUMBER(D183), $B199 * E183, "")</f>
        <v>677.84516589368536</v>
      </c>
      <c r="G183" s="30">
        <v>28180</v>
      </c>
      <c r="H183" s="21">
        <f t="shared" si="95"/>
        <v>5.3514092044238317E-3</v>
      </c>
      <c r="I183" s="105">
        <f>IF(ISNUMBER(G183), $B199 * H183, "")</f>
        <v>535.14092044238316</v>
      </c>
      <c r="J183" s="20">
        <v>28000</v>
      </c>
      <c r="K183" s="21">
        <f t="shared" si="96"/>
        <v>-1.0702818408847663E-3</v>
      </c>
      <c r="L183" s="22">
        <f>IF(ISNUMBER(J183), $B199 * K183, "")</f>
        <v>-107.02818408847664</v>
      </c>
      <c r="M183" s="30">
        <v>28050</v>
      </c>
      <c r="N183" s="21">
        <f t="shared" si="97"/>
        <v>7.1352122725651087E-4</v>
      </c>
      <c r="O183" s="22">
        <f>IF(ISNUMBER(M183), $B199 * N183, "")</f>
        <v>71.352122725651085</v>
      </c>
      <c r="Q183" s="218"/>
      <c r="R183" s="218"/>
      <c r="S183" s="218"/>
    </row>
    <row r="184" spans="1:19" ht="17.25" thickBot="1">
      <c r="A184" s="162" t="s">
        <v>242</v>
      </c>
      <c r="B184" s="129">
        <v>3980</v>
      </c>
      <c r="C184" s="80">
        <v>-3.7484885099999997E-2</v>
      </c>
      <c r="D184" s="106">
        <v>3995</v>
      </c>
      <c r="E184" s="107">
        <f>IF(ISNUMBER(D184), (D184 - $B184) / $B184, "")</f>
        <v>3.7688442211055275E-3</v>
      </c>
      <c r="F184" s="108">
        <f>IF(ISNUMBER(D184), $B199 * E184, "")</f>
        <v>376.88442211055275</v>
      </c>
      <c r="G184" s="109">
        <v>4135</v>
      </c>
      <c r="H184" s="107">
        <f>IF(ISNUMBER(G184), (G184 - $B184) / $B184, "")</f>
        <v>3.8944723618090454E-2</v>
      </c>
      <c r="I184" s="110">
        <f>IF(ISNUMBER(G184), $B199 * H184, "")</f>
        <v>3894.4723618090457</v>
      </c>
      <c r="J184" s="106">
        <v>4120</v>
      </c>
      <c r="K184" s="107">
        <f>IF(ISNUMBER(J184), (J184 - $B184) / $B184, "")</f>
        <v>3.5175879396984924E-2</v>
      </c>
      <c r="L184" s="108">
        <f>IF(ISNUMBER(J184), $B199 * K184, "")</f>
        <v>3517.5879396984924</v>
      </c>
      <c r="M184" s="109">
        <v>4085</v>
      </c>
      <c r="N184" s="107">
        <f>IF(ISNUMBER(M184), (M184 - $B184) / $B184, "")</f>
        <v>2.6381909547738693E-2</v>
      </c>
      <c r="O184" s="108">
        <f>IF(ISNUMBER(M184), $B199 * N184, "")</f>
        <v>2638.1909547738692</v>
      </c>
      <c r="Q184" s="218"/>
      <c r="R184" s="218"/>
      <c r="S184" s="218"/>
    </row>
    <row r="185" spans="1:19" ht="17.25" thickBot="1">
      <c r="A185" s="162" t="s">
        <v>270</v>
      </c>
      <c r="B185" s="126">
        <v>356</v>
      </c>
      <c r="C185" s="77">
        <v>-3.7837837800000003E-2</v>
      </c>
      <c r="D185" s="15">
        <v>356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360</v>
      </c>
      <c r="H185" s="32">
        <f t="shared" ref="H185:H188" si="99">IF(ISNUMBER(G185), (G185 - $B185) / $B185, "")</f>
        <v>1.1235955056179775E-2</v>
      </c>
      <c r="I185" s="101">
        <f>IF(ISNUMBER(G185), $B199 * H185, "")</f>
        <v>1123.5955056179776</v>
      </c>
      <c r="J185" s="15">
        <v>362</v>
      </c>
      <c r="K185" s="32">
        <f t="shared" ref="K185:K188" si="100">IF(ISNUMBER(J185), (J185 - $B185) / $B185, "")</f>
        <v>1.6853932584269662E-2</v>
      </c>
      <c r="L185" s="18">
        <f>IF(ISNUMBER(J185), $B199 * K185, "")</f>
        <v>1685.3932584269662</v>
      </c>
      <c r="M185" s="31">
        <v>357</v>
      </c>
      <c r="N185" s="32">
        <f t="shared" ref="N185:N188" si="101">IF(ISNUMBER(M185), (M185 - $B185) / $B185, "")</f>
        <v>2.8089887640449437E-3</v>
      </c>
      <c r="O185" s="18">
        <f>IF(ISNUMBER(M185), $B199 * N185, "")</f>
        <v>280.89887640449439</v>
      </c>
      <c r="Q185" s="218"/>
      <c r="R185" s="218"/>
      <c r="S185" s="218"/>
    </row>
    <row r="186" spans="1:19" ht="17.25" thickBot="1">
      <c r="A186" s="162" t="s">
        <v>210</v>
      </c>
      <c r="B186" s="126">
        <v>126</v>
      </c>
      <c r="C186" s="77">
        <v>-3.8167938899999997E-2</v>
      </c>
      <c r="D186" s="15">
        <v>127</v>
      </c>
      <c r="E186" s="32">
        <f t="shared" si="98"/>
        <v>7.9365079365079361E-3</v>
      </c>
      <c r="F186" s="18">
        <f>IF(ISNUMBER(D186), $B199 * E186, "")</f>
        <v>793.65079365079362</v>
      </c>
      <c r="G186" s="31">
        <v>131</v>
      </c>
      <c r="H186" s="32">
        <f t="shared" si="99"/>
        <v>3.968253968253968E-2</v>
      </c>
      <c r="I186" s="101">
        <f>IF(ISNUMBER(G186), $B199 * H186, "")</f>
        <v>3968.2539682539682</v>
      </c>
      <c r="J186" s="15">
        <v>132</v>
      </c>
      <c r="K186" s="32">
        <f t="shared" si="100"/>
        <v>4.7619047619047616E-2</v>
      </c>
      <c r="L186" s="18">
        <f>IF(ISNUMBER(J186), $B199 * K186, "")</f>
        <v>4761.9047619047615</v>
      </c>
      <c r="M186" s="31">
        <v>131</v>
      </c>
      <c r="N186" s="32">
        <f t="shared" si="101"/>
        <v>3.968253968253968E-2</v>
      </c>
      <c r="O186" s="18">
        <f>IF(ISNUMBER(M186), $B199 * N186, "")</f>
        <v>3968.2539682539682</v>
      </c>
      <c r="Q186" s="218"/>
      <c r="R186" s="218"/>
      <c r="S186" s="218"/>
    </row>
    <row r="187" spans="1:19" ht="17.25" thickBot="1">
      <c r="A187" s="162" t="s">
        <v>166</v>
      </c>
      <c r="B187" s="126">
        <v>1250</v>
      </c>
      <c r="C187" s="77">
        <v>-3.8461538500000003E-2</v>
      </c>
      <c r="D187" s="15">
        <v>1285</v>
      </c>
      <c r="E187" s="32">
        <f t="shared" si="98"/>
        <v>2.8000000000000001E-2</v>
      </c>
      <c r="F187" s="18">
        <f>IF(ISNUMBER(D187), $B199 * E187, "")</f>
        <v>2800</v>
      </c>
      <c r="G187" s="31">
        <v>1335</v>
      </c>
      <c r="H187" s="32">
        <f t="shared" si="99"/>
        <v>6.8000000000000005E-2</v>
      </c>
      <c r="I187" s="101">
        <f>IF(ISNUMBER(G187), $B199 * H187, "")</f>
        <v>6800.0000000000009</v>
      </c>
      <c r="J187" s="15">
        <v>1370</v>
      </c>
      <c r="K187" s="32">
        <f t="shared" si="100"/>
        <v>9.6000000000000002E-2</v>
      </c>
      <c r="L187" s="18">
        <f>IF(ISNUMBER(J187), $B199 * K187, "")</f>
        <v>9600</v>
      </c>
      <c r="M187" s="31">
        <v>1320</v>
      </c>
      <c r="N187" s="32">
        <f t="shared" si="101"/>
        <v>5.6000000000000001E-2</v>
      </c>
      <c r="O187" s="18">
        <f>IF(ISNUMBER(M187), $B199 * N187, "")</f>
        <v>5600</v>
      </c>
      <c r="Q187" s="33"/>
      <c r="R187" s="33"/>
    </row>
    <row r="188" spans="1:19" ht="17.25" thickBot="1">
      <c r="A188" s="130" t="s">
        <v>256</v>
      </c>
      <c r="B188" s="131">
        <v>174</v>
      </c>
      <c r="C188" s="79">
        <v>-3.8674033099999998E-2</v>
      </c>
      <c r="D188" s="24">
        <v>175</v>
      </c>
      <c r="E188" s="25">
        <f t="shared" si="98"/>
        <v>5.7471264367816091E-3</v>
      </c>
      <c r="F188" s="104">
        <f>IF(ISNUMBER(D188), $B199 * E188, "")</f>
        <v>574.71264367816093</v>
      </c>
      <c r="G188" s="102">
        <v>180</v>
      </c>
      <c r="H188" s="25">
        <f t="shared" si="99"/>
        <v>3.4482758620689655E-2</v>
      </c>
      <c r="I188" s="103">
        <f>IF(ISNUMBER(G188), $B199 * H188, "")</f>
        <v>3448.2758620689656</v>
      </c>
      <c r="J188" s="24">
        <v>181</v>
      </c>
      <c r="K188" s="25">
        <f t="shared" si="100"/>
        <v>4.0229885057471264E-2</v>
      </c>
      <c r="L188" s="104">
        <f>IF(ISNUMBER(J188), $B199 * K188, "")</f>
        <v>4022.9885057471265</v>
      </c>
      <c r="M188" s="102">
        <v>179</v>
      </c>
      <c r="N188" s="25">
        <f t="shared" si="101"/>
        <v>2.8735632183908046E-2</v>
      </c>
      <c r="O188" s="104">
        <f>IF(ISNUMBER(M188), $B199 * N188, "")</f>
        <v>2873.5632183908046</v>
      </c>
      <c r="Q188" s="227"/>
      <c r="R188" s="228"/>
      <c r="S188" s="229"/>
    </row>
    <row r="189" spans="1:19">
      <c r="A189" s="161" t="s">
        <v>272</v>
      </c>
      <c r="B189" s="124">
        <v>1340</v>
      </c>
      <c r="C189" s="76">
        <v>-3.9426523300000002E-2</v>
      </c>
      <c r="D189" s="13">
        <v>1380</v>
      </c>
      <c r="E189" s="14">
        <f>IF(ISNUMBER(D189), (D189 - $B189) / $B189, "")</f>
        <v>2.9850746268656716E-2</v>
      </c>
      <c r="F189" s="16">
        <f>IF(ISNUMBER(D189), $B199 * E189, "")</f>
        <v>2985.0746268656717</v>
      </c>
      <c r="G189" s="29">
        <v>1490</v>
      </c>
      <c r="H189" s="14">
        <f>IF(ISNUMBER(G189), (G189 - $B189) / $B189, "")</f>
        <v>0.11194029850746269</v>
      </c>
      <c r="I189" s="100">
        <f>IF(ISNUMBER(G189), $B199 * H189, "")</f>
        <v>11194.029850746268</v>
      </c>
      <c r="J189" s="13">
        <v>1435</v>
      </c>
      <c r="K189" s="14">
        <f>IF(ISNUMBER(J189), (J189 - $B189) / $B189, "")</f>
        <v>7.0895522388059698E-2</v>
      </c>
      <c r="L189" s="16">
        <f>IF(ISNUMBER(J189), $B199 * K189, "")</f>
        <v>7089.5522388059699</v>
      </c>
      <c r="M189" s="29">
        <v>1405</v>
      </c>
      <c r="N189" s="14">
        <f>IF(ISNUMBER(M189), (M189 - $B189) / $B189, "")</f>
        <v>4.8507462686567165E-2</v>
      </c>
      <c r="O189" s="16">
        <f>IF(ISNUMBER(M189), $B199 * N189, "")</f>
        <v>4850.7462686567169</v>
      </c>
      <c r="Q189" s="230"/>
      <c r="R189" s="231"/>
      <c r="S189" s="232"/>
    </row>
    <row r="190" spans="1:19" ht="17.25" thickBot="1">
      <c r="A190" s="162" t="s">
        <v>116</v>
      </c>
      <c r="B190" s="126">
        <v>372</v>
      </c>
      <c r="C190" s="77">
        <v>-4.1237113399999997E-2</v>
      </c>
      <c r="D190" s="15">
        <v>372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378</v>
      </c>
      <c r="H190" s="32">
        <f t="shared" ref="H190:H193" si="103">IF(ISNUMBER(G190), (G190 - $B190) / $B190, "")</f>
        <v>1.6129032258064516E-2</v>
      </c>
      <c r="I190" s="101">
        <f>IF(ISNUMBER(G190), $B199 * H190, "")</f>
        <v>1612.9032258064515</v>
      </c>
      <c r="J190" s="15">
        <v>379</v>
      </c>
      <c r="K190" s="32">
        <f t="shared" ref="K190:K193" si="104">IF(ISNUMBER(J190), (J190 - $B190) / $B190, "")</f>
        <v>1.8817204301075269E-2</v>
      </c>
      <c r="L190" s="18">
        <f>IF(ISNUMBER(J190), $B199 * K190, "")</f>
        <v>1881.7204301075269</v>
      </c>
      <c r="M190" s="31">
        <v>376</v>
      </c>
      <c r="N190" s="32">
        <f t="shared" ref="N190:N193" si="105">IF(ISNUMBER(M190), (M190 - $B190) / $B190, "")</f>
        <v>1.0752688172043012E-2</v>
      </c>
      <c r="O190" s="18">
        <f>IF(ISNUMBER(M190), $B199 * N190, "")</f>
        <v>1075.2688172043011</v>
      </c>
      <c r="Q190" s="233"/>
      <c r="R190" s="234"/>
      <c r="S190" s="235"/>
    </row>
    <row r="191" spans="1:19" ht="17.25" thickBot="1">
      <c r="A191" s="162" t="s">
        <v>264</v>
      </c>
      <c r="B191" s="126">
        <v>85.7</v>
      </c>
      <c r="C191" s="77">
        <v>-4.1387024600000002E-2</v>
      </c>
      <c r="D191" s="15">
        <v>86.5</v>
      </c>
      <c r="E191" s="32">
        <f t="shared" si="102"/>
        <v>9.3348891481913315E-3</v>
      </c>
      <c r="F191" s="18">
        <f>IF(ISNUMBER(D191), $B199 * E191, "")</f>
        <v>933.48891481913313</v>
      </c>
      <c r="G191" s="31">
        <v>87.9</v>
      </c>
      <c r="H191" s="32">
        <f t="shared" si="103"/>
        <v>2.5670945157526288E-2</v>
      </c>
      <c r="I191" s="101">
        <f>IF(ISNUMBER(G191), $B199 * H191, "")</f>
        <v>2567.0945157526289</v>
      </c>
      <c r="J191" s="15">
        <v>88.5</v>
      </c>
      <c r="K191" s="32">
        <f t="shared" si="104"/>
        <v>3.2672112018669743E-2</v>
      </c>
      <c r="L191" s="18">
        <f>IF(ISNUMBER(J191), $B199 * K191, "")</f>
        <v>3267.2112018669741</v>
      </c>
      <c r="M191" s="31">
        <v>87.7</v>
      </c>
      <c r="N191" s="32">
        <f t="shared" si="105"/>
        <v>2.3337222870478413E-2</v>
      </c>
      <c r="O191" s="18">
        <f>IF(ISNUMBER(M191), $B199 * N191, "")</f>
        <v>2333.7222870478413</v>
      </c>
      <c r="Q191" s="218"/>
      <c r="R191" s="218"/>
      <c r="S191" s="218"/>
    </row>
    <row r="192" spans="1:19" ht="17.25" thickBot="1">
      <c r="A192" s="162" t="s">
        <v>126</v>
      </c>
      <c r="B192" s="126">
        <v>27.7</v>
      </c>
      <c r="C192" s="77">
        <v>-4.1522491299999999E-2</v>
      </c>
      <c r="D192" s="15">
        <v>28.7</v>
      </c>
      <c r="E192" s="32">
        <f t="shared" si="102"/>
        <v>3.6101083032490974E-2</v>
      </c>
      <c r="F192" s="18">
        <f>IF(ISNUMBER(D192), $B199 * E192, "")</f>
        <v>3610.1083032490974</v>
      </c>
      <c r="G192" s="31">
        <v>29.4</v>
      </c>
      <c r="H192" s="32">
        <f t="shared" si="103"/>
        <v>6.1371841155234634E-2</v>
      </c>
      <c r="I192" s="101">
        <f>IF(ISNUMBER(G192), $B199 * H192, "")</f>
        <v>6137.1841155234633</v>
      </c>
      <c r="J192" s="15">
        <v>30.3</v>
      </c>
      <c r="K192" s="32">
        <f t="shared" si="104"/>
        <v>9.3862815884476591E-2</v>
      </c>
      <c r="L192" s="18">
        <f>IF(ISNUMBER(J192), $B199 * K192, "")</f>
        <v>9386.2815884476586</v>
      </c>
      <c r="M192" s="31">
        <v>29.6</v>
      </c>
      <c r="N192" s="32">
        <f t="shared" si="105"/>
        <v>6.8592057761732925E-2</v>
      </c>
      <c r="O192" s="18">
        <f>IF(ISNUMBER(M192), $B199 * N192, "")</f>
        <v>6859.2057761732922</v>
      </c>
      <c r="Q192" s="213"/>
      <c r="R192" s="213"/>
      <c r="S192" s="213"/>
    </row>
    <row r="193" spans="1:19" ht="17.25" thickBot="1">
      <c r="A193" s="163" t="s">
        <v>206</v>
      </c>
      <c r="B193" s="128">
        <v>16630</v>
      </c>
      <c r="C193" s="78">
        <v>-4.2050691199999997E-2</v>
      </c>
      <c r="D193" s="20">
        <v>16310</v>
      </c>
      <c r="E193" s="21">
        <f t="shared" si="102"/>
        <v>-1.9242333132892364E-2</v>
      </c>
      <c r="F193" s="22">
        <f>IF(ISNUMBER(D193), $B199 * E193, "")</f>
        <v>-1924.2333132892363</v>
      </c>
      <c r="G193" s="30">
        <v>16600</v>
      </c>
      <c r="H193" s="21">
        <f t="shared" si="103"/>
        <v>-1.8039687312086591E-3</v>
      </c>
      <c r="I193" s="105">
        <f>IF(ISNUMBER(G193), $B199 * H193, "")</f>
        <v>-180.39687312086591</v>
      </c>
      <c r="J193" s="20">
        <v>16500</v>
      </c>
      <c r="K193" s="21">
        <f t="shared" si="104"/>
        <v>-7.8171978352375229E-3</v>
      </c>
      <c r="L193" s="22">
        <f>IF(ISNUMBER(J193), $B199 * K193, "")</f>
        <v>-781.71978352375231</v>
      </c>
      <c r="M193" s="30">
        <v>16590</v>
      </c>
      <c r="N193" s="21">
        <f t="shared" si="105"/>
        <v>-2.4052916416115455E-3</v>
      </c>
      <c r="O193" s="22">
        <f>IF(ISNUMBER(M193), $B199 * N193, "")</f>
        <v>-240.52916416115454</v>
      </c>
      <c r="Q193" s="213"/>
      <c r="R193" s="213"/>
      <c r="S193" s="213"/>
    </row>
    <row r="194" spans="1:19" ht="17.25" thickBot="1">
      <c r="A194" s="162" t="s">
        <v>252</v>
      </c>
      <c r="B194" s="129">
        <v>311</v>
      </c>
      <c r="C194" s="80">
        <v>-4.3076923099999997E-2</v>
      </c>
      <c r="D194" s="106">
        <v>316</v>
      </c>
      <c r="E194" s="107">
        <f>IF(ISNUMBER(D194), (D194 - $B194) / $B194, "")</f>
        <v>1.607717041800643E-2</v>
      </c>
      <c r="F194" s="108">
        <f>IF(ISNUMBER(D194), $B199 * E194, "")</f>
        <v>1607.7170418006431</v>
      </c>
      <c r="G194" s="109">
        <v>321</v>
      </c>
      <c r="H194" s="107">
        <f>IF(ISNUMBER(G194), (G194 - $B194) / $B194, "")</f>
        <v>3.215434083601286E-2</v>
      </c>
      <c r="I194" s="110">
        <f>IF(ISNUMBER(G194), $B199 * H194, "")</f>
        <v>3215.4340836012861</v>
      </c>
      <c r="J194" s="106">
        <v>321</v>
      </c>
      <c r="K194" s="107">
        <f>IF(ISNUMBER(J194), (J194 - $B194) / $B194, "")</f>
        <v>3.215434083601286E-2</v>
      </c>
      <c r="L194" s="108">
        <f>IF(ISNUMBER(J194), $B199 * K194, "")</f>
        <v>3215.4340836012861</v>
      </c>
      <c r="M194" s="109">
        <v>317</v>
      </c>
      <c r="N194" s="107">
        <f>IF(ISNUMBER(M194), (M194 - $B194) / $B194, "")</f>
        <v>1.9292604501607719E-2</v>
      </c>
      <c r="O194" s="108">
        <f>IF(ISNUMBER(M194), $B199 * N194, "")</f>
        <v>1929.2604501607718</v>
      </c>
      <c r="Q194" s="218"/>
      <c r="R194" s="218"/>
      <c r="S194" s="218"/>
    </row>
    <row r="195" spans="1:19" ht="17.25" thickBot="1">
      <c r="A195" s="162" t="s">
        <v>144</v>
      </c>
      <c r="B195" s="126">
        <v>6885</v>
      </c>
      <c r="C195" s="77">
        <v>-4.4413601699999999E-2</v>
      </c>
      <c r="D195" s="15">
        <v>6920</v>
      </c>
      <c r="E195" s="32">
        <f t="shared" ref="E195:E198" si="106">IF(ISNUMBER(D195), (D195 - $B195) / $B195, "")</f>
        <v>5.0835148874364558E-3</v>
      </c>
      <c r="F195" s="18">
        <f>IF(ISNUMBER(D195), $B199 * E195, "")</f>
        <v>508.35148874364558</v>
      </c>
      <c r="G195" s="31">
        <v>6920</v>
      </c>
      <c r="H195" s="32">
        <f t="shared" ref="H195:H198" si="107">IF(ISNUMBER(G195), (G195 - $B195) / $B195, "")</f>
        <v>5.0835148874364558E-3</v>
      </c>
      <c r="I195" s="101">
        <f>IF(ISNUMBER(G195), $B199 * H195, "")</f>
        <v>508.35148874364558</v>
      </c>
      <c r="J195" s="15">
        <v>6945</v>
      </c>
      <c r="K195" s="32">
        <f t="shared" ref="K195:K198" si="108">IF(ISNUMBER(J195), (J195 - $B195) / $B195, "")</f>
        <v>8.7145969498910684E-3</v>
      </c>
      <c r="L195" s="18">
        <f>IF(ISNUMBER(J195), $B199 * K195, "")</f>
        <v>871.45969498910688</v>
      </c>
      <c r="M195" s="31">
        <v>6950</v>
      </c>
      <c r="N195" s="32">
        <f t="shared" ref="N195:N198" si="109">IF(ISNUMBER(M195), (M195 - $B195) / $B195, "")</f>
        <v>9.44081336238199E-3</v>
      </c>
      <c r="O195" s="18">
        <f>IF(ISNUMBER(M195), $B199 * N195, "")</f>
        <v>944.08133623819901</v>
      </c>
      <c r="Q195" s="218"/>
      <c r="R195" s="218"/>
      <c r="S195" s="218"/>
    </row>
    <row r="196" spans="1:19" ht="17.25" thickBot="1">
      <c r="A196" s="162" t="s">
        <v>212</v>
      </c>
      <c r="B196" s="126">
        <v>79.099999999999994</v>
      </c>
      <c r="C196" s="77">
        <v>-4.5838359500000002E-2</v>
      </c>
      <c r="D196" s="15">
        <v>78.8</v>
      </c>
      <c r="E196" s="32">
        <f t="shared" si="106"/>
        <v>-3.7926675094816331E-3</v>
      </c>
      <c r="F196" s="18">
        <f>IF(ISNUMBER(D196), $B199 * E196, "")</f>
        <v>-379.26675094816329</v>
      </c>
      <c r="G196" s="31">
        <v>79.599999999999994</v>
      </c>
      <c r="H196" s="32">
        <f t="shared" si="107"/>
        <v>6.3211125158027818E-3</v>
      </c>
      <c r="I196" s="101">
        <f>IF(ISNUMBER(G196), $B199 * H196, "")</f>
        <v>632.11125158027824</v>
      </c>
      <c r="J196" s="15">
        <v>79.8</v>
      </c>
      <c r="K196" s="32">
        <f t="shared" si="108"/>
        <v>8.8495575221239301E-3</v>
      </c>
      <c r="L196" s="18">
        <f>IF(ISNUMBER(J196), $B199 * K196, "")</f>
        <v>884.95575221239301</v>
      </c>
      <c r="M196" s="31">
        <v>79.599999999999994</v>
      </c>
      <c r="N196" s="32">
        <f t="shared" si="109"/>
        <v>6.3211125158027818E-3</v>
      </c>
      <c r="O196" s="18">
        <f>IF(ISNUMBER(M196), $B199 * N196, "")</f>
        <v>632.11125158027824</v>
      </c>
      <c r="Q196" s="218"/>
      <c r="R196" s="218"/>
      <c r="S196" s="218"/>
    </row>
    <row r="197" spans="1:19">
      <c r="A197" s="162" t="s">
        <v>67</v>
      </c>
      <c r="B197" s="126">
        <v>5535</v>
      </c>
      <c r="C197" s="77">
        <v>-4.7332185899999997E-2</v>
      </c>
      <c r="D197" s="15">
        <v>5765</v>
      </c>
      <c r="E197" s="32">
        <f t="shared" si="106"/>
        <v>4.1553748870822041E-2</v>
      </c>
      <c r="F197" s="18">
        <f>IF(ISNUMBER(D197), $B199 * E197, "")</f>
        <v>4155.3748870822037</v>
      </c>
      <c r="G197" s="31">
        <v>6170</v>
      </c>
      <c r="H197" s="32">
        <f t="shared" si="107"/>
        <v>0.11472448057813911</v>
      </c>
      <c r="I197" s="101">
        <f>IF(ISNUMBER(G197), $B199 * H197, "")</f>
        <v>11472.448057813912</v>
      </c>
      <c r="J197" s="15">
        <v>5850</v>
      </c>
      <c r="K197" s="32">
        <f t="shared" si="108"/>
        <v>5.6910569105691054E-2</v>
      </c>
      <c r="L197" s="18">
        <f>IF(ISNUMBER(J197), $B199 * K197, "")</f>
        <v>5691.0569105691056</v>
      </c>
      <c r="M197" s="31">
        <v>5665</v>
      </c>
      <c r="N197" s="32">
        <f t="shared" si="109"/>
        <v>2.3486901535682024E-2</v>
      </c>
      <c r="O197" s="18">
        <f>IF(ISNUMBER(M197), $B199 * N197, "")</f>
        <v>2348.6901535682023</v>
      </c>
      <c r="Q197" s="240"/>
      <c r="R197" s="241"/>
      <c r="S197" s="242"/>
    </row>
    <row r="198" spans="1:19" ht="17.25" thickBot="1">
      <c r="A198" s="130" t="s">
        <v>76</v>
      </c>
      <c r="B198" s="131">
        <v>31910</v>
      </c>
      <c r="C198" s="79">
        <v>-4.8882265299999998E-2</v>
      </c>
      <c r="D198" s="24">
        <v>32170</v>
      </c>
      <c r="E198" s="25">
        <f t="shared" si="106"/>
        <v>8.1479160137887807E-3</v>
      </c>
      <c r="F198" s="104">
        <f>IF(ISNUMBER(D198), $B199 * E198, "")</f>
        <v>814.79160137887811</v>
      </c>
      <c r="G198" s="102">
        <v>32350</v>
      </c>
      <c r="H198" s="25">
        <f t="shared" si="107"/>
        <v>1.3788780946411783E-2</v>
      </c>
      <c r="I198" s="103">
        <f>IF(ISNUMBER(G198), $B199 * H198, "")</f>
        <v>1378.8780946411782</v>
      </c>
      <c r="J198" s="24">
        <v>32110</v>
      </c>
      <c r="K198" s="25">
        <f t="shared" si="108"/>
        <v>6.2676277029144467E-3</v>
      </c>
      <c r="L198" s="104">
        <f>IF(ISNUMBER(J198), $B199 * K198, "")</f>
        <v>626.76277029144467</v>
      </c>
      <c r="M198" s="102">
        <v>32040</v>
      </c>
      <c r="N198" s="25">
        <f t="shared" si="109"/>
        <v>4.0739580068943904E-3</v>
      </c>
      <c r="O198" s="104">
        <f>IF(ISNUMBER(M198), $B199 * N198, "")</f>
        <v>407.39580068943906</v>
      </c>
      <c r="Q198" s="243"/>
      <c r="R198" s="244"/>
      <c r="S198" s="245"/>
    </row>
    <row r="199" spans="1:19" ht="17.25" thickBot="1">
      <c r="A199" s="132" t="s">
        <v>300</v>
      </c>
      <c r="B199" s="251">
        <f>$B$37</f>
        <v>100000</v>
      </c>
      <c r="C199" s="252"/>
      <c r="D199" s="26" t="s">
        <v>301</v>
      </c>
      <c r="E199" s="27">
        <f>IF(COUNT(E179:E198), SUM(E179:E198) / COUNT(E179:E198), 0)</f>
        <v>8.8483104636756064E-3</v>
      </c>
      <c r="F199" s="28">
        <f>SUM(F179:F198)</f>
        <v>17696.620927351207</v>
      </c>
      <c r="G199" s="26" t="s">
        <v>301</v>
      </c>
      <c r="H199" s="27">
        <f>IF(COUNT(H179:H198), SUM(H179:H198) / COUNT(H179:H198), 0)</f>
        <v>3.0754944767205646E-2</v>
      </c>
      <c r="I199" s="28">
        <f>SUM(I179:I198)</f>
        <v>61509.889534411297</v>
      </c>
      <c r="J199" s="26" t="s">
        <v>301</v>
      </c>
      <c r="K199" s="27">
        <f>IF(COUNT(K179:K198), SUM(K179:K198) / COUNT(K179:K198), 0)</f>
        <v>2.932816310358391E-2</v>
      </c>
      <c r="L199" s="28">
        <f>SUM(L179:L198)</f>
        <v>58656.326207167825</v>
      </c>
      <c r="M199" s="26" t="s">
        <v>301</v>
      </c>
      <c r="N199" s="27">
        <f>IF(COUNT(N179:N198), SUM(N179:N198) / COUNT(N179:N198), 0)</f>
        <v>1.9938872588639679E-2</v>
      </c>
      <c r="O199" s="28">
        <f>SUM(O179:O198)</f>
        <v>39877.74517727935</v>
      </c>
      <c r="Q199" s="246"/>
      <c r="R199" s="247"/>
      <c r="S199" s="24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F281-AE9A-4447-9AF3-766BE4B2ED77}">
  <sheetPr codeName="Sheet13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2" t="s">
        <v>0</v>
      </c>
      <c r="B1" s="193"/>
      <c r="C1" s="193"/>
      <c r="D1" s="193"/>
      <c r="E1" s="193"/>
      <c r="F1" s="194"/>
      <c r="G1" s="195">
        <v>44354</v>
      </c>
      <c r="H1" s="196"/>
      <c r="I1" s="197"/>
      <c r="J1" s="192" t="s">
        <v>1</v>
      </c>
      <c r="K1" s="193"/>
      <c r="L1" s="193"/>
      <c r="M1" s="193"/>
      <c r="N1" s="193"/>
      <c r="O1" s="194"/>
      <c r="Q1" s="192" t="s">
        <v>2</v>
      </c>
      <c r="R1" s="194"/>
    </row>
    <row r="2" spans="1:19" ht="17.25" customHeight="1">
      <c r="A2" s="117" t="s">
        <v>3</v>
      </c>
      <c r="B2" s="198" t="s">
        <v>8</v>
      </c>
      <c r="C2" s="199"/>
      <c r="D2" s="199"/>
      <c r="E2" s="199"/>
      <c r="F2" s="200"/>
      <c r="G2" s="201" t="s">
        <v>46</v>
      </c>
      <c r="H2" s="202"/>
      <c r="I2" s="203"/>
      <c r="J2" s="1" t="s">
        <v>3</v>
      </c>
      <c r="K2" s="198" t="s">
        <v>350</v>
      </c>
      <c r="L2" s="199"/>
      <c r="M2" s="199"/>
      <c r="N2" s="199"/>
      <c r="O2" s="200"/>
      <c r="Q2" s="2" t="s">
        <v>6</v>
      </c>
      <c r="R2" s="3">
        <v>0.375</v>
      </c>
    </row>
    <row r="3" spans="1:19" ht="17.25" customHeight="1" thickBot="1">
      <c r="A3" s="118" t="s">
        <v>7</v>
      </c>
      <c r="B3" s="204" t="s">
        <v>358</v>
      </c>
      <c r="C3" s="205"/>
      <c r="D3" s="205"/>
      <c r="E3" s="205"/>
      <c r="F3" s="206"/>
      <c r="G3" s="20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74,653 KRW (3.73%)</v>
      </c>
      <c r="H3" s="208"/>
      <c r="I3" s="209"/>
      <c r="J3" s="4" t="s">
        <v>7</v>
      </c>
      <c r="K3" s="204" t="s">
        <v>351</v>
      </c>
      <c r="L3" s="205"/>
      <c r="M3" s="205"/>
      <c r="N3" s="205"/>
      <c r="O3" s="2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4" t="s">
        <v>16</v>
      </c>
      <c r="C4" s="205"/>
      <c r="D4" s="205"/>
      <c r="E4" s="205"/>
      <c r="F4" s="206"/>
      <c r="G4" s="201" t="s">
        <v>44</v>
      </c>
      <c r="H4" s="202"/>
      <c r="I4" s="203"/>
      <c r="J4" s="4" t="s">
        <v>11</v>
      </c>
      <c r="K4" s="204" t="s">
        <v>352</v>
      </c>
      <c r="L4" s="205"/>
      <c r="M4" s="205"/>
      <c r="N4" s="205"/>
      <c r="O4" s="2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4" t="s">
        <v>349</v>
      </c>
      <c r="C5" s="205"/>
      <c r="D5" s="205"/>
      <c r="E5" s="205"/>
      <c r="F5" s="206"/>
      <c r="G5" s="20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27,697 KRW (1.38%)</v>
      </c>
      <c r="H5" s="208"/>
      <c r="I5" s="209"/>
      <c r="J5" s="4" t="s">
        <v>15</v>
      </c>
      <c r="K5" s="204" t="s">
        <v>353</v>
      </c>
      <c r="L5" s="205"/>
      <c r="M5" s="205"/>
      <c r="N5" s="205"/>
      <c r="O5" s="206"/>
    </row>
    <row r="6" spans="1:19">
      <c r="A6" s="118" t="s">
        <v>18</v>
      </c>
      <c r="B6" s="204"/>
      <c r="C6" s="205"/>
      <c r="D6" s="205"/>
      <c r="E6" s="205"/>
      <c r="F6" s="206"/>
      <c r="G6" s="201" t="s">
        <v>45</v>
      </c>
      <c r="H6" s="202"/>
      <c r="I6" s="203"/>
      <c r="J6" s="4" t="s">
        <v>18</v>
      </c>
      <c r="K6" s="204" t="s">
        <v>354</v>
      </c>
      <c r="L6" s="205"/>
      <c r="M6" s="205"/>
      <c r="N6" s="205"/>
      <c r="O6" s="206"/>
    </row>
    <row r="7" spans="1:19" ht="17.25" thickBot="1">
      <c r="A7" s="118" t="s">
        <v>21</v>
      </c>
      <c r="B7" s="204"/>
      <c r="C7" s="205"/>
      <c r="D7" s="205"/>
      <c r="E7" s="205"/>
      <c r="F7" s="206"/>
      <c r="G7" s="20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45,941 KRW (2.30%)</v>
      </c>
      <c r="H7" s="208"/>
      <c r="I7" s="209"/>
      <c r="J7" s="4" t="s">
        <v>21</v>
      </c>
      <c r="K7" s="204" t="s">
        <v>355</v>
      </c>
      <c r="L7" s="205"/>
      <c r="M7" s="205"/>
      <c r="N7" s="205"/>
      <c r="O7" s="206"/>
    </row>
    <row r="8" spans="1:19" ht="17.25" thickBot="1">
      <c r="A8" s="118" t="s">
        <v>24</v>
      </c>
      <c r="B8" s="204"/>
      <c r="C8" s="205"/>
      <c r="D8" s="205"/>
      <c r="E8" s="205"/>
      <c r="F8" s="206"/>
      <c r="G8" s="201" t="s">
        <v>285</v>
      </c>
      <c r="H8" s="202"/>
      <c r="I8" s="203"/>
      <c r="J8" s="4" t="s">
        <v>24</v>
      </c>
      <c r="K8" s="204"/>
      <c r="L8" s="205"/>
      <c r="M8" s="205"/>
      <c r="N8" s="205"/>
      <c r="O8" s="206"/>
      <c r="Q8" s="192" t="s">
        <v>27</v>
      </c>
      <c r="R8" s="194"/>
    </row>
    <row r="9" spans="1:19" ht="17.25" thickBot="1">
      <c r="A9" s="118" t="s">
        <v>28</v>
      </c>
      <c r="B9" s="204"/>
      <c r="C9" s="205"/>
      <c r="D9" s="205"/>
      <c r="E9" s="205"/>
      <c r="F9" s="206"/>
      <c r="G9" s="20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32,402 KRW (1.62%)</v>
      </c>
      <c r="H9" s="208"/>
      <c r="I9" s="209"/>
      <c r="J9" s="4" t="s">
        <v>28</v>
      </c>
      <c r="K9" s="204"/>
      <c r="L9" s="205"/>
      <c r="M9" s="205"/>
      <c r="N9" s="205"/>
      <c r="O9" s="206"/>
      <c r="Q9" s="2" t="s">
        <v>29</v>
      </c>
      <c r="R9" s="6">
        <v>10</v>
      </c>
    </row>
    <row r="10" spans="1:19">
      <c r="A10" s="118" t="s">
        <v>30</v>
      </c>
      <c r="B10" s="204"/>
      <c r="C10" s="205"/>
      <c r="D10" s="205"/>
      <c r="E10" s="205"/>
      <c r="F10" s="206"/>
      <c r="G10" s="201" t="s">
        <v>47</v>
      </c>
      <c r="H10" s="202"/>
      <c r="I10" s="203"/>
      <c r="J10" s="4" t="s">
        <v>30</v>
      </c>
      <c r="K10" s="204" t="s">
        <v>356</v>
      </c>
      <c r="L10" s="205"/>
      <c r="M10" s="205"/>
      <c r="N10" s="205"/>
      <c r="O10" s="206"/>
      <c r="Q10" s="2" t="s">
        <v>31</v>
      </c>
      <c r="R10" s="6">
        <v>100</v>
      </c>
    </row>
    <row r="11" spans="1:19" ht="17.25" thickBot="1">
      <c r="A11" s="119" t="s">
        <v>32</v>
      </c>
      <c r="B11" s="210" t="s">
        <v>357</v>
      </c>
      <c r="C11" s="211"/>
      <c r="D11" s="211"/>
      <c r="E11" s="211"/>
      <c r="F11" s="212"/>
      <c r="G11" s="20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32,857 KRW (2.19%)</v>
      </c>
      <c r="H11" s="208"/>
      <c r="I11" s="209"/>
      <c r="J11" s="7" t="s">
        <v>32</v>
      </c>
      <c r="K11" s="210" t="s">
        <v>348</v>
      </c>
      <c r="L11" s="211"/>
      <c r="M11" s="211"/>
      <c r="N11" s="211"/>
      <c r="O11" s="212"/>
      <c r="Q11" s="65" t="s">
        <v>33</v>
      </c>
      <c r="R11" s="8">
        <v>1000</v>
      </c>
    </row>
    <row r="12" spans="1:19" ht="17.25" thickBot="1"/>
    <row r="13" spans="1:19" ht="17.25" customHeight="1" thickBot="1">
      <c r="A13" s="192" t="s">
        <v>34</v>
      </c>
      <c r="B13" s="193"/>
      <c r="C13" s="193"/>
      <c r="D13" s="193"/>
      <c r="E13" s="193"/>
      <c r="F13" s="193"/>
      <c r="G13" s="193"/>
      <c r="H13" s="193"/>
      <c r="I13" s="193"/>
      <c r="J13" s="193"/>
      <c r="K13" s="193"/>
      <c r="L13" s="193"/>
      <c r="M13" s="193"/>
      <c r="N13" s="193"/>
      <c r="O13" s="194"/>
      <c r="Q13" s="213"/>
      <c r="R13" s="213"/>
      <c r="S13" s="213"/>
    </row>
    <row r="14" spans="1:19" ht="17.25" customHeight="1" thickBot="1">
      <c r="A14" s="184" t="s">
        <v>35</v>
      </c>
      <c r="B14" s="192" t="s">
        <v>36</v>
      </c>
      <c r="C14" s="194"/>
      <c r="D14" s="192" t="s">
        <v>37</v>
      </c>
      <c r="E14" s="193"/>
      <c r="F14" s="194"/>
      <c r="G14" s="219">
        <f>_xlfn.IFNA(VLOOKUP(B14, 현재가테이블!$B$2:$D$200, 2, FALSE), "-")</f>
        <v>38300000</v>
      </c>
      <c r="H14" s="220"/>
      <c r="I14" s="221"/>
      <c r="J14" s="192" t="s">
        <v>38</v>
      </c>
      <c r="K14" s="193"/>
      <c r="L14" s="194"/>
      <c r="M14" s="222">
        <f>_xlfn.IFNA(VLOOKUP(B14, 현재가테이블!$B$2:$D$200, 3, FALSE), "-")</f>
        <v>-1.9557649E-2</v>
      </c>
      <c r="N14" s="223"/>
      <c r="O14" s="224"/>
      <c r="Q14" s="213"/>
      <c r="R14" s="213"/>
      <c r="S14" s="213"/>
    </row>
    <row r="15" spans="1:19" ht="17.25" customHeight="1" thickBot="1">
      <c r="A15" s="257" t="s">
        <v>39</v>
      </c>
      <c r="B15" s="258" t="str">
        <f>TEXT($G$1, "[$-ko-KR]yyyy-mm-dd(ddd) ") &amp; "오전 00:00"</f>
        <v>2021-06-07(월) 오전 00:00</v>
      </c>
      <c r="C15" s="259"/>
      <c r="D15" s="215" t="str">
        <f>TEXT($G$1, "[$-ko-KR]yyyy-mm-dd(ddd) ") &amp; "오후 14:00"</f>
        <v>2021-06-07(월) 오후 14:00</v>
      </c>
      <c r="E15" s="216"/>
      <c r="F15" s="217"/>
      <c r="G15" s="215" t="str">
        <f>TEXT($G$1, "[$-ko-KR]yyyy-mm-dd(ddd) ") &amp; "오후 19:00"</f>
        <v>2021-06-07(월) 오후 19:00</v>
      </c>
      <c r="H15" s="216"/>
      <c r="I15" s="217"/>
      <c r="J15" s="215" t="str">
        <f>TEXT($G$1, "[$-ko-KR]yyyy-mm-dd(ddd) ") &amp; "오후 21:00"</f>
        <v>2021-06-07(월) 오후 21:00</v>
      </c>
      <c r="K15" s="216"/>
      <c r="L15" s="217"/>
      <c r="M15" s="215" t="str">
        <f>TEXT($G$1+1, "[$-ko-KR]yyyy-mm-dd(ddd) ") &amp; "오전 00:00"</f>
        <v>2021-06-08(화) 오전 00:00</v>
      </c>
      <c r="N15" s="216"/>
      <c r="O15" s="217"/>
      <c r="Q15" s="213"/>
      <c r="R15" s="213"/>
      <c r="S15" s="213"/>
    </row>
    <row r="16" spans="1:19" ht="17.25" customHeight="1" thickBot="1">
      <c r="A16" s="25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5" t="s">
        <v>37</v>
      </c>
      <c r="H16" s="186" t="s">
        <v>40</v>
      </c>
      <c r="I16" s="18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8"/>
      <c r="R16" s="218"/>
      <c r="S16" s="21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101</v>
      </c>
      <c r="C17" s="76">
        <f>IF(NOT(ISBLANK(_xlfn.IFNA(VLOOKUP($A17, $A$40:$O$199, 3, FALSE), ))), _xlfn.IFNA(VLOOKUP($A17, $A$40:$O$199, 3, FALSE), ), "")</f>
        <v>-1.9417475699999999E-2</v>
      </c>
      <c r="D17" s="13">
        <f>IF(NOT(ISBLANK(_xlfn.IFNA(VLOOKUP($A17, $A$40:$O$199, 4, FALSE), ))), _xlfn.IFNA(VLOOKUP($A17, $A$40:$O$199, 4, FALSE), ), "")</f>
        <v>100</v>
      </c>
      <c r="E17" s="14">
        <f>IF(NOT(ISBLANK(_xlfn.IFNA(VLOOKUP($A17, $A$40:$O$199, 5, FALSE), ))), _xlfn.IFNA(VLOOKUP($A17, $A$40:$O$199, 5, FALSE), ), "")</f>
        <v>-9.9009900990099011E-3</v>
      </c>
      <c r="F17" s="16">
        <f>IF(NOT(ISBLANK(_xlfn.IFNA(VLOOKUP($A17, $A$40:$O$199, 6, FALSE), ))), _xlfn.IFNA(VLOOKUP($A17, $A$40:$O$199, 6, FALSE), ), "")</f>
        <v>-990.09900990099015</v>
      </c>
      <c r="G17" s="29">
        <f>IF(NOT(ISBLANK(_xlfn.IFNA(VLOOKUP($A17, $A$40:$O$199, 7, FALSE), ))), _xlfn.IFNA(VLOOKUP($A17, $A$40:$O$199, 7, FALSE), ), "")</f>
        <v>99.6</v>
      </c>
      <c r="H17" s="14">
        <f>IF(NOT(ISBLANK(_xlfn.IFNA(VLOOKUP($A17, $A$40:$O$199, 8, FALSE), ))), _xlfn.IFNA(VLOOKUP($A17, $A$40:$O$199, 8, FALSE), ), "")</f>
        <v>-1.3861386138613917E-2</v>
      </c>
      <c r="I17" s="100">
        <f>IF(NOT(ISBLANK(_xlfn.IFNA(VLOOKUP($A17, $A$40:$O$199, 9, FALSE), ))), _xlfn.IFNA(VLOOKUP($A17, $A$40:$O$199, 9, FALSE), ), "")</f>
        <v>-1386.1386138613916</v>
      </c>
      <c r="J17" s="13">
        <f>IF(NOT(ISBLANK(_xlfn.IFNA(VLOOKUP($A17, $A$40:$O$199, 10, FALSE), ))), _xlfn.IFNA(VLOOKUP($A17, $A$40:$O$199, 10, FALSE), ), "")</f>
        <v>99.9</v>
      </c>
      <c r="K17" s="14">
        <f>IF(NOT(ISBLANK(_xlfn.IFNA(VLOOKUP($A17, $A$40:$O$199, 11, FALSE), ))), _xlfn.IFNA(VLOOKUP($A17, $A$40:$O$199, 11, FALSE), ), "")</f>
        <v>-1.0891089108910835E-2</v>
      </c>
      <c r="L17" s="16">
        <f>IF(NOT(ISBLANK(_xlfn.IFNA(VLOOKUP($A17, $A$40:$O$199, 12, FALSE), ))), _xlfn.IFNA(VLOOKUP($A17, $A$40:$O$199, 12, FALSE), ), "")</f>
        <v>-1089.1089108910835</v>
      </c>
      <c r="M17" s="29">
        <f>IF(NOT(ISBLANK(_xlfn.IFNA(VLOOKUP($A17, $A$40:$O$199, 13, FALSE), ))), _xlfn.IFNA(VLOOKUP($A17, $A$40:$O$199, 13, FALSE), ), "")</f>
        <v>99.7</v>
      </c>
      <c r="N17" s="14">
        <f>IF(NOT(ISBLANK(_xlfn.IFNA(VLOOKUP($A17, $A$40:$O$199, 14, FALSE), ))), _xlfn.IFNA(VLOOKUP($A17, $A$40:$O$199, 14, FALSE), ), "")</f>
        <v>-1.2871287128712843E-2</v>
      </c>
      <c r="O17" s="16">
        <f>IF(NOT(ISBLANK(_xlfn.IFNA(VLOOKUP($A17, $A$40:$O$199, 15, FALSE), ))), _xlfn.IFNA(VLOOKUP($A17, $A$40:$O$199, 15, FALSE), ), "")</f>
        <v>-1287.1287128712843</v>
      </c>
      <c r="Q17" s="213"/>
      <c r="R17" s="213"/>
      <c r="S17" s="213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1.2578616000000001E-3</v>
      </c>
      <c r="D18" s="15">
        <f t="shared" ref="D18:D36" si="2">IF(NOT(ISBLANK(_xlfn.IFNA(VLOOKUP($A18, $A$40:$O$199, 4, FALSE), ))), _xlfn.IFNA(VLOOKUP($A18, $A$40:$O$199, 4, FALSE), ), "")</f>
        <v>79.7</v>
      </c>
      <c r="E18" s="32">
        <f t="shared" ref="E18:E36" si="3">IF(NOT(ISBLANK(_xlfn.IFNA(VLOOKUP($A18, $A$40:$O$199, 5, FALSE), ))), _xlfn.IFNA(VLOOKUP($A18, $A$40:$O$199, 5, FALSE), ), "")</f>
        <v>1.256281407035283E-3</v>
      </c>
      <c r="F18" s="18">
        <f t="shared" ref="F18:F36" si="4">IF(NOT(ISBLANK(_xlfn.IFNA(VLOOKUP($A18, $A$40:$O$199, 6, FALSE), ))), _xlfn.IFNA(VLOOKUP($A18, $A$40:$O$199, 6, FALSE), ), "")</f>
        <v>125.6281407035283</v>
      </c>
      <c r="G18" s="31">
        <f t="shared" ref="G18:G36" si="5">IF(NOT(ISBLANK(_xlfn.IFNA(VLOOKUP($A18, $A$40:$O$199, 7, FALSE), ))), _xlfn.IFNA(VLOOKUP($A18, $A$40:$O$199, 7, FALSE), ), "")</f>
        <v>79.7</v>
      </c>
      <c r="H18" s="32">
        <f t="shared" ref="H18:H36" si="6">IF(NOT(ISBLANK(_xlfn.IFNA(VLOOKUP($A18, $A$40:$O$199, 8, FALSE), ))), _xlfn.IFNA(VLOOKUP($A18, $A$40:$O$199, 8, FALSE), ), "")</f>
        <v>1.256281407035283E-3</v>
      </c>
      <c r="I18" s="101">
        <f t="shared" ref="I18:I36" si="7">IF(NOT(ISBLANK(_xlfn.IFNA(VLOOKUP($A18, $A$40:$O$199, 9, FALSE), ))), _xlfn.IFNA(VLOOKUP($A18, $A$40:$O$199, 9, FALSE), ), "")</f>
        <v>125.6281407035283</v>
      </c>
      <c r="J18" s="15">
        <f t="shared" ref="J18:J36" si="8">IF(NOT(ISBLANK(_xlfn.IFNA(VLOOKUP($A18, $A$40:$O$199, 10, FALSE), ))), _xlfn.IFNA(VLOOKUP($A18, $A$40:$O$199, 10, FALSE), ), "")</f>
        <v>79.5</v>
      </c>
      <c r="K18" s="32">
        <f t="shared" ref="K18:K36" si="9">IF(NOT(ISBLANK(_xlfn.IFNA(VLOOKUP($A18, $A$40:$O$199, 11, FALSE), ))), _xlfn.IFNA(VLOOKUP($A18, $A$40:$O$199, 11, FALSE), ), "")</f>
        <v>-1.2562814070351046E-3</v>
      </c>
      <c r="L18" s="18">
        <f t="shared" ref="L18:L36" si="10">IF(NOT(ISBLANK(_xlfn.IFNA(VLOOKUP($A18, $A$40:$O$199, 12, FALSE), ))), _xlfn.IFNA(VLOOKUP($A18, $A$40:$O$199, 12, FALSE), ), "")</f>
        <v>-125.62814070351045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0</v>
      </c>
      <c r="O18" s="18">
        <f t="shared" ref="O18:O36" si="13">IF(NOT(ISBLANK(_xlfn.IFNA(VLOOKUP($A18, $A$40:$O$199, 15, FALSE), ))), _xlfn.IFNA(VLOOKUP($A18, $A$40:$O$199, 15, FALSE), ), "")</f>
        <v>0</v>
      </c>
      <c r="Q18" s="213"/>
      <c r="R18" s="213"/>
      <c r="S18" s="213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4.0322580599999998E-2</v>
      </c>
      <c r="D19" s="15">
        <f t="shared" si="2"/>
        <v>131</v>
      </c>
      <c r="E19" s="32">
        <f t="shared" si="3"/>
        <v>1.5503875968992248E-2</v>
      </c>
      <c r="F19" s="18">
        <f t="shared" si="4"/>
        <v>1550.3875968992247</v>
      </c>
      <c r="G19" s="31">
        <f t="shared" si="5"/>
        <v>130</v>
      </c>
      <c r="H19" s="32">
        <f t="shared" si="6"/>
        <v>7.7519379844961239E-3</v>
      </c>
      <c r="I19" s="101">
        <f t="shared" si="7"/>
        <v>775.19379844961236</v>
      </c>
      <c r="J19" s="15">
        <f t="shared" si="8"/>
        <v>130</v>
      </c>
      <c r="K19" s="32">
        <f t="shared" si="9"/>
        <v>7.7519379844961239E-3</v>
      </c>
      <c r="L19" s="18">
        <f t="shared" si="10"/>
        <v>775.19379844961236</v>
      </c>
      <c r="M19" s="31">
        <f t="shared" si="11"/>
        <v>129</v>
      </c>
      <c r="N19" s="32">
        <f t="shared" si="12"/>
        <v>0</v>
      </c>
      <c r="O19" s="18">
        <f t="shared" si="13"/>
        <v>0</v>
      </c>
      <c r="Q19" s="218"/>
      <c r="R19" s="218"/>
      <c r="S19" s="218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1.42857143E-2</v>
      </c>
      <c r="D20" s="15">
        <f t="shared" si="2"/>
        <v>145</v>
      </c>
      <c r="E20" s="32">
        <f t="shared" si="3"/>
        <v>2.1126760563380281E-2</v>
      </c>
      <c r="F20" s="18">
        <f t="shared" si="4"/>
        <v>2112.676056338028</v>
      </c>
      <c r="G20" s="31">
        <f t="shared" si="5"/>
        <v>146</v>
      </c>
      <c r="H20" s="32">
        <f t="shared" si="6"/>
        <v>2.8169014084507043E-2</v>
      </c>
      <c r="I20" s="101">
        <f t="shared" si="7"/>
        <v>2816.9014084507044</v>
      </c>
      <c r="J20" s="15">
        <f t="shared" si="8"/>
        <v>145</v>
      </c>
      <c r="K20" s="32">
        <f t="shared" si="9"/>
        <v>2.1126760563380281E-2</v>
      </c>
      <c r="L20" s="18">
        <f t="shared" si="10"/>
        <v>2112.676056338028</v>
      </c>
      <c r="M20" s="31">
        <f t="shared" si="11"/>
        <v>145</v>
      </c>
      <c r="N20" s="32">
        <f t="shared" si="12"/>
        <v>2.1126760563380281E-2</v>
      </c>
      <c r="O20" s="18">
        <f t="shared" si="13"/>
        <v>2112.676056338028</v>
      </c>
      <c r="Q20" s="218"/>
      <c r="R20" s="218"/>
      <c r="S20" s="218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3.2258065000000001E-3</v>
      </c>
      <c r="D21" s="20">
        <f t="shared" si="2"/>
        <v>314</v>
      </c>
      <c r="E21" s="21">
        <f t="shared" si="3"/>
        <v>9.6463022508038593E-3</v>
      </c>
      <c r="F21" s="22">
        <f t="shared" si="4"/>
        <v>964.63022508038591</v>
      </c>
      <c r="G21" s="30">
        <f t="shared" si="5"/>
        <v>314</v>
      </c>
      <c r="H21" s="21">
        <f t="shared" si="6"/>
        <v>9.6463022508038593E-3</v>
      </c>
      <c r="I21" s="105">
        <f t="shared" si="7"/>
        <v>964.63022508038591</v>
      </c>
      <c r="J21" s="20">
        <f t="shared" si="8"/>
        <v>316</v>
      </c>
      <c r="K21" s="21">
        <f t="shared" si="9"/>
        <v>1.607717041800643E-2</v>
      </c>
      <c r="L21" s="22">
        <f t="shared" si="10"/>
        <v>1607.7170418006431</v>
      </c>
      <c r="M21" s="30">
        <f t="shared" si="11"/>
        <v>315</v>
      </c>
      <c r="N21" s="21">
        <f t="shared" si="12"/>
        <v>1.2861736334405145E-2</v>
      </c>
      <c r="O21" s="22">
        <f t="shared" si="13"/>
        <v>1286.1736334405145</v>
      </c>
      <c r="Q21" s="218"/>
      <c r="R21" s="218"/>
      <c r="S21" s="218"/>
    </row>
    <row r="22" spans="1:19" ht="17.25" customHeight="1" thickBot="1">
      <c r="A22" s="162" t="s">
        <v>192</v>
      </c>
      <c r="B22" s="129">
        <f t="shared" si="0"/>
        <v>1195</v>
      </c>
      <c r="C22" s="80">
        <f t="shared" si="1"/>
        <v>6.2222222200000003E-2</v>
      </c>
      <c r="D22" s="106">
        <f t="shared" si="2"/>
        <v>1205</v>
      </c>
      <c r="E22" s="107">
        <f t="shared" si="3"/>
        <v>8.368200836820083E-3</v>
      </c>
      <c r="F22" s="108">
        <f t="shared" si="4"/>
        <v>836.82008368200832</v>
      </c>
      <c r="G22" s="109">
        <f t="shared" si="5"/>
        <v>1200</v>
      </c>
      <c r="H22" s="107">
        <f t="shared" si="6"/>
        <v>4.1841004184100415E-3</v>
      </c>
      <c r="I22" s="110">
        <f t="shared" si="7"/>
        <v>418.41004184100416</v>
      </c>
      <c r="J22" s="106">
        <f t="shared" si="8"/>
        <v>1205</v>
      </c>
      <c r="K22" s="107">
        <f t="shared" si="9"/>
        <v>8.368200836820083E-3</v>
      </c>
      <c r="L22" s="108">
        <f t="shared" si="10"/>
        <v>836.82008368200832</v>
      </c>
      <c r="M22" s="109">
        <f t="shared" si="11"/>
        <v>1190</v>
      </c>
      <c r="N22" s="107">
        <f t="shared" si="12"/>
        <v>-4.1841004184100415E-3</v>
      </c>
      <c r="O22" s="108">
        <f t="shared" si="13"/>
        <v>-418.41004184100416</v>
      </c>
      <c r="Q22" s="218"/>
      <c r="R22" s="218"/>
      <c r="S22" s="218"/>
    </row>
    <row r="23" spans="1:19" ht="17.25" customHeight="1" thickBot="1">
      <c r="A23" s="162" t="s">
        <v>200</v>
      </c>
      <c r="B23" s="126">
        <f t="shared" si="0"/>
        <v>224</v>
      </c>
      <c r="C23" s="77">
        <f t="shared" si="1"/>
        <v>6.1611374400000002E-2</v>
      </c>
      <c r="D23" s="15">
        <f t="shared" si="2"/>
        <v>229</v>
      </c>
      <c r="E23" s="32">
        <f t="shared" si="3"/>
        <v>2.2321428571428572E-2</v>
      </c>
      <c r="F23" s="18">
        <f t="shared" si="4"/>
        <v>2232.1428571428573</v>
      </c>
      <c r="G23" s="31">
        <f t="shared" si="5"/>
        <v>227</v>
      </c>
      <c r="H23" s="32">
        <f t="shared" si="6"/>
        <v>1.3392857142857142E-2</v>
      </c>
      <c r="I23" s="101">
        <f t="shared" si="7"/>
        <v>1339.2857142857142</v>
      </c>
      <c r="J23" s="15">
        <f t="shared" si="8"/>
        <v>228</v>
      </c>
      <c r="K23" s="32">
        <f t="shared" si="9"/>
        <v>1.7857142857142856E-2</v>
      </c>
      <c r="L23" s="18">
        <f t="shared" si="10"/>
        <v>1785.7142857142856</v>
      </c>
      <c r="M23" s="31">
        <f t="shared" si="11"/>
        <v>225</v>
      </c>
      <c r="N23" s="32">
        <f t="shared" si="12"/>
        <v>4.464285714285714E-3</v>
      </c>
      <c r="O23" s="18">
        <f t="shared" si="13"/>
        <v>446.42857142857139</v>
      </c>
      <c r="Q23" s="218"/>
      <c r="R23" s="218"/>
      <c r="S23" s="218"/>
    </row>
    <row r="24" spans="1:19" ht="17.25" customHeight="1" thickBot="1">
      <c r="A24" s="162" t="s">
        <v>166</v>
      </c>
      <c r="B24" s="126">
        <f t="shared" si="0"/>
        <v>1320</v>
      </c>
      <c r="C24" s="77">
        <f t="shared" si="1"/>
        <v>4.7619047599999999E-2</v>
      </c>
      <c r="D24" s="15">
        <f t="shared" si="2"/>
        <v>1320</v>
      </c>
      <c r="E24" s="32">
        <f t="shared" si="3"/>
        <v>0</v>
      </c>
      <c r="F24" s="18">
        <f t="shared" si="4"/>
        <v>0</v>
      </c>
      <c r="G24" s="31">
        <f t="shared" si="5"/>
        <v>1315</v>
      </c>
      <c r="H24" s="32">
        <f t="shared" si="6"/>
        <v>-3.787878787878788E-3</v>
      </c>
      <c r="I24" s="101">
        <f t="shared" si="7"/>
        <v>-378.78787878787881</v>
      </c>
      <c r="J24" s="15">
        <f t="shared" si="8"/>
        <v>1315</v>
      </c>
      <c r="K24" s="32">
        <f t="shared" si="9"/>
        <v>-3.787878787878788E-3</v>
      </c>
      <c r="L24" s="18">
        <f t="shared" si="10"/>
        <v>-378.78787878787881</v>
      </c>
      <c r="M24" s="31">
        <f t="shared" si="11"/>
        <v>1315</v>
      </c>
      <c r="N24" s="32">
        <f t="shared" si="12"/>
        <v>-3.787878787878788E-3</v>
      </c>
      <c r="O24" s="18">
        <f t="shared" si="13"/>
        <v>-378.78787878787881</v>
      </c>
      <c r="Q24" s="218"/>
      <c r="R24" s="218"/>
      <c r="S24" s="218"/>
    </row>
    <row r="25" spans="1:19" ht="17.25" customHeight="1" thickBot="1">
      <c r="A25" s="162" t="s">
        <v>228</v>
      </c>
      <c r="B25" s="126">
        <f t="shared" si="0"/>
        <v>11</v>
      </c>
      <c r="C25" s="77">
        <f t="shared" si="1"/>
        <v>4.7619047599999999E-2</v>
      </c>
      <c r="D25" s="15">
        <f t="shared" si="2"/>
        <v>11.2</v>
      </c>
      <c r="E25" s="32">
        <f t="shared" si="3"/>
        <v>1.8181818181818118E-2</v>
      </c>
      <c r="F25" s="18">
        <f t="shared" si="4"/>
        <v>1818.1818181818119</v>
      </c>
      <c r="G25" s="31">
        <f t="shared" si="5"/>
        <v>11.1</v>
      </c>
      <c r="H25" s="32">
        <f t="shared" si="6"/>
        <v>9.0909090909090592E-3</v>
      </c>
      <c r="I25" s="101">
        <f t="shared" si="7"/>
        <v>909.09090909090594</v>
      </c>
      <c r="J25" s="15">
        <f t="shared" si="8"/>
        <v>11.3</v>
      </c>
      <c r="K25" s="32">
        <f t="shared" si="9"/>
        <v>2.7272727272727337E-2</v>
      </c>
      <c r="L25" s="18">
        <f t="shared" si="10"/>
        <v>2727.2727272727338</v>
      </c>
      <c r="M25" s="31">
        <f t="shared" si="11"/>
        <v>11.4</v>
      </c>
      <c r="N25" s="32">
        <f t="shared" si="12"/>
        <v>3.6363636363636397E-2</v>
      </c>
      <c r="O25" s="18">
        <f t="shared" si="13"/>
        <v>3636.3636363636397</v>
      </c>
      <c r="Q25" s="33"/>
      <c r="R25" s="33"/>
    </row>
    <row r="26" spans="1:19" ht="17.25" customHeight="1" thickBot="1">
      <c r="A26" s="130" t="s">
        <v>136</v>
      </c>
      <c r="B26" s="131">
        <f t="shared" si="0"/>
        <v>148</v>
      </c>
      <c r="C26" s="79">
        <f t="shared" si="1"/>
        <v>4.2253521099999997E-2</v>
      </c>
      <c r="D26" s="24">
        <f t="shared" si="2"/>
        <v>146</v>
      </c>
      <c r="E26" s="25">
        <f t="shared" si="3"/>
        <v>-1.3513513513513514E-2</v>
      </c>
      <c r="F26" s="104">
        <f t="shared" si="4"/>
        <v>-1351.3513513513515</v>
      </c>
      <c r="G26" s="102">
        <f t="shared" si="5"/>
        <v>146</v>
      </c>
      <c r="H26" s="25">
        <f t="shared" si="6"/>
        <v>-1.3513513513513514E-2</v>
      </c>
      <c r="I26" s="103">
        <f t="shared" si="7"/>
        <v>-1351.3513513513515</v>
      </c>
      <c r="J26" s="24">
        <f t="shared" si="8"/>
        <v>145</v>
      </c>
      <c r="K26" s="25">
        <f t="shared" si="9"/>
        <v>-2.0270270270270271E-2</v>
      </c>
      <c r="L26" s="104">
        <f t="shared" si="10"/>
        <v>-2027.0270270270271</v>
      </c>
      <c r="M26" s="102">
        <f t="shared" si="11"/>
        <v>146</v>
      </c>
      <c r="N26" s="25">
        <f t="shared" si="12"/>
        <v>-1.3513513513513514E-2</v>
      </c>
      <c r="O26" s="104">
        <f t="shared" si="13"/>
        <v>-1351.3513513513515</v>
      </c>
      <c r="Q26" s="227"/>
      <c r="R26" s="228"/>
      <c r="S26" s="229"/>
    </row>
    <row r="27" spans="1:19" ht="17.25" customHeight="1">
      <c r="A27" s="161" t="s">
        <v>126</v>
      </c>
      <c r="B27" s="124">
        <f t="shared" si="0"/>
        <v>29.6</v>
      </c>
      <c r="C27" s="76">
        <f t="shared" si="1"/>
        <v>4.2253521099999997E-2</v>
      </c>
      <c r="D27" s="13">
        <f t="shared" si="2"/>
        <v>30.6</v>
      </c>
      <c r="E27" s="14">
        <f t="shared" si="3"/>
        <v>3.3783783783783779E-2</v>
      </c>
      <c r="F27" s="16">
        <f t="shared" si="4"/>
        <v>3378.3783783783779</v>
      </c>
      <c r="G27" s="29">
        <f t="shared" si="5"/>
        <v>31</v>
      </c>
      <c r="H27" s="14">
        <f t="shared" si="6"/>
        <v>4.7297297297297244E-2</v>
      </c>
      <c r="I27" s="100">
        <f t="shared" si="7"/>
        <v>4729.7297297297246</v>
      </c>
      <c r="J27" s="13">
        <f t="shared" si="8"/>
        <v>31</v>
      </c>
      <c r="K27" s="14">
        <f t="shared" si="9"/>
        <v>4.7297297297297244E-2</v>
      </c>
      <c r="L27" s="16">
        <f t="shared" si="10"/>
        <v>4729.7297297297246</v>
      </c>
      <c r="M27" s="29">
        <f t="shared" si="11"/>
        <v>30.4</v>
      </c>
      <c r="N27" s="14">
        <f t="shared" si="12"/>
        <v>2.7027027027026931E-2</v>
      </c>
      <c r="O27" s="16">
        <f t="shared" si="13"/>
        <v>2702.7027027026929</v>
      </c>
      <c r="Q27" s="230"/>
      <c r="R27" s="231"/>
      <c r="S27" s="232"/>
    </row>
    <row r="28" spans="1:19" ht="17.25" customHeight="1" thickBot="1">
      <c r="A28" s="162" t="s">
        <v>150</v>
      </c>
      <c r="B28" s="126">
        <f t="shared" si="0"/>
        <v>2475</v>
      </c>
      <c r="C28" s="77">
        <f t="shared" si="1"/>
        <v>4.21052632E-2</v>
      </c>
      <c r="D28" s="15">
        <f t="shared" si="2"/>
        <v>2520</v>
      </c>
      <c r="E28" s="32">
        <f t="shared" si="3"/>
        <v>1.8181818181818181E-2</v>
      </c>
      <c r="F28" s="18">
        <f t="shared" si="4"/>
        <v>1818.181818181818</v>
      </c>
      <c r="G28" s="31">
        <f t="shared" si="5"/>
        <v>2495</v>
      </c>
      <c r="H28" s="32">
        <f t="shared" si="6"/>
        <v>8.0808080808080808E-3</v>
      </c>
      <c r="I28" s="101">
        <f t="shared" si="7"/>
        <v>808.08080808080808</v>
      </c>
      <c r="J28" s="15">
        <f t="shared" si="8"/>
        <v>2550</v>
      </c>
      <c r="K28" s="32">
        <f t="shared" si="9"/>
        <v>3.0303030303030304E-2</v>
      </c>
      <c r="L28" s="18">
        <f t="shared" si="10"/>
        <v>3030.3030303030305</v>
      </c>
      <c r="M28" s="31">
        <f t="shared" si="11"/>
        <v>2520</v>
      </c>
      <c r="N28" s="32">
        <f t="shared" si="12"/>
        <v>1.8181818181818181E-2</v>
      </c>
      <c r="O28" s="18">
        <f t="shared" si="13"/>
        <v>1818.181818181818</v>
      </c>
      <c r="Q28" s="233"/>
      <c r="R28" s="234"/>
      <c r="S28" s="235"/>
    </row>
    <row r="29" spans="1:19" ht="17.25" customHeight="1" thickBot="1">
      <c r="A29" s="162" t="s">
        <v>202</v>
      </c>
      <c r="B29" s="126">
        <f t="shared" si="0"/>
        <v>129</v>
      </c>
      <c r="C29" s="77">
        <f t="shared" si="1"/>
        <v>4.0322580599999998E-2</v>
      </c>
      <c r="D29" s="15">
        <f t="shared" si="2"/>
        <v>131</v>
      </c>
      <c r="E29" s="32">
        <f t="shared" si="3"/>
        <v>1.5503875968992248E-2</v>
      </c>
      <c r="F29" s="18">
        <f t="shared" si="4"/>
        <v>1550.3875968992247</v>
      </c>
      <c r="G29" s="31">
        <f t="shared" si="5"/>
        <v>130</v>
      </c>
      <c r="H29" s="32">
        <f t="shared" si="6"/>
        <v>7.7519379844961239E-3</v>
      </c>
      <c r="I29" s="101">
        <f t="shared" si="7"/>
        <v>775.19379844961236</v>
      </c>
      <c r="J29" s="15">
        <f t="shared" si="8"/>
        <v>130</v>
      </c>
      <c r="K29" s="32">
        <f t="shared" si="9"/>
        <v>7.7519379844961239E-3</v>
      </c>
      <c r="L29" s="18">
        <f t="shared" si="10"/>
        <v>775.19379844961236</v>
      </c>
      <c r="M29" s="31">
        <f t="shared" si="11"/>
        <v>129</v>
      </c>
      <c r="N29" s="32">
        <f t="shared" si="12"/>
        <v>0</v>
      </c>
      <c r="O29" s="18">
        <f t="shared" si="13"/>
        <v>0</v>
      </c>
      <c r="Q29" s="218"/>
      <c r="R29" s="218"/>
      <c r="S29" s="218"/>
    </row>
    <row r="30" spans="1:19" ht="17.25" customHeight="1" thickBot="1">
      <c r="A30" s="162" t="s">
        <v>194</v>
      </c>
      <c r="B30" s="126">
        <f t="shared" si="0"/>
        <v>8700</v>
      </c>
      <c r="C30" s="77">
        <f t="shared" si="1"/>
        <v>3.8805970100000003E-2</v>
      </c>
      <c r="D30" s="15">
        <f t="shared" si="2"/>
        <v>9645</v>
      </c>
      <c r="E30" s="32">
        <f t="shared" si="3"/>
        <v>0.10862068965517241</v>
      </c>
      <c r="F30" s="18">
        <f t="shared" si="4"/>
        <v>10862.068965517241</v>
      </c>
      <c r="G30" s="31">
        <f t="shared" si="5"/>
        <v>9290</v>
      </c>
      <c r="H30" s="32">
        <f t="shared" si="6"/>
        <v>6.7816091954022995E-2</v>
      </c>
      <c r="I30" s="101">
        <f t="shared" si="7"/>
        <v>6781.6091954022995</v>
      </c>
      <c r="J30" s="15">
        <f t="shared" si="8"/>
        <v>10120</v>
      </c>
      <c r="K30" s="32">
        <f t="shared" si="9"/>
        <v>0.16321839080459771</v>
      </c>
      <c r="L30" s="18">
        <f t="shared" si="10"/>
        <v>16321.839080459771</v>
      </c>
      <c r="M30" s="31">
        <f t="shared" si="11"/>
        <v>9415</v>
      </c>
      <c r="N30" s="32">
        <f t="shared" si="12"/>
        <v>8.2183908045977014E-2</v>
      </c>
      <c r="O30" s="18">
        <f t="shared" si="13"/>
        <v>8218.3908045977005</v>
      </c>
      <c r="Q30" s="213"/>
      <c r="R30" s="213"/>
      <c r="S30" s="213"/>
    </row>
    <row r="31" spans="1:19" ht="17.25" customHeight="1" thickBot="1">
      <c r="A31" s="163" t="s">
        <v>220</v>
      </c>
      <c r="B31" s="128">
        <f t="shared" si="0"/>
        <v>11.2</v>
      </c>
      <c r="C31" s="78">
        <f t="shared" si="1"/>
        <v>3.7037037000000002E-2</v>
      </c>
      <c r="D31" s="20">
        <f t="shared" si="2"/>
        <v>11.8</v>
      </c>
      <c r="E31" s="21">
        <f t="shared" si="3"/>
        <v>5.35714285714287E-2</v>
      </c>
      <c r="F31" s="22">
        <f t="shared" si="4"/>
        <v>5357.1428571428696</v>
      </c>
      <c r="G31" s="30">
        <f t="shared" si="5"/>
        <v>12.5</v>
      </c>
      <c r="H31" s="21">
        <f t="shared" si="6"/>
        <v>0.11607142857142864</v>
      </c>
      <c r="I31" s="105">
        <f t="shared" si="7"/>
        <v>11607.142857142864</v>
      </c>
      <c r="J31" s="20">
        <f t="shared" si="8"/>
        <v>12.7</v>
      </c>
      <c r="K31" s="21">
        <f t="shared" si="9"/>
        <v>0.13392857142857142</v>
      </c>
      <c r="L31" s="22">
        <f t="shared" si="10"/>
        <v>13392.857142857143</v>
      </c>
      <c r="M31" s="30">
        <f t="shared" si="11"/>
        <v>13</v>
      </c>
      <c r="N31" s="21">
        <f t="shared" si="12"/>
        <v>0.16071428571428578</v>
      </c>
      <c r="O31" s="22">
        <f t="shared" si="13"/>
        <v>16071.428571428578</v>
      </c>
      <c r="Q31" s="213"/>
      <c r="R31" s="213"/>
      <c r="S31" s="21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8"/>
      <c r="R32" s="218"/>
      <c r="S32" s="21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8"/>
      <c r="R33" s="218"/>
      <c r="S33" s="21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8"/>
      <c r="R34" s="218"/>
      <c r="S34" s="21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0"/>
      <c r="R35" s="241"/>
      <c r="S35" s="24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3"/>
      <c r="R36" s="244"/>
      <c r="S36" s="245"/>
    </row>
    <row r="37" spans="1:19" ht="17.25" customHeight="1" thickBot="1">
      <c r="A37" s="132" t="s">
        <v>42</v>
      </c>
      <c r="B37" s="251">
        <v>100000</v>
      </c>
      <c r="C37" s="252"/>
      <c r="D37" s="26" t="s">
        <v>43</v>
      </c>
      <c r="E37" s="27">
        <f>IF(COUNT(E17:E36), SUM(E17:E36) / COUNT(E17:E36), 0)</f>
        <v>2.0176784021930023E-2</v>
      </c>
      <c r="F37" s="28">
        <f>SUM(F17:F36)</f>
        <v>30265.176032895033</v>
      </c>
      <c r="G37" s="26" t="s">
        <v>43</v>
      </c>
      <c r="H37" s="27">
        <f>IF(COUNT(H17:H36), SUM(H17:H36) / COUNT(H17:H36), 0)</f>
        <v>1.9289745855137697E-2</v>
      </c>
      <c r="I37" s="28">
        <f>SUM(I17:I36)</f>
        <v>28934.618782706544</v>
      </c>
      <c r="J37" s="26" t="s">
        <v>43</v>
      </c>
      <c r="K37" s="27">
        <f>IF(COUNT(K17:K36), SUM(K17:K36) / COUNT(K17:K36), 0)</f>
        <v>2.9649843211764729E-2</v>
      </c>
      <c r="L37" s="28">
        <f>SUM(L17:L36)</f>
        <v>44474.76481764709</v>
      </c>
      <c r="M37" s="26" t="s">
        <v>43</v>
      </c>
      <c r="N37" s="27">
        <f>IF(COUNT(N17:N36), SUM(N17:N36) / COUNT(N17:N36), 0)</f>
        <v>2.1904445206420018E-2</v>
      </c>
      <c r="O37" s="28">
        <f>SUM(O17:O36)</f>
        <v>32856.667809630024</v>
      </c>
      <c r="Q37" s="246"/>
      <c r="R37" s="247"/>
      <c r="S37" s="248"/>
    </row>
    <row r="38" spans="1:19" ht="17.25" customHeight="1"/>
    <row r="39" spans="1:19" ht="17.25" customHeight="1" thickBot="1"/>
    <row r="40" spans="1:19" ht="17.25" customHeight="1" thickBot="1">
      <c r="A40" s="192" t="s">
        <v>44</v>
      </c>
      <c r="B40" s="193"/>
      <c r="C40" s="193"/>
      <c r="D40" s="193"/>
      <c r="E40" s="193"/>
      <c r="F40" s="193"/>
      <c r="G40" s="193"/>
      <c r="H40" s="193"/>
      <c r="I40" s="193"/>
      <c r="J40" s="193"/>
      <c r="K40" s="193"/>
      <c r="L40" s="193"/>
      <c r="M40" s="193"/>
      <c r="N40" s="193"/>
      <c r="O40" s="194"/>
      <c r="Q40" s="213"/>
      <c r="R40" s="213"/>
      <c r="S40" s="213"/>
    </row>
    <row r="41" spans="1:19" ht="17.25" customHeight="1" thickBot="1">
      <c r="A41" s="184" t="s">
        <v>297</v>
      </c>
      <c r="B41" s="192" t="s">
        <v>49</v>
      </c>
      <c r="C41" s="194"/>
      <c r="D41" s="192" t="s">
        <v>58</v>
      </c>
      <c r="E41" s="193"/>
      <c r="F41" s="194"/>
      <c r="G41" s="219">
        <f>_xlfn.IFNA(VLOOKUP(B41, 현재가테이블!$B$2:$D$200, 2, FALSE), "-")</f>
        <v>38300000</v>
      </c>
      <c r="H41" s="220"/>
      <c r="I41" s="221"/>
      <c r="J41" s="192" t="s">
        <v>59</v>
      </c>
      <c r="K41" s="193"/>
      <c r="L41" s="194"/>
      <c r="M41" s="222">
        <f>_xlfn.IFNA(VLOOKUP(B41, 현재가테이블!$B$2:$D$200, 3, FALSE), "-")</f>
        <v>-1.9557649E-2</v>
      </c>
      <c r="N41" s="223"/>
      <c r="O41" s="224"/>
      <c r="Q41" s="213"/>
      <c r="R41" s="213"/>
      <c r="S41" s="213"/>
    </row>
    <row r="42" spans="1:19" ht="17.25" customHeight="1" thickBot="1">
      <c r="A42" s="253" t="s">
        <v>55</v>
      </c>
      <c r="B42" s="255" t="str">
        <f>TEXT($G$1, "[$-ko-KR]yyyy-mm-dd(ddd) ") &amp; "오전 00:00"</f>
        <v>2021-06-07(월) 오전 00:00</v>
      </c>
      <c r="C42" s="256"/>
      <c r="D42" s="215" t="str">
        <f>TEXT($G$1, "[$-ko-KR]yyyy-mm-dd(ddd) ") &amp; "오후 14:00"</f>
        <v>2021-06-07(월) 오후 14:00</v>
      </c>
      <c r="E42" s="216"/>
      <c r="F42" s="217"/>
      <c r="G42" s="215" t="str">
        <f>TEXT($G$1, "[$-ko-KR]yyyy-mm-dd(ddd) ") &amp; "오후 19:00"</f>
        <v>2021-06-07(월) 오후 19:00</v>
      </c>
      <c r="H42" s="216"/>
      <c r="I42" s="217"/>
      <c r="J42" s="215" t="str">
        <f>TEXT($G$1, "[$-ko-KR]yyyy-mm-dd(ddd) ") &amp; "오후 21:00"</f>
        <v>2021-06-07(월) 오후 21:00</v>
      </c>
      <c r="K42" s="216"/>
      <c r="L42" s="217"/>
      <c r="M42" s="215" t="str">
        <f>TEXT($G$1+1, "[$-ko-KR]yyyy-mm-dd(ddd) ") &amp; "오전 00:00"</f>
        <v>2021-06-08(화) 오전 00:00</v>
      </c>
      <c r="N42" s="216"/>
      <c r="O42" s="217"/>
      <c r="Q42" s="213"/>
      <c r="R42" s="213"/>
      <c r="S42" s="213"/>
    </row>
    <row r="43" spans="1:19" ht="17.25" customHeight="1" thickBot="1">
      <c r="A43" s="25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5" t="s">
        <v>58</v>
      </c>
      <c r="H43" s="186" t="s">
        <v>298</v>
      </c>
      <c r="I43" s="18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8"/>
      <c r="R43" s="218"/>
      <c r="S43" s="218"/>
    </row>
    <row r="44" spans="1:19" ht="17.25" customHeight="1" thickBot="1">
      <c r="A44" s="161" t="s">
        <v>72</v>
      </c>
      <c r="B44" s="124">
        <v>22.5</v>
      </c>
      <c r="C44" s="76">
        <v>8.6956521699999997E-2</v>
      </c>
      <c r="D44" s="13">
        <v>22.7</v>
      </c>
      <c r="E44" s="14">
        <f>IF(ISNUMBER(D44), (D44 - $B44) / $B44, "")</f>
        <v>8.8888888888888577E-3</v>
      </c>
      <c r="F44" s="16">
        <f>IF(ISNUMBER(D44), $B64 * E44, "")</f>
        <v>888.88888888888573</v>
      </c>
      <c r="G44" s="29">
        <v>23.3</v>
      </c>
      <c r="H44" s="14">
        <f>IF(ISNUMBER(G44), (G44 - $B44) / $B44, "")</f>
        <v>3.555555555555559E-2</v>
      </c>
      <c r="I44" s="100">
        <f>IF(ISNUMBER(G44), $B64 * H44, "")</f>
        <v>3555.5555555555588</v>
      </c>
      <c r="J44" s="13">
        <v>23.6</v>
      </c>
      <c r="K44" s="14">
        <f>IF(ISNUMBER(J44), (J44 - $B44) / $B44, "")</f>
        <v>4.8888888888888954E-2</v>
      </c>
      <c r="L44" s="16">
        <f>IF(ISNUMBER(J44), $B64 * K44, "")</f>
        <v>4888.8888888888951</v>
      </c>
      <c r="M44" s="29">
        <v>22.9</v>
      </c>
      <c r="N44" s="14">
        <f>IF(ISNUMBER(M44), (M44 - $B44) / $B44, "")</f>
        <v>1.7777777777777715E-2</v>
      </c>
      <c r="O44" s="16">
        <f>IF(ISNUMBER(M44), $B64 * N44, "")</f>
        <v>1777.7777777777715</v>
      </c>
      <c r="Q44" s="213"/>
      <c r="R44" s="213"/>
      <c r="S44" s="213"/>
    </row>
    <row r="45" spans="1:19" ht="17.25" customHeight="1" thickBot="1">
      <c r="A45" s="162" t="s">
        <v>228</v>
      </c>
      <c r="B45" s="126">
        <v>11</v>
      </c>
      <c r="C45" s="77">
        <v>4.7619047599999999E-2</v>
      </c>
      <c r="D45" s="15">
        <v>11.2</v>
      </c>
      <c r="E45" s="32">
        <f t="shared" ref="E45:E48" si="14">IF(ISNUMBER(D45), (D45 - $B45) / $B45, "")</f>
        <v>1.8181818181818118E-2</v>
      </c>
      <c r="F45" s="18">
        <f>IF(ISNUMBER(D45), $B64 * E45, "")</f>
        <v>1818.1818181818119</v>
      </c>
      <c r="G45" s="31">
        <v>11.1</v>
      </c>
      <c r="H45" s="32">
        <f t="shared" ref="H45:H48" si="15">IF(ISNUMBER(G45), (G45 - $B45) / $B45, "")</f>
        <v>9.0909090909090592E-3</v>
      </c>
      <c r="I45" s="101">
        <f>IF(ISNUMBER(G45), $B64 * H45, "")</f>
        <v>909.09090909090594</v>
      </c>
      <c r="J45" s="15">
        <v>11.3</v>
      </c>
      <c r="K45" s="32">
        <f t="shared" ref="K45:K48" si="16">IF(ISNUMBER(J45), (J45 - $B45) / $B45, "")</f>
        <v>2.7272727272727337E-2</v>
      </c>
      <c r="L45" s="18">
        <f>IF(ISNUMBER(J45), $B64 * K45, "")</f>
        <v>2727.2727272727338</v>
      </c>
      <c r="M45" s="31">
        <v>11.4</v>
      </c>
      <c r="N45" s="32">
        <f t="shared" ref="N45:N48" si="17">IF(ISNUMBER(M45), (M45 - $B45) / $B45, "")</f>
        <v>3.6363636363636397E-2</v>
      </c>
      <c r="O45" s="18">
        <f>IF(ISNUMBER(M45), $B64 * N45, "")</f>
        <v>3636.3636363636397</v>
      </c>
      <c r="Q45" s="213"/>
      <c r="R45" s="213"/>
      <c r="S45" s="213"/>
    </row>
    <row r="46" spans="1:19" ht="17.25" customHeight="1" thickBot="1">
      <c r="A46" s="162" t="s">
        <v>126</v>
      </c>
      <c r="B46" s="126">
        <v>29.6</v>
      </c>
      <c r="C46" s="77">
        <v>4.2253521099999997E-2</v>
      </c>
      <c r="D46" s="15">
        <v>30.6</v>
      </c>
      <c r="E46" s="32">
        <f t="shared" si="14"/>
        <v>3.3783783783783779E-2</v>
      </c>
      <c r="F46" s="18">
        <f>IF(ISNUMBER(D46), $B64 * E46, "")</f>
        <v>3378.3783783783779</v>
      </c>
      <c r="G46" s="31">
        <v>31</v>
      </c>
      <c r="H46" s="32">
        <f t="shared" si="15"/>
        <v>4.7297297297297244E-2</v>
      </c>
      <c r="I46" s="101">
        <f>IF(ISNUMBER(G46), $B64 * H46, "")</f>
        <v>4729.7297297297246</v>
      </c>
      <c r="J46" s="15">
        <v>31</v>
      </c>
      <c r="K46" s="32">
        <f t="shared" si="16"/>
        <v>4.7297297297297244E-2</v>
      </c>
      <c r="L46" s="18">
        <f>IF(ISNUMBER(J46), $B64 * K46, "")</f>
        <v>4729.7297297297246</v>
      </c>
      <c r="M46" s="31">
        <v>30.4</v>
      </c>
      <c r="N46" s="32">
        <f t="shared" si="17"/>
        <v>2.7027027027026931E-2</v>
      </c>
      <c r="O46" s="18">
        <f>IF(ISNUMBER(M46), $B64 * N46, "")</f>
        <v>2702.7027027026929</v>
      </c>
      <c r="Q46" s="218"/>
      <c r="R46" s="218"/>
      <c r="S46" s="218"/>
    </row>
    <row r="47" spans="1:19" ht="17.25" customHeight="1" thickBot="1">
      <c r="A47" s="162" t="s">
        <v>220</v>
      </c>
      <c r="B47" s="126">
        <v>11.2</v>
      </c>
      <c r="C47" s="77">
        <v>3.7037037000000002E-2</v>
      </c>
      <c r="D47" s="15">
        <v>11.8</v>
      </c>
      <c r="E47" s="32">
        <f t="shared" si="14"/>
        <v>5.35714285714287E-2</v>
      </c>
      <c r="F47" s="18">
        <f>IF(ISNUMBER(D47), $B64 * E47, "")</f>
        <v>5357.1428571428696</v>
      </c>
      <c r="G47" s="31">
        <v>12.5</v>
      </c>
      <c r="H47" s="32">
        <f t="shared" si="15"/>
        <v>0.11607142857142864</v>
      </c>
      <c r="I47" s="101">
        <f>IF(ISNUMBER(G47), $B64 * H47, "")</f>
        <v>11607.142857142864</v>
      </c>
      <c r="J47" s="15">
        <v>12.7</v>
      </c>
      <c r="K47" s="32">
        <f t="shared" si="16"/>
        <v>0.13392857142857142</v>
      </c>
      <c r="L47" s="18">
        <f>IF(ISNUMBER(J47), $B64 * K47, "")</f>
        <v>13392.857142857143</v>
      </c>
      <c r="M47" s="31">
        <v>13</v>
      </c>
      <c r="N47" s="32">
        <f t="shared" si="17"/>
        <v>0.16071428571428578</v>
      </c>
      <c r="O47" s="18">
        <f>IF(ISNUMBER(M47), $B64 * N47, "")</f>
        <v>16071.428571428578</v>
      </c>
      <c r="Q47" s="218"/>
      <c r="R47" s="218"/>
      <c r="S47" s="218"/>
    </row>
    <row r="48" spans="1:19" ht="17.25" customHeight="1" thickBot="1">
      <c r="A48" s="163" t="s">
        <v>266</v>
      </c>
      <c r="B48" s="128">
        <v>59.7</v>
      </c>
      <c r="C48" s="78">
        <v>3.1088082900000001E-2</v>
      </c>
      <c r="D48" s="20">
        <v>59.5</v>
      </c>
      <c r="E48" s="21">
        <f t="shared" si="14"/>
        <v>-3.3500837520938497E-3</v>
      </c>
      <c r="F48" s="22">
        <f>IF(ISNUMBER(D48), $B64 * E48, "")</f>
        <v>-335.00837520938495</v>
      </c>
      <c r="G48" s="30">
        <v>59.7</v>
      </c>
      <c r="H48" s="21">
        <f t="shared" si="15"/>
        <v>0</v>
      </c>
      <c r="I48" s="105">
        <f>IF(ISNUMBER(G48), $B64 * H48, "")</f>
        <v>0</v>
      </c>
      <c r="J48" s="20">
        <v>60.7</v>
      </c>
      <c r="K48" s="21">
        <f t="shared" si="16"/>
        <v>1.675041876046901E-2</v>
      </c>
      <c r="L48" s="22">
        <f>IF(ISNUMBER(J48), $B64 * K48, "")</f>
        <v>1675.0418760469011</v>
      </c>
      <c r="M48" s="30">
        <v>59.9</v>
      </c>
      <c r="N48" s="21">
        <f t="shared" si="17"/>
        <v>3.3500837520937308E-3</v>
      </c>
      <c r="O48" s="22">
        <f>IF(ISNUMBER(M48), $B64 * N48, "")</f>
        <v>335.00837520937307</v>
      </c>
      <c r="Q48" s="218"/>
      <c r="R48" s="218"/>
      <c r="S48" s="218"/>
    </row>
    <row r="49" spans="1:19" ht="17.25" customHeight="1" thickBot="1">
      <c r="A49" s="162" t="s">
        <v>154</v>
      </c>
      <c r="B49" s="129">
        <v>11.6</v>
      </c>
      <c r="C49" s="80">
        <v>2.65486726E-2</v>
      </c>
      <c r="D49" s="106">
        <v>11.6</v>
      </c>
      <c r="E49" s="107">
        <f>IF(ISNUMBER(D49), (D49 - $B49) / $B49, "")</f>
        <v>0</v>
      </c>
      <c r="F49" s="108">
        <f>IF(ISNUMBER(D49), $B64 * E49, "")</f>
        <v>0</v>
      </c>
      <c r="G49" s="109">
        <v>11.7</v>
      </c>
      <c r="H49" s="107">
        <f>IF(ISNUMBER(G49), (G49 - $B49) / $B49, "")</f>
        <v>8.6206896551723842E-3</v>
      </c>
      <c r="I49" s="110">
        <f>IF(ISNUMBER(G49), $B64 * H49, "")</f>
        <v>862.06896551723844</v>
      </c>
      <c r="J49" s="106">
        <v>11.7</v>
      </c>
      <c r="K49" s="107">
        <f>IF(ISNUMBER(J49), (J49 - $B49) / $B49, "")</f>
        <v>8.6206896551723842E-3</v>
      </c>
      <c r="L49" s="108">
        <f>IF(ISNUMBER(J49), $B64 * K49, "")</f>
        <v>862.06896551723844</v>
      </c>
      <c r="M49" s="109">
        <v>11.6</v>
      </c>
      <c r="N49" s="107">
        <f>IF(ISNUMBER(M49), (M49 - $B49) / $B49, "")</f>
        <v>0</v>
      </c>
      <c r="O49" s="108">
        <f>IF(ISNUMBER(M49), $B64 * N49, "")</f>
        <v>0</v>
      </c>
      <c r="Q49" s="218"/>
      <c r="R49" s="218"/>
      <c r="S49" s="218"/>
    </row>
    <row r="50" spans="1:19" ht="17.25" customHeight="1" thickBot="1">
      <c r="A50" s="162" t="s">
        <v>278</v>
      </c>
      <c r="B50" s="126">
        <v>80.8</v>
      </c>
      <c r="C50" s="77">
        <v>1.76322418E-2</v>
      </c>
      <c r="D50" s="15">
        <v>81.7</v>
      </c>
      <c r="E50" s="32">
        <f t="shared" ref="E50:E53" si="18">IF(ISNUMBER(D50), (D50 - $B50) / $B50, "")</f>
        <v>1.1138613861386209E-2</v>
      </c>
      <c r="F50" s="18">
        <f>IF(ISNUMBER(D50), $B64 * E50, "")</f>
        <v>1113.8613861386209</v>
      </c>
      <c r="G50" s="31">
        <v>81.7</v>
      </c>
      <c r="H50" s="32">
        <f t="shared" ref="H50:H53" si="19">IF(ISNUMBER(G50), (G50 - $B50) / $B50, "")</f>
        <v>1.1138613861386209E-2</v>
      </c>
      <c r="I50" s="101">
        <f>IF(ISNUMBER(G50), $B64 * H50, "")</f>
        <v>1113.8613861386209</v>
      </c>
      <c r="J50" s="15">
        <v>81.7</v>
      </c>
      <c r="K50" s="32">
        <f t="shared" ref="K50:K53" si="20">IF(ISNUMBER(J50), (J50 - $B50) / $B50, "")</f>
        <v>1.1138613861386209E-2</v>
      </c>
      <c r="L50" s="18">
        <f>IF(ISNUMBER(J50), $B64 * K50, "")</f>
        <v>1113.8613861386209</v>
      </c>
      <c r="M50" s="31">
        <v>81.900000000000006</v>
      </c>
      <c r="N50" s="32">
        <f t="shared" ref="N50:N53" si="21">IF(ISNUMBER(M50), (M50 - $B50) / $B50, "")</f>
        <v>1.361386138613872E-2</v>
      </c>
      <c r="O50" s="18">
        <f>IF(ISNUMBER(M50), $B64 * N50, "")</f>
        <v>1361.3861386138719</v>
      </c>
      <c r="Q50" s="218"/>
      <c r="R50" s="218"/>
      <c r="S50" s="218"/>
    </row>
    <row r="51" spans="1:19" ht="17.25" customHeight="1" thickBot="1">
      <c r="A51" s="162" t="s">
        <v>196</v>
      </c>
      <c r="B51" s="126">
        <v>12.1</v>
      </c>
      <c r="C51" s="77">
        <v>1.6806722699999999E-2</v>
      </c>
      <c r="D51" s="15">
        <v>12</v>
      </c>
      <c r="E51" s="32">
        <f t="shared" si="18"/>
        <v>-8.2644628099173261E-3</v>
      </c>
      <c r="F51" s="18">
        <f>IF(ISNUMBER(D51), $B64 * E51, "")</f>
        <v>-826.44628099173258</v>
      </c>
      <c r="G51" s="31">
        <v>12.3</v>
      </c>
      <c r="H51" s="32">
        <f t="shared" si="19"/>
        <v>1.6528925619834798E-2</v>
      </c>
      <c r="I51" s="101">
        <f>IF(ISNUMBER(G51), $B64 * H51, "")</f>
        <v>1652.8925619834797</v>
      </c>
      <c r="J51" s="15">
        <v>12.3</v>
      </c>
      <c r="K51" s="32">
        <f t="shared" si="20"/>
        <v>1.6528925619834798E-2</v>
      </c>
      <c r="L51" s="18">
        <f>IF(ISNUMBER(J51), $B64 * K51, "")</f>
        <v>1652.8925619834797</v>
      </c>
      <c r="M51" s="31">
        <v>12.3</v>
      </c>
      <c r="N51" s="32">
        <f t="shared" si="21"/>
        <v>1.6528925619834798E-2</v>
      </c>
      <c r="O51" s="18">
        <f>IF(ISNUMBER(M51), $B64 * N51, "")</f>
        <v>1652.8925619834797</v>
      </c>
      <c r="Q51" s="218"/>
      <c r="R51" s="218"/>
      <c r="S51" s="218"/>
    </row>
    <row r="52" spans="1:19" ht="17.25" customHeight="1" thickBot="1">
      <c r="A52" s="162" t="s">
        <v>268</v>
      </c>
      <c r="B52" s="126">
        <v>53.3</v>
      </c>
      <c r="C52" s="77">
        <v>1.5238095199999999E-2</v>
      </c>
      <c r="D52" s="15">
        <v>53.8</v>
      </c>
      <c r="E52" s="32">
        <f t="shared" si="18"/>
        <v>9.3808630393996256E-3</v>
      </c>
      <c r="F52" s="18">
        <f>IF(ISNUMBER(D52), $B64 * E52, "")</f>
        <v>938.08630393996259</v>
      </c>
      <c r="G52" s="31">
        <v>54.3</v>
      </c>
      <c r="H52" s="32">
        <f t="shared" si="19"/>
        <v>1.8761726078799251E-2</v>
      </c>
      <c r="I52" s="101">
        <f>IF(ISNUMBER(G52), $B64 * H52, "")</f>
        <v>1876.1726078799252</v>
      </c>
      <c r="J52" s="15">
        <v>54.3</v>
      </c>
      <c r="K52" s="32">
        <f t="shared" si="20"/>
        <v>1.8761726078799251E-2</v>
      </c>
      <c r="L52" s="18">
        <f>IF(ISNUMBER(J52), $B64 * K52, "")</f>
        <v>1876.1726078799252</v>
      </c>
      <c r="M52" s="31">
        <v>54.3</v>
      </c>
      <c r="N52" s="32">
        <f t="shared" si="21"/>
        <v>1.8761726078799251E-2</v>
      </c>
      <c r="O52" s="18">
        <f>IF(ISNUMBER(M52), $B64 * N52, "")</f>
        <v>1876.1726078799252</v>
      </c>
      <c r="Q52" s="33"/>
      <c r="R52" s="33"/>
    </row>
    <row r="53" spans="1:19" ht="17.25" customHeight="1" thickBot="1">
      <c r="A53" s="130" t="s">
        <v>214</v>
      </c>
      <c r="B53" s="131">
        <v>14</v>
      </c>
      <c r="C53" s="79">
        <v>1.44927536E-2</v>
      </c>
      <c r="D53" s="24">
        <v>14.2</v>
      </c>
      <c r="E53" s="25">
        <f t="shared" si="18"/>
        <v>1.4285714285714235E-2</v>
      </c>
      <c r="F53" s="104">
        <f>IF(ISNUMBER(D53), $B64 * E53, "")</f>
        <v>1428.5714285714234</v>
      </c>
      <c r="G53" s="102">
        <v>14.6</v>
      </c>
      <c r="H53" s="25">
        <f t="shared" si="19"/>
        <v>4.285714285714283E-2</v>
      </c>
      <c r="I53" s="103">
        <f>IF(ISNUMBER(G53), $B64 * H53, "")</f>
        <v>4285.7142857142826</v>
      </c>
      <c r="J53" s="24">
        <v>14.4</v>
      </c>
      <c r="K53" s="25">
        <f t="shared" si="20"/>
        <v>2.8571428571428598E-2</v>
      </c>
      <c r="L53" s="104">
        <f>IF(ISNUMBER(J53), $B64 * K53, "")</f>
        <v>2857.1428571428596</v>
      </c>
      <c r="M53" s="102">
        <v>14.4</v>
      </c>
      <c r="N53" s="25">
        <f t="shared" si="21"/>
        <v>2.8571428571428598E-2</v>
      </c>
      <c r="O53" s="104">
        <f>IF(ISNUMBER(M53), $B64 * N53, "")</f>
        <v>2857.1428571428596</v>
      </c>
      <c r="Q53" s="227"/>
      <c r="R53" s="228"/>
      <c r="S53" s="229"/>
    </row>
    <row r="54" spans="1:19" ht="17.25" customHeight="1">
      <c r="A54" s="161" t="s">
        <v>186</v>
      </c>
      <c r="B54" s="124">
        <v>21.3</v>
      </c>
      <c r="C54" s="76">
        <v>1.42857143E-2</v>
      </c>
      <c r="D54" s="13">
        <v>19.899999999999999</v>
      </c>
      <c r="E54" s="14">
        <f>IF(ISNUMBER(D54), (D54 - $B54) / $B54, "")</f>
        <v>-6.5727699530516534E-2</v>
      </c>
      <c r="F54" s="16">
        <f>IF(ISNUMBER(D54), $B64 * E54, "")</f>
        <v>-6572.7699530516538</v>
      </c>
      <c r="G54" s="29">
        <v>19.600000000000001</v>
      </c>
      <c r="H54" s="14">
        <f>IF(ISNUMBER(G54), (G54 - $B54) / $B54, "")</f>
        <v>-7.9812206572769911E-2</v>
      </c>
      <c r="I54" s="100">
        <f>IF(ISNUMBER(G54), $B64 * H54, "")</f>
        <v>-7981.220657276991</v>
      </c>
      <c r="J54" s="13">
        <v>19.3</v>
      </c>
      <c r="K54" s="14">
        <f>IF(ISNUMBER(J54), (J54 - $B54) / $B54, "")</f>
        <v>-9.3896713615023469E-2</v>
      </c>
      <c r="L54" s="16">
        <f>IF(ISNUMBER(J54), $B64 * K54, "")</f>
        <v>-9389.6713615023473</v>
      </c>
      <c r="M54" s="29">
        <v>19.3</v>
      </c>
      <c r="N54" s="14">
        <f>IF(ISNUMBER(M54), (M54 - $B54) / $B54, "")</f>
        <v>-9.3896713615023469E-2</v>
      </c>
      <c r="O54" s="16">
        <f>IF(ISNUMBER(M54), $B64 * N54, "")</f>
        <v>-9389.6713615023473</v>
      </c>
      <c r="Q54" s="230"/>
      <c r="R54" s="231"/>
      <c r="S54" s="232"/>
    </row>
    <row r="55" spans="1:19" ht="17.25" customHeight="1" thickBot="1">
      <c r="A55" s="162" t="s">
        <v>152</v>
      </c>
      <c r="B55" s="126">
        <v>21.8</v>
      </c>
      <c r="C55" s="77">
        <v>1.39534884E-2</v>
      </c>
      <c r="D55" s="15">
        <v>21.7</v>
      </c>
      <c r="E55" s="32">
        <f t="shared" ref="E55:E58" si="22">IF(ISNUMBER(D55), (D55 - $B55) / $B55, "")</f>
        <v>-4.5871559633028176E-3</v>
      </c>
      <c r="F55" s="18">
        <f>IF(ISNUMBER(D55), $B64 * E55, "")</f>
        <v>-458.71559633028176</v>
      </c>
      <c r="G55" s="31">
        <v>21.8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21.8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21.7</v>
      </c>
      <c r="N55" s="32">
        <f t="shared" ref="N55:N58" si="25">IF(ISNUMBER(M55), (M55 - $B55) / $B55, "")</f>
        <v>-4.5871559633028176E-3</v>
      </c>
      <c r="O55" s="18">
        <f>IF(ISNUMBER(M55), $B64 * N55, "")</f>
        <v>-458.71559633028176</v>
      </c>
      <c r="Q55" s="233"/>
      <c r="R55" s="234"/>
      <c r="S55" s="235"/>
    </row>
    <row r="56" spans="1:19" ht="17.25" customHeight="1" thickBot="1">
      <c r="A56" s="162" t="s">
        <v>198</v>
      </c>
      <c r="B56" s="126">
        <v>16.899999999999999</v>
      </c>
      <c r="C56" s="77">
        <v>1.19760479E-2</v>
      </c>
      <c r="D56" s="15">
        <v>17</v>
      </c>
      <c r="E56" s="32">
        <f t="shared" si="22"/>
        <v>5.9171597633136943E-3</v>
      </c>
      <c r="F56" s="18">
        <f>IF(ISNUMBER(D56), $B64 * E56, "")</f>
        <v>591.71597633136946</v>
      </c>
      <c r="G56" s="31">
        <v>17.2</v>
      </c>
      <c r="H56" s="32">
        <f t="shared" si="23"/>
        <v>1.775147928994087E-2</v>
      </c>
      <c r="I56" s="101">
        <f>IF(ISNUMBER(G56), $B64 * H56, "")</f>
        <v>1775.1479289940871</v>
      </c>
      <c r="J56" s="15">
        <v>17.100000000000001</v>
      </c>
      <c r="K56" s="32">
        <f t="shared" si="24"/>
        <v>1.1834319526627389E-2</v>
      </c>
      <c r="L56" s="18">
        <f>IF(ISNUMBER(J56), $B64 * K56, "")</f>
        <v>1183.4319526627389</v>
      </c>
      <c r="M56" s="31">
        <v>17</v>
      </c>
      <c r="N56" s="32">
        <f t="shared" si="25"/>
        <v>5.9171597633136943E-3</v>
      </c>
      <c r="O56" s="18">
        <f>IF(ISNUMBER(M56), $B64 * N56, "")</f>
        <v>591.71597633136946</v>
      </c>
      <c r="Q56" s="218"/>
      <c r="R56" s="218"/>
      <c r="S56" s="218"/>
    </row>
    <row r="57" spans="1:19" ht="17.25" customHeight="1" thickBot="1">
      <c r="A57" s="162" t="s">
        <v>218</v>
      </c>
      <c r="B57" s="126">
        <v>16.899999999999999</v>
      </c>
      <c r="C57" s="77">
        <v>1.19760479E-2</v>
      </c>
      <c r="D57" s="15">
        <v>17.100000000000001</v>
      </c>
      <c r="E57" s="32">
        <f t="shared" si="22"/>
        <v>1.1834319526627389E-2</v>
      </c>
      <c r="F57" s="18">
        <f>IF(ISNUMBER(D57), $B64 * E57, "")</f>
        <v>1183.4319526627389</v>
      </c>
      <c r="G57" s="31">
        <v>17.399999999999999</v>
      </c>
      <c r="H57" s="32">
        <f t="shared" si="23"/>
        <v>2.9585798816568049E-2</v>
      </c>
      <c r="I57" s="101">
        <f>IF(ISNUMBER(G57), $B64 * H57, "")</f>
        <v>2958.5798816568049</v>
      </c>
      <c r="J57" s="15">
        <v>17.3</v>
      </c>
      <c r="K57" s="32">
        <f t="shared" si="24"/>
        <v>2.3668639053254566E-2</v>
      </c>
      <c r="L57" s="18">
        <f>IF(ISNUMBER(J57), $B64 * K57, "")</f>
        <v>2366.8639053254565</v>
      </c>
      <c r="M57" s="31">
        <v>17</v>
      </c>
      <c r="N57" s="32">
        <f t="shared" si="25"/>
        <v>5.9171597633136943E-3</v>
      </c>
      <c r="O57" s="18">
        <f>IF(ISNUMBER(M57), $B64 * N57, "")</f>
        <v>591.71597633136946</v>
      </c>
      <c r="Q57" s="213"/>
      <c r="R57" s="213"/>
      <c r="S57" s="213"/>
    </row>
    <row r="58" spans="1:19" ht="17.25" customHeight="1" thickBot="1">
      <c r="A58" s="163" t="s">
        <v>254</v>
      </c>
      <c r="B58" s="128">
        <v>51.8</v>
      </c>
      <c r="C58" s="78">
        <v>1.171875E-2</v>
      </c>
      <c r="D58" s="20">
        <v>52.1</v>
      </c>
      <c r="E58" s="21">
        <f t="shared" si="22"/>
        <v>5.7915057915058745E-3</v>
      </c>
      <c r="F58" s="22">
        <f>IF(ISNUMBER(D58), $B64 * E58, "")</f>
        <v>579.15057915058742</v>
      </c>
      <c r="G58" s="30">
        <v>52.3</v>
      </c>
      <c r="H58" s="21">
        <f t="shared" si="23"/>
        <v>9.6525096525096523E-3</v>
      </c>
      <c r="I58" s="105">
        <f>IF(ISNUMBER(G58), $B64 * H58, "")</f>
        <v>965.25096525096524</v>
      </c>
      <c r="J58" s="20">
        <v>52.5</v>
      </c>
      <c r="K58" s="21">
        <f t="shared" si="24"/>
        <v>1.351351351351357E-2</v>
      </c>
      <c r="L58" s="22">
        <f>IF(ISNUMBER(J58), $B64 * K58, "")</f>
        <v>1351.3513513513569</v>
      </c>
      <c r="M58" s="30">
        <v>52.5</v>
      </c>
      <c r="N58" s="21">
        <f t="shared" si="25"/>
        <v>1.351351351351357E-2</v>
      </c>
      <c r="O58" s="22">
        <f>IF(ISNUMBER(M58), $B64 * N58, "")</f>
        <v>1351.3513513513569</v>
      </c>
      <c r="Q58" s="213"/>
      <c r="R58" s="213"/>
      <c r="S58" s="213"/>
    </row>
    <row r="59" spans="1:19" ht="17.25" customHeight="1" thickBot="1">
      <c r="A59" s="162" t="s">
        <v>122</v>
      </c>
      <c r="B59" s="129">
        <v>66.599999999999994</v>
      </c>
      <c r="C59" s="80">
        <v>9.0909091000000008E-3</v>
      </c>
      <c r="D59" s="106">
        <v>67.5</v>
      </c>
      <c r="E59" s="107">
        <f>IF(ISNUMBER(D59), (D59 - $B59) / $B59, "")</f>
        <v>1.3513513513513599E-2</v>
      </c>
      <c r="F59" s="108">
        <f>IF(ISNUMBER(D59), $B64 * E59, "")</f>
        <v>1351.3513513513599</v>
      </c>
      <c r="G59" s="109">
        <v>67.599999999999994</v>
      </c>
      <c r="H59" s="107">
        <f>IF(ISNUMBER(G59), (G59 - $B59) / $B59, "")</f>
        <v>1.5015015015015017E-2</v>
      </c>
      <c r="I59" s="110">
        <f>IF(ISNUMBER(G59), $B64 * H59, "")</f>
        <v>1501.5015015015017</v>
      </c>
      <c r="J59" s="106">
        <v>67.8</v>
      </c>
      <c r="K59" s="107">
        <f>IF(ISNUMBER(J59), (J59 - $B59) / $B59, "")</f>
        <v>1.8018018018018063E-2</v>
      </c>
      <c r="L59" s="108">
        <f>IF(ISNUMBER(J59), $B64 * K59, "")</f>
        <v>1801.8018018018063</v>
      </c>
      <c r="M59" s="109">
        <v>66.900000000000006</v>
      </c>
      <c r="N59" s="107">
        <f>IF(ISNUMBER(M59), (M59 - $B59) / $B59, "")</f>
        <v>4.5045045045046753E-3</v>
      </c>
      <c r="O59" s="108">
        <f>IF(ISNUMBER(M59), $B64 * N59, "")</f>
        <v>450.45045045046754</v>
      </c>
      <c r="Q59" s="218"/>
      <c r="R59" s="218"/>
      <c r="S59" s="218"/>
    </row>
    <row r="60" spans="1:19" ht="17.25" customHeight="1" thickBot="1">
      <c r="A60" s="162" t="s">
        <v>156</v>
      </c>
      <c r="B60" s="126">
        <v>89.8</v>
      </c>
      <c r="C60" s="77">
        <v>7.8563412000000003E-3</v>
      </c>
      <c r="D60" s="15">
        <v>89.9</v>
      </c>
      <c r="E60" s="32">
        <f t="shared" ref="E60:E63" si="26">IF(ISNUMBER(D60), (D60 - $B60) / $B60, "")</f>
        <v>1.1135857461025448E-3</v>
      </c>
      <c r="F60" s="18">
        <f>IF(ISNUMBER(D60), $B64 * E60, "")</f>
        <v>111.35857461025448</v>
      </c>
      <c r="G60" s="31">
        <v>89.5</v>
      </c>
      <c r="H60" s="32">
        <f t="shared" ref="H60:H63" si="27">IF(ISNUMBER(G60), (G60 - $B60) / $B60, "")</f>
        <v>-3.3407572383073181E-3</v>
      </c>
      <c r="I60" s="101">
        <f>IF(ISNUMBER(G60), $B64 * H60, "")</f>
        <v>-334.07572383073182</v>
      </c>
      <c r="J60" s="15">
        <v>89.5</v>
      </c>
      <c r="K60" s="32">
        <f t="shared" ref="K60:K63" si="28">IF(ISNUMBER(J60), (J60 - $B60) / $B60, "")</f>
        <v>-3.3407572383073181E-3</v>
      </c>
      <c r="L60" s="18">
        <f>IF(ISNUMBER(J60), $B64 * K60, "")</f>
        <v>-334.07572383073182</v>
      </c>
      <c r="M60" s="31">
        <v>89.9</v>
      </c>
      <c r="N60" s="32">
        <f t="shared" ref="N60:N63" si="29">IF(ISNUMBER(M60), (M60 - $B60) / $B60, "")</f>
        <v>1.1135857461025448E-3</v>
      </c>
      <c r="O60" s="18">
        <f>IF(ISNUMBER(M60), $B64 * N60, "")</f>
        <v>111.35857461025448</v>
      </c>
      <c r="Q60" s="218"/>
      <c r="R60" s="218"/>
      <c r="S60" s="218"/>
    </row>
    <row r="61" spans="1:19" ht="17.25" customHeight="1" thickBot="1">
      <c r="A61" s="162" t="s">
        <v>264</v>
      </c>
      <c r="B61" s="126">
        <v>87.7</v>
      </c>
      <c r="C61" s="77">
        <v>6.8886338000000002E-3</v>
      </c>
      <c r="D61" s="15">
        <v>88.7</v>
      </c>
      <c r="E61" s="32">
        <f t="shared" si="26"/>
        <v>1.1402508551881414E-2</v>
      </c>
      <c r="F61" s="18">
        <f>IF(ISNUMBER(D61), $B64 * E61, "")</f>
        <v>1140.2508551881415</v>
      </c>
      <c r="G61" s="31">
        <v>89.7</v>
      </c>
      <c r="H61" s="32">
        <f t="shared" si="27"/>
        <v>2.2805017103762829E-2</v>
      </c>
      <c r="I61" s="101">
        <f>IF(ISNUMBER(G61), $B64 * H61, "")</f>
        <v>2280.501710376283</v>
      </c>
      <c r="J61" s="15">
        <v>90.6</v>
      </c>
      <c r="K61" s="32">
        <f t="shared" si="28"/>
        <v>3.3067274800456001E-2</v>
      </c>
      <c r="L61" s="18">
        <f>IF(ISNUMBER(J61), $B64 * K61, "")</f>
        <v>3306.7274800456003</v>
      </c>
      <c r="M61" s="31">
        <v>90.2</v>
      </c>
      <c r="N61" s="32">
        <f t="shared" si="29"/>
        <v>2.8506271379703532E-2</v>
      </c>
      <c r="O61" s="18">
        <f>IF(ISNUMBER(M61), $B64 * N61, "")</f>
        <v>2850.627137970353</v>
      </c>
      <c r="Q61" s="218"/>
      <c r="R61" s="218"/>
      <c r="S61" s="218"/>
    </row>
    <row r="62" spans="1:19" ht="17.25" customHeight="1">
      <c r="A62" s="162" t="s">
        <v>260</v>
      </c>
      <c r="B62" s="126">
        <v>76.7</v>
      </c>
      <c r="C62" s="77">
        <v>6.5616798000000002E-3</v>
      </c>
      <c r="D62" s="15">
        <v>76.900000000000006</v>
      </c>
      <c r="E62" s="32">
        <f t="shared" si="26"/>
        <v>2.6075619295958647E-3</v>
      </c>
      <c r="F62" s="18">
        <f>IF(ISNUMBER(D62), $B64 * E62, "")</f>
        <v>260.75619295958649</v>
      </c>
      <c r="G62" s="31">
        <v>76.8</v>
      </c>
      <c r="H62" s="32">
        <f t="shared" si="27"/>
        <v>1.3037809647978398E-3</v>
      </c>
      <c r="I62" s="101">
        <f>IF(ISNUMBER(G62), $B64 * H62, "")</f>
        <v>130.37809647978398</v>
      </c>
      <c r="J62" s="15">
        <v>77</v>
      </c>
      <c r="K62" s="32">
        <f t="shared" si="28"/>
        <v>3.9113428943937049E-3</v>
      </c>
      <c r="L62" s="18">
        <f>IF(ISNUMBER(J62), $B64 * K62, "")</f>
        <v>391.13428943937049</v>
      </c>
      <c r="M62" s="31">
        <v>76.599999999999994</v>
      </c>
      <c r="N62" s="32">
        <f t="shared" si="29"/>
        <v>-1.3037809647980252E-3</v>
      </c>
      <c r="O62" s="18">
        <f>IF(ISNUMBER(M62), $B64 * N62, "")</f>
        <v>-130.37809647980251</v>
      </c>
      <c r="Q62" s="240"/>
      <c r="R62" s="241"/>
      <c r="S62" s="242"/>
    </row>
    <row r="63" spans="1:19" ht="17.25" customHeight="1" thickBot="1">
      <c r="A63" s="130" t="s">
        <v>65</v>
      </c>
      <c r="B63" s="131">
        <v>36.9</v>
      </c>
      <c r="C63" s="79">
        <v>5.4495912999999998E-3</v>
      </c>
      <c r="D63" s="24">
        <v>37.200000000000003</v>
      </c>
      <c r="E63" s="25">
        <f t="shared" si="26"/>
        <v>8.1300813008131235E-3</v>
      </c>
      <c r="F63" s="104">
        <f>IF(ISNUMBER(D63), $B64 * E63, "")</f>
        <v>813.0081300813124</v>
      </c>
      <c r="G63" s="102">
        <v>37.200000000000003</v>
      </c>
      <c r="H63" s="25">
        <f t="shared" si="27"/>
        <v>8.1300813008131235E-3</v>
      </c>
      <c r="I63" s="103">
        <f>IF(ISNUMBER(G63), $B64 * H63, "")</f>
        <v>813.0081300813124</v>
      </c>
      <c r="J63" s="24">
        <v>36.9</v>
      </c>
      <c r="K63" s="25">
        <f t="shared" si="28"/>
        <v>0</v>
      </c>
      <c r="L63" s="104">
        <f>IF(ISNUMBER(J63), $B64 * K63, "")</f>
        <v>0</v>
      </c>
      <c r="M63" s="102">
        <v>36.700000000000003</v>
      </c>
      <c r="N63" s="25">
        <f t="shared" si="29"/>
        <v>-5.4200542005418901E-3</v>
      </c>
      <c r="O63" s="104">
        <f>IF(ISNUMBER(M63), $B64 * N63, "")</f>
        <v>-542.00542005418902</v>
      </c>
      <c r="Q63" s="243"/>
      <c r="R63" s="244"/>
      <c r="S63" s="245"/>
    </row>
    <row r="64" spans="1:19" ht="17.25" customHeight="1" thickBot="1">
      <c r="A64" s="132" t="s">
        <v>300</v>
      </c>
      <c r="B64" s="251">
        <f>$B$37</f>
        <v>100000</v>
      </c>
      <c r="C64" s="252"/>
      <c r="D64" s="26" t="s">
        <v>301</v>
      </c>
      <c r="E64" s="27">
        <f>IF(COUNT(E44:E63), SUM(E44:E63) / COUNT(E44:E63), 0)</f>
        <v>6.3805972339971246E-3</v>
      </c>
      <c r="F64" s="28">
        <f>SUM(F44:F63)</f>
        <v>12761.19446799425</v>
      </c>
      <c r="G64" s="26" t="s">
        <v>301</v>
      </c>
      <c r="H64" s="27">
        <f>IF(COUNT(H44:H63), SUM(H44:H63) / COUNT(H44:H63), 0)</f>
        <v>1.6350650345992802E-2</v>
      </c>
      <c r="I64" s="28">
        <f>SUM(I44:I63)</f>
        <v>32701.300691985623</v>
      </c>
      <c r="J64" s="26" t="s">
        <v>301</v>
      </c>
      <c r="K64" s="27">
        <f>IF(COUNT(K44:K63), SUM(K44:K63) / COUNT(K44:K63), 0)</f>
        <v>1.8226746219375388E-2</v>
      </c>
      <c r="L64" s="28">
        <f>SUM(L44:L63)</f>
        <v>36453.492438750778</v>
      </c>
      <c r="M64" s="26" t="s">
        <v>301</v>
      </c>
      <c r="N64" s="27">
        <f>IF(COUNT(N44:N63), SUM(N44:N63) / COUNT(N44:N63), 0)</f>
        <v>1.3848662110890369E-2</v>
      </c>
      <c r="O64" s="28">
        <f>SUM(O44:O63)</f>
        <v>27697.324221780742</v>
      </c>
      <c r="Q64" s="246"/>
      <c r="R64" s="247"/>
      <c r="S64" s="248"/>
    </row>
    <row r="65" spans="1:19" ht="17.25" customHeight="1"/>
    <row r="66" spans="1:19" ht="17.25" customHeight="1" thickBot="1"/>
    <row r="67" spans="1:19" ht="17.25" thickBot="1">
      <c r="A67" s="192" t="s">
        <v>45</v>
      </c>
      <c r="B67" s="193"/>
      <c r="C67" s="193"/>
      <c r="D67" s="193"/>
      <c r="E67" s="193"/>
      <c r="F67" s="193"/>
      <c r="G67" s="193"/>
      <c r="H67" s="193"/>
      <c r="I67" s="193"/>
      <c r="J67" s="193"/>
      <c r="K67" s="193"/>
      <c r="L67" s="193"/>
      <c r="M67" s="193"/>
      <c r="N67" s="193"/>
      <c r="O67" s="194"/>
      <c r="Q67" s="213"/>
      <c r="R67" s="213"/>
      <c r="S67" s="213"/>
    </row>
    <row r="68" spans="1:19" ht="17.25" thickBot="1">
      <c r="A68" s="184" t="s">
        <v>297</v>
      </c>
      <c r="B68" s="192" t="s">
        <v>49</v>
      </c>
      <c r="C68" s="194"/>
      <c r="D68" s="192" t="s">
        <v>58</v>
      </c>
      <c r="E68" s="193"/>
      <c r="F68" s="194"/>
      <c r="G68" s="219">
        <f>_xlfn.IFNA(VLOOKUP(B68, 현재가테이블!$B$2:$D$200, 2, FALSE), "-")</f>
        <v>38300000</v>
      </c>
      <c r="H68" s="220"/>
      <c r="I68" s="221"/>
      <c r="J68" s="192" t="s">
        <v>59</v>
      </c>
      <c r="K68" s="193"/>
      <c r="L68" s="194"/>
      <c r="M68" s="222">
        <f>_xlfn.IFNA(VLOOKUP(B68, 현재가테이블!$B$2:$D$200, 3, FALSE), "-")</f>
        <v>-1.9557649E-2</v>
      </c>
      <c r="N68" s="223"/>
      <c r="O68" s="224"/>
      <c r="Q68" s="213"/>
      <c r="R68" s="213"/>
      <c r="S68" s="213"/>
    </row>
    <row r="69" spans="1:19" ht="17.25" thickBot="1">
      <c r="A69" s="253" t="s">
        <v>55</v>
      </c>
      <c r="B69" s="255" t="str">
        <f>TEXT($G$1, "[$-ko-KR]yyyy-mm-dd(ddd) ") &amp; "오전 00:00"</f>
        <v>2021-06-07(월) 오전 00:00</v>
      </c>
      <c r="C69" s="256"/>
      <c r="D69" s="215" t="str">
        <f>TEXT($G$1, "[$-ko-KR]yyyy-mm-dd(ddd) ") &amp; "오후 14:00"</f>
        <v>2021-06-07(월) 오후 14:00</v>
      </c>
      <c r="E69" s="216"/>
      <c r="F69" s="217"/>
      <c r="G69" s="215" t="str">
        <f>TEXT($G$1, "[$-ko-KR]yyyy-mm-dd(ddd) ") &amp; "오후 19:00"</f>
        <v>2021-06-07(월) 오후 19:00</v>
      </c>
      <c r="H69" s="216"/>
      <c r="I69" s="217"/>
      <c r="J69" s="215" t="str">
        <f>TEXT($G$1, "[$-ko-KR]yyyy-mm-dd(ddd) ") &amp; "오후 21:00"</f>
        <v>2021-06-07(월) 오후 21:00</v>
      </c>
      <c r="K69" s="216"/>
      <c r="L69" s="217"/>
      <c r="M69" s="215" t="str">
        <f>TEXT($G$1+1, "[$-ko-KR]yyyy-mm-dd(ddd) ") &amp; "오전 00:00"</f>
        <v>2021-06-08(화) 오전 00:00</v>
      </c>
      <c r="N69" s="216"/>
      <c r="O69" s="217"/>
      <c r="Q69" s="213"/>
      <c r="R69" s="213"/>
      <c r="S69" s="213"/>
    </row>
    <row r="70" spans="1:19" ht="17.25" thickBot="1">
      <c r="A70" s="25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5" t="s">
        <v>58</v>
      </c>
      <c r="H70" s="186" t="s">
        <v>298</v>
      </c>
      <c r="I70" s="18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8"/>
      <c r="R70" s="218"/>
      <c r="S70" s="218"/>
    </row>
    <row r="71" spans="1:19" ht="17.25" thickBot="1">
      <c r="A71" s="161" t="s">
        <v>200</v>
      </c>
      <c r="B71" s="124">
        <v>224</v>
      </c>
      <c r="C71" s="76">
        <v>6.1611374400000002E-2</v>
      </c>
      <c r="D71" s="13">
        <v>229</v>
      </c>
      <c r="E71" s="14">
        <f>IF(ISNUMBER(D71), (D71 - $B71) / $B71, "")</f>
        <v>2.2321428571428572E-2</v>
      </c>
      <c r="F71" s="16">
        <f>IF(ISNUMBER(D71), $B91 * E71, "")</f>
        <v>2232.1428571428573</v>
      </c>
      <c r="G71" s="29">
        <v>227</v>
      </c>
      <c r="H71" s="14">
        <f>IF(ISNUMBER(G71), (G71 - $B71) / $B71, "")</f>
        <v>1.3392857142857142E-2</v>
      </c>
      <c r="I71" s="100">
        <f>IF(ISNUMBER(G71), $B91 * H71, "")</f>
        <v>1339.2857142857142</v>
      </c>
      <c r="J71" s="13">
        <v>228</v>
      </c>
      <c r="K71" s="14">
        <f>IF(ISNUMBER(J71), (J71 - $B71) / $B71, "")</f>
        <v>1.7857142857142856E-2</v>
      </c>
      <c r="L71" s="16">
        <f>IF(ISNUMBER(J71), $B91 * K71, "")</f>
        <v>1785.7142857142856</v>
      </c>
      <c r="M71" s="29">
        <v>225</v>
      </c>
      <c r="N71" s="14">
        <f>IF(ISNUMBER(M71), (M71 - $B71) / $B71, "")</f>
        <v>4.464285714285714E-3</v>
      </c>
      <c r="O71" s="16">
        <f>IF(ISNUMBER(M71), $B91 * N71, "")</f>
        <v>446.42857142857139</v>
      </c>
      <c r="Q71" s="213"/>
      <c r="R71" s="213"/>
      <c r="S71" s="213"/>
    </row>
    <row r="72" spans="1:19" ht="17.25" thickBot="1">
      <c r="A72" s="162" t="s">
        <v>136</v>
      </c>
      <c r="B72" s="126">
        <v>148</v>
      </c>
      <c r="C72" s="77">
        <v>4.2253521099999997E-2</v>
      </c>
      <c r="D72" s="15">
        <v>146</v>
      </c>
      <c r="E72" s="32">
        <f t="shared" ref="E72:E75" si="30">IF(ISNUMBER(D72), (D72 - $B72) / $B72, "")</f>
        <v>-1.3513513513513514E-2</v>
      </c>
      <c r="F72" s="18">
        <f>IF(ISNUMBER(D72), $B91 * E72, "")</f>
        <v>-1351.3513513513515</v>
      </c>
      <c r="G72" s="31">
        <v>146</v>
      </c>
      <c r="H72" s="32">
        <f t="shared" ref="H72:H75" si="31">IF(ISNUMBER(G72), (G72 - $B72) / $B72, "")</f>
        <v>-1.3513513513513514E-2</v>
      </c>
      <c r="I72" s="101">
        <f>IF(ISNUMBER(G72), $B91 * H72, "")</f>
        <v>-1351.3513513513515</v>
      </c>
      <c r="J72" s="15">
        <v>145</v>
      </c>
      <c r="K72" s="32">
        <f t="shared" ref="K72:K75" si="32">IF(ISNUMBER(J72), (J72 - $B72) / $B72, "")</f>
        <v>-2.0270270270270271E-2</v>
      </c>
      <c r="L72" s="18">
        <f>IF(ISNUMBER(J72), $B91 * K72, "")</f>
        <v>-2027.0270270270271</v>
      </c>
      <c r="M72" s="31">
        <v>146</v>
      </c>
      <c r="N72" s="32">
        <f t="shared" ref="N72:N75" si="33">IF(ISNUMBER(M72), (M72 - $B72) / $B72, "")</f>
        <v>-1.3513513513513514E-2</v>
      </c>
      <c r="O72" s="18">
        <f>IF(ISNUMBER(M72), $B91 * N72, "")</f>
        <v>-1351.3513513513515</v>
      </c>
      <c r="Q72" s="213"/>
      <c r="R72" s="213"/>
      <c r="S72" s="213"/>
    </row>
    <row r="73" spans="1:19" ht="17.25" thickBot="1">
      <c r="A73" s="162" t="s">
        <v>202</v>
      </c>
      <c r="B73" s="126">
        <v>129</v>
      </c>
      <c r="C73" s="77">
        <v>4.0322580599999998E-2</v>
      </c>
      <c r="D73" s="15">
        <v>131</v>
      </c>
      <c r="E73" s="32">
        <f t="shared" si="30"/>
        <v>1.5503875968992248E-2</v>
      </c>
      <c r="F73" s="18">
        <f>IF(ISNUMBER(D73), $B91 * E73, "")</f>
        <v>1550.3875968992247</v>
      </c>
      <c r="G73" s="31">
        <v>130</v>
      </c>
      <c r="H73" s="32">
        <f t="shared" si="31"/>
        <v>7.7519379844961239E-3</v>
      </c>
      <c r="I73" s="101">
        <f>IF(ISNUMBER(G73), $B91 * H73, "")</f>
        <v>775.19379844961236</v>
      </c>
      <c r="J73" s="15">
        <v>130</v>
      </c>
      <c r="K73" s="32">
        <f t="shared" si="32"/>
        <v>7.7519379844961239E-3</v>
      </c>
      <c r="L73" s="18">
        <f>IF(ISNUMBER(J73), $B91 * K73, "")</f>
        <v>775.19379844961236</v>
      </c>
      <c r="M73" s="31">
        <v>129</v>
      </c>
      <c r="N73" s="32">
        <f t="shared" si="33"/>
        <v>0</v>
      </c>
      <c r="O73" s="18">
        <f>IF(ISNUMBER(M73), $B91 * N73, "")</f>
        <v>0</v>
      </c>
      <c r="Q73" s="218"/>
      <c r="R73" s="218"/>
      <c r="S73" s="218"/>
    </row>
    <row r="74" spans="1:19" ht="17.25" thickBot="1">
      <c r="A74" s="162" t="s">
        <v>240</v>
      </c>
      <c r="B74" s="126">
        <v>131</v>
      </c>
      <c r="C74" s="77">
        <v>3.1496062999999998E-2</v>
      </c>
      <c r="D74" s="15">
        <v>131</v>
      </c>
      <c r="E74" s="32">
        <f t="shared" si="30"/>
        <v>0</v>
      </c>
      <c r="F74" s="18">
        <f>IF(ISNUMBER(D74), $B91 * E74, "")</f>
        <v>0</v>
      </c>
      <c r="G74" s="31">
        <v>133</v>
      </c>
      <c r="H74" s="32">
        <f t="shared" si="31"/>
        <v>1.5267175572519083E-2</v>
      </c>
      <c r="I74" s="101">
        <f>IF(ISNUMBER(G74), $B91 * H74, "")</f>
        <v>1526.7175572519084</v>
      </c>
      <c r="J74" s="15">
        <v>134</v>
      </c>
      <c r="K74" s="32">
        <f t="shared" si="32"/>
        <v>2.2900763358778626E-2</v>
      </c>
      <c r="L74" s="18">
        <f>IF(ISNUMBER(J74), $B91 * K74, "")</f>
        <v>2290.0763358778627</v>
      </c>
      <c r="M74" s="31">
        <v>133</v>
      </c>
      <c r="N74" s="32">
        <f t="shared" si="33"/>
        <v>1.5267175572519083E-2</v>
      </c>
      <c r="O74" s="18">
        <f>IF(ISNUMBER(M74), $B91 * N74, "")</f>
        <v>1526.7175572519084</v>
      </c>
      <c r="Q74" s="218"/>
      <c r="R74" s="218"/>
      <c r="S74" s="218"/>
    </row>
    <row r="75" spans="1:19" ht="17.25" thickBot="1">
      <c r="A75" s="163" t="s">
        <v>232</v>
      </c>
      <c r="B75" s="128">
        <v>120</v>
      </c>
      <c r="C75" s="78">
        <v>2.5641025599999999E-2</v>
      </c>
      <c r="D75" s="20">
        <v>122</v>
      </c>
      <c r="E75" s="21">
        <f t="shared" si="30"/>
        <v>1.6666666666666666E-2</v>
      </c>
      <c r="F75" s="22">
        <f>IF(ISNUMBER(D75), $B91 * E75, "")</f>
        <v>1666.6666666666667</v>
      </c>
      <c r="G75" s="30">
        <v>122</v>
      </c>
      <c r="H75" s="21">
        <f t="shared" si="31"/>
        <v>1.6666666666666666E-2</v>
      </c>
      <c r="I75" s="105">
        <f>IF(ISNUMBER(G75), $B91 * H75, "")</f>
        <v>1666.6666666666667</v>
      </c>
      <c r="J75" s="20">
        <v>122</v>
      </c>
      <c r="K75" s="21">
        <f t="shared" si="32"/>
        <v>1.6666666666666666E-2</v>
      </c>
      <c r="L75" s="22">
        <f>IF(ISNUMBER(J75), $B91 * K75, "")</f>
        <v>1666.6666666666667</v>
      </c>
      <c r="M75" s="30">
        <v>122</v>
      </c>
      <c r="N75" s="21">
        <f t="shared" si="33"/>
        <v>1.6666666666666666E-2</v>
      </c>
      <c r="O75" s="22">
        <f>IF(ISNUMBER(M75), $B91 * N75, "")</f>
        <v>1666.6666666666667</v>
      </c>
      <c r="Q75" s="218"/>
      <c r="R75" s="218"/>
      <c r="S75" s="218"/>
    </row>
    <row r="76" spans="1:19" ht="17.25" thickBot="1">
      <c r="A76" s="162" t="s">
        <v>250</v>
      </c>
      <c r="B76" s="129">
        <v>120</v>
      </c>
      <c r="C76" s="80">
        <v>2.5641025599999999E-2</v>
      </c>
      <c r="D76" s="106">
        <v>124</v>
      </c>
      <c r="E76" s="107">
        <f>IF(ISNUMBER(D76), (D76 - $B76) / $B76, "")</f>
        <v>3.3333333333333333E-2</v>
      </c>
      <c r="F76" s="108">
        <f>IF(ISNUMBER(D76), $B91 * E76, "")</f>
        <v>3333.3333333333335</v>
      </c>
      <c r="G76" s="109">
        <v>125</v>
      </c>
      <c r="H76" s="107">
        <f>IF(ISNUMBER(G76), (G76 - $B76) / $B76, "")</f>
        <v>4.1666666666666664E-2</v>
      </c>
      <c r="I76" s="110">
        <f>IF(ISNUMBER(G76), $B91 * H76, "")</f>
        <v>4166.6666666666661</v>
      </c>
      <c r="J76" s="106">
        <v>127</v>
      </c>
      <c r="K76" s="107">
        <f>IF(ISNUMBER(J76), (J76 - $B76) / $B76, "")</f>
        <v>5.8333333333333334E-2</v>
      </c>
      <c r="L76" s="108">
        <f>IF(ISNUMBER(J76), $B91 * K76, "")</f>
        <v>5833.333333333333</v>
      </c>
      <c r="M76" s="109">
        <v>127</v>
      </c>
      <c r="N76" s="107">
        <f>IF(ISNUMBER(M76), (M76 - $B76) / $B76, "")</f>
        <v>5.8333333333333334E-2</v>
      </c>
      <c r="O76" s="108">
        <f>IF(ISNUMBER(M76), $B91 * N76, "")</f>
        <v>5833.333333333333</v>
      </c>
      <c r="Q76" s="218"/>
      <c r="R76" s="218"/>
      <c r="S76" s="218"/>
    </row>
    <row r="77" spans="1:19" ht="17.25" thickBot="1">
      <c r="A77" s="162" t="s">
        <v>210</v>
      </c>
      <c r="B77" s="126">
        <v>131</v>
      </c>
      <c r="C77" s="77">
        <v>2.34375E-2</v>
      </c>
      <c r="D77" s="15">
        <v>133</v>
      </c>
      <c r="E77" s="32">
        <f t="shared" ref="E77:E80" si="34">IF(ISNUMBER(D77), (D77 - $B77) / $B77, "")</f>
        <v>1.5267175572519083E-2</v>
      </c>
      <c r="F77" s="18">
        <f>IF(ISNUMBER(D77), $B91 * E77, "")</f>
        <v>1526.7175572519084</v>
      </c>
      <c r="G77" s="31">
        <v>135</v>
      </c>
      <c r="H77" s="32">
        <f t="shared" ref="H77:H80" si="35">IF(ISNUMBER(G77), (G77 - $B77) / $B77, "")</f>
        <v>3.0534351145038167E-2</v>
      </c>
      <c r="I77" s="101">
        <f>IF(ISNUMBER(G77), $B91 * H77, "")</f>
        <v>3053.4351145038167</v>
      </c>
      <c r="J77" s="15">
        <v>134</v>
      </c>
      <c r="K77" s="32">
        <f t="shared" ref="K77:K80" si="36">IF(ISNUMBER(J77), (J77 - $B77) / $B77, "")</f>
        <v>2.2900763358778626E-2</v>
      </c>
      <c r="L77" s="18">
        <f>IF(ISNUMBER(J77), $B91 * K77, "")</f>
        <v>2290.0763358778627</v>
      </c>
      <c r="M77" s="31">
        <v>135</v>
      </c>
      <c r="N77" s="32">
        <f t="shared" ref="N77:N80" si="37">IF(ISNUMBER(M77), (M77 - $B77) / $B77, "")</f>
        <v>3.0534351145038167E-2</v>
      </c>
      <c r="O77" s="18">
        <f>IF(ISNUMBER(M77), $B91 * N77, "")</f>
        <v>3053.4351145038167</v>
      </c>
      <c r="Q77" s="218"/>
      <c r="R77" s="218"/>
      <c r="S77" s="218"/>
    </row>
    <row r="78" spans="1:19" ht="17.25" thickBot="1">
      <c r="A78" s="162" t="s">
        <v>208</v>
      </c>
      <c r="B78" s="126">
        <v>320</v>
      </c>
      <c r="C78" s="77">
        <v>2.2364217299999999E-2</v>
      </c>
      <c r="D78" s="15">
        <v>319</v>
      </c>
      <c r="E78" s="32">
        <f t="shared" si="34"/>
        <v>-3.1250000000000002E-3</v>
      </c>
      <c r="F78" s="18">
        <f>IF(ISNUMBER(D78), $B91 * E78, "")</f>
        <v>-312.5</v>
      </c>
      <c r="G78" s="31">
        <v>320</v>
      </c>
      <c r="H78" s="32">
        <f t="shared" si="35"/>
        <v>0</v>
      </c>
      <c r="I78" s="101">
        <f>IF(ISNUMBER(G78), $B91 * H78, "")</f>
        <v>0</v>
      </c>
      <c r="J78" s="15">
        <v>322</v>
      </c>
      <c r="K78" s="32">
        <f t="shared" si="36"/>
        <v>6.2500000000000003E-3</v>
      </c>
      <c r="L78" s="18">
        <f>IF(ISNUMBER(J78), $B91 * K78, "")</f>
        <v>625</v>
      </c>
      <c r="M78" s="31">
        <v>320</v>
      </c>
      <c r="N78" s="32">
        <f t="shared" si="37"/>
        <v>0</v>
      </c>
      <c r="O78" s="18">
        <f>IF(ISNUMBER(M78), $B91 * N78, "")</f>
        <v>0</v>
      </c>
      <c r="Q78" s="218"/>
      <c r="R78" s="218"/>
      <c r="S78" s="218"/>
    </row>
    <row r="79" spans="1:19" ht="17.25" thickBot="1">
      <c r="A79" s="162" t="s">
        <v>174</v>
      </c>
      <c r="B79" s="126">
        <v>190</v>
      </c>
      <c r="C79" s="77">
        <v>2.15053763E-2</v>
      </c>
      <c r="D79" s="15">
        <v>188</v>
      </c>
      <c r="E79" s="32">
        <f t="shared" si="34"/>
        <v>-1.0526315789473684E-2</v>
      </c>
      <c r="F79" s="18">
        <f>IF(ISNUMBER(D79), $B91 * E79, "")</f>
        <v>-1052.6315789473683</v>
      </c>
      <c r="G79" s="31">
        <v>189</v>
      </c>
      <c r="H79" s="32">
        <f t="shared" si="35"/>
        <v>-5.263157894736842E-3</v>
      </c>
      <c r="I79" s="101">
        <f>IF(ISNUMBER(G79), $B91 * H79, "")</f>
        <v>-526.31578947368416</v>
      </c>
      <c r="J79" s="15">
        <v>189</v>
      </c>
      <c r="K79" s="32">
        <f t="shared" si="36"/>
        <v>-5.263157894736842E-3</v>
      </c>
      <c r="L79" s="18">
        <f>IF(ISNUMBER(J79), $B91 * K79, "")</f>
        <v>-526.31578947368416</v>
      </c>
      <c r="M79" s="31">
        <v>187</v>
      </c>
      <c r="N79" s="32">
        <f t="shared" si="37"/>
        <v>-1.5789473684210527E-2</v>
      </c>
      <c r="O79" s="18">
        <f>IF(ISNUMBER(M79), $B91 * N79, "")</f>
        <v>-1578.9473684210527</v>
      </c>
      <c r="Q79" s="33"/>
      <c r="R79" s="33"/>
    </row>
    <row r="80" spans="1:19" ht="17.25" thickBot="1">
      <c r="A80" s="130" t="s">
        <v>182</v>
      </c>
      <c r="B80" s="131">
        <v>298</v>
      </c>
      <c r="C80" s="79">
        <v>2.0547945200000001E-2</v>
      </c>
      <c r="D80" s="24">
        <v>307</v>
      </c>
      <c r="E80" s="25">
        <f t="shared" si="34"/>
        <v>3.0201342281879196E-2</v>
      </c>
      <c r="F80" s="104">
        <f>IF(ISNUMBER(D80), $B91 * E80, "")</f>
        <v>3020.1342281879197</v>
      </c>
      <c r="G80" s="102">
        <v>307</v>
      </c>
      <c r="H80" s="25">
        <f t="shared" si="35"/>
        <v>3.0201342281879196E-2</v>
      </c>
      <c r="I80" s="103">
        <f>IF(ISNUMBER(G80), $B91 * H80, "")</f>
        <v>3020.1342281879197</v>
      </c>
      <c r="J80" s="24">
        <v>309</v>
      </c>
      <c r="K80" s="25">
        <f t="shared" si="36"/>
        <v>3.6912751677852351E-2</v>
      </c>
      <c r="L80" s="104">
        <f>IF(ISNUMBER(J80), $B91 * K80, "")</f>
        <v>3691.2751677852352</v>
      </c>
      <c r="M80" s="102">
        <v>308</v>
      </c>
      <c r="N80" s="25">
        <f t="shared" si="37"/>
        <v>3.3557046979865772E-2</v>
      </c>
      <c r="O80" s="104">
        <f>IF(ISNUMBER(M80), $B91 * N80, "")</f>
        <v>3355.7046979865772</v>
      </c>
      <c r="Q80" s="227"/>
      <c r="R80" s="228"/>
      <c r="S80" s="229"/>
    </row>
    <row r="81" spans="1:19">
      <c r="A81" s="161" t="s">
        <v>282</v>
      </c>
      <c r="B81" s="124">
        <v>110</v>
      </c>
      <c r="C81" s="76">
        <v>1.8518518500000001E-2</v>
      </c>
      <c r="D81" s="13">
        <v>118</v>
      </c>
      <c r="E81" s="14">
        <f>IF(ISNUMBER(D81), (D81 - $B81) / $B81, "")</f>
        <v>7.2727272727272724E-2</v>
      </c>
      <c r="F81" s="16">
        <f>IF(ISNUMBER(D81), $B91 * E81, "")</f>
        <v>7272.7272727272721</v>
      </c>
      <c r="G81" s="29">
        <v>120</v>
      </c>
      <c r="H81" s="14">
        <f>IF(ISNUMBER(G81), (G81 - $B81) / $B81, "")</f>
        <v>9.0909090909090912E-2</v>
      </c>
      <c r="I81" s="100">
        <f>IF(ISNUMBER(G81), $B91 * H81, "")</f>
        <v>9090.9090909090919</v>
      </c>
      <c r="J81" s="13">
        <v>120</v>
      </c>
      <c r="K81" s="14">
        <f>IF(ISNUMBER(J81), (J81 - $B81) / $B81, "")</f>
        <v>9.0909090909090912E-2</v>
      </c>
      <c r="L81" s="16">
        <f>IF(ISNUMBER(J81), $B91 * K81, "")</f>
        <v>9090.9090909090919</v>
      </c>
      <c r="M81" s="29">
        <v>122</v>
      </c>
      <c r="N81" s="14">
        <f>IF(ISNUMBER(M81), (M81 - $B81) / $B81, "")</f>
        <v>0.10909090909090909</v>
      </c>
      <c r="O81" s="16">
        <f>IF(ISNUMBER(M81), $B91 * N81, "")</f>
        <v>10909.090909090908</v>
      </c>
      <c r="Q81" s="230"/>
      <c r="R81" s="231"/>
      <c r="S81" s="232"/>
    </row>
    <row r="82" spans="1:19" ht="17.25" thickBot="1">
      <c r="A82" s="162" t="s">
        <v>230</v>
      </c>
      <c r="B82" s="126">
        <v>114</v>
      </c>
      <c r="C82" s="77">
        <v>1.7857142900000001E-2</v>
      </c>
      <c r="D82" s="15">
        <v>119</v>
      </c>
      <c r="E82" s="32">
        <f t="shared" ref="E82:E85" si="38">IF(ISNUMBER(D82), (D82 - $B82) / $B82, "")</f>
        <v>4.3859649122807015E-2</v>
      </c>
      <c r="F82" s="18">
        <f>IF(ISNUMBER(D82), $B91 * E82, "")</f>
        <v>4385.9649122807014</v>
      </c>
      <c r="G82" s="31">
        <v>122</v>
      </c>
      <c r="H82" s="32">
        <f t="shared" ref="H82:H85" si="39">IF(ISNUMBER(G82), (G82 - $B82) / $B82, "")</f>
        <v>7.0175438596491224E-2</v>
      </c>
      <c r="I82" s="101">
        <f>IF(ISNUMBER(G82), $B91 * H82, "")</f>
        <v>7017.5438596491222</v>
      </c>
      <c r="J82" s="15">
        <v>120</v>
      </c>
      <c r="K82" s="32">
        <f t="shared" ref="K82:K85" si="40">IF(ISNUMBER(J82), (J82 - $B82) / $B82, "")</f>
        <v>5.2631578947368418E-2</v>
      </c>
      <c r="L82" s="18">
        <f>IF(ISNUMBER(J82), $B91 * K82, "")</f>
        <v>5263.1578947368416</v>
      </c>
      <c r="M82" s="31">
        <v>124</v>
      </c>
      <c r="N82" s="32">
        <f t="shared" ref="N82:N85" si="41">IF(ISNUMBER(M82), (M82 - $B82) / $B82, "")</f>
        <v>8.771929824561403E-2</v>
      </c>
      <c r="O82" s="18">
        <f>IF(ISNUMBER(M82), $B91 * N82, "")</f>
        <v>8771.9298245614027</v>
      </c>
      <c r="Q82" s="233"/>
      <c r="R82" s="234"/>
      <c r="S82" s="235"/>
    </row>
    <row r="83" spans="1:19" ht="17.25" thickBot="1">
      <c r="A83" s="162" t="s">
        <v>256</v>
      </c>
      <c r="B83" s="126">
        <v>179</v>
      </c>
      <c r="C83" s="77">
        <v>1.7045454500000001E-2</v>
      </c>
      <c r="D83" s="15">
        <v>181</v>
      </c>
      <c r="E83" s="32">
        <f t="shared" si="38"/>
        <v>1.11731843575419E-2</v>
      </c>
      <c r="F83" s="18">
        <f>IF(ISNUMBER(D83), $B91 * E83, "")</f>
        <v>1117.31843575419</v>
      </c>
      <c r="G83" s="31">
        <v>180</v>
      </c>
      <c r="H83" s="32">
        <f t="shared" si="39"/>
        <v>5.5865921787709499E-3</v>
      </c>
      <c r="I83" s="101">
        <f>IF(ISNUMBER(G83), $B91 * H83, "")</f>
        <v>558.65921787709499</v>
      </c>
      <c r="J83" s="15">
        <v>181</v>
      </c>
      <c r="K83" s="32">
        <f t="shared" si="40"/>
        <v>1.11731843575419E-2</v>
      </c>
      <c r="L83" s="18">
        <f>IF(ISNUMBER(J83), $B91 * K83, "")</f>
        <v>1117.31843575419</v>
      </c>
      <c r="M83" s="31">
        <v>181</v>
      </c>
      <c r="N83" s="32">
        <f t="shared" si="41"/>
        <v>1.11731843575419E-2</v>
      </c>
      <c r="O83" s="18">
        <f>IF(ISNUMBER(M83), $B91 * N83, "")</f>
        <v>1117.31843575419</v>
      </c>
      <c r="Q83" s="218"/>
      <c r="R83" s="218"/>
      <c r="S83" s="218"/>
    </row>
    <row r="84" spans="1:19" ht="17.25" thickBot="1">
      <c r="A84" s="162" t="s">
        <v>262</v>
      </c>
      <c r="B84" s="126">
        <v>638</v>
      </c>
      <c r="C84" s="77">
        <v>1.5923566900000002E-2</v>
      </c>
      <c r="D84" s="15">
        <v>662</v>
      </c>
      <c r="E84" s="32">
        <f t="shared" si="38"/>
        <v>3.7617554858934171E-2</v>
      </c>
      <c r="F84" s="18">
        <f>IF(ISNUMBER(D84), $B91 * E84, "")</f>
        <v>3761.7554858934172</v>
      </c>
      <c r="G84" s="31">
        <v>660</v>
      </c>
      <c r="H84" s="32">
        <f t="shared" si="39"/>
        <v>3.4482758620689655E-2</v>
      </c>
      <c r="I84" s="101">
        <f>IF(ISNUMBER(G84), $B91 * H84, "")</f>
        <v>3448.2758620689656</v>
      </c>
      <c r="J84" s="15">
        <v>665</v>
      </c>
      <c r="K84" s="32">
        <f t="shared" si="40"/>
        <v>4.2319749216300939E-2</v>
      </c>
      <c r="L84" s="18">
        <f>IF(ISNUMBER(J84), $B91 * K84, "")</f>
        <v>4231.9749216300943</v>
      </c>
      <c r="M84" s="31">
        <v>657</v>
      </c>
      <c r="N84" s="32">
        <f t="shared" si="41"/>
        <v>2.9780564263322883E-2</v>
      </c>
      <c r="O84" s="18">
        <f>IF(ISNUMBER(M84), $B91 * N84, "")</f>
        <v>2978.0564263322885</v>
      </c>
      <c r="Q84" s="213"/>
      <c r="R84" s="213"/>
      <c r="S84" s="213"/>
    </row>
    <row r="85" spans="1:19" ht="17.25" thickBot="1">
      <c r="A85" s="163" t="s">
        <v>258</v>
      </c>
      <c r="B85" s="128">
        <v>490</v>
      </c>
      <c r="C85" s="78">
        <v>1.44927536E-2</v>
      </c>
      <c r="D85" s="20">
        <v>490</v>
      </c>
      <c r="E85" s="21">
        <f t="shared" si="38"/>
        <v>0</v>
      </c>
      <c r="F85" s="22">
        <f>IF(ISNUMBER(D85), $B91 * E85, "")</f>
        <v>0</v>
      </c>
      <c r="G85" s="30">
        <v>492</v>
      </c>
      <c r="H85" s="21">
        <f t="shared" si="39"/>
        <v>4.0816326530612249E-3</v>
      </c>
      <c r="I85" s="105">
        <f>IF(ISNUMBER(G85), $B91 * H85, "")</f>
        <v>408.16326530612247</v>
      </c>
      <c r="J85" s="20">
        <v>493</v>
      </c>
      <c r="K85" s="21">
        <f t="shared" si="40"/>
        <v>6.1224489795918364E-3</v>
      </c>
      <c r="L85" s="22">
        <f>IF(ISNUMBER(J85), $B91 * K85, "")</f>
        <v>612.24489795918362</v>
      </c>
      <c r="M85" s="30">
        <v>489</v>
      </c>
      <c r="N85" s="21">
        <f t="shared" si="41"/>
        <v>-2.0408163265306124E-3</v>
      </c>
      <c r="O85" s="22">
        <f>IF(ISNUMBER(M85), $B91 * N85, "")</f>
        <v>-204.08163265306123</v>
      </c>
      <c r="Q85" s="213"/>
      <c r="R85" s="213"/>
      <c r="S85" s="213"/>
    </row>
    <row r="86" spans="1:19" ht="17.25" thickBot="1">
      <c r="A86" s="162" t="s">
        <v>120</v>
      </c>
      <c r="B86" s="129">
        <v>142</v>
      </c>
      <c r="C86" s="80">
        <v>1.42857143E-2</v>
      </c>
      <c r="D86" s="106">
        <v>145</v>
      </c>
      <c r="E86" s="107">
        <f>IF(ISNUMBER(D86), (D86 - $B86) / $B86, "")</f>
        <v>2.1126760563380281E-2</v>
      </c>
      <c r="F86" s="108">
        <f>IF(ISNUMBER(D86), $B91 * E86, "")</f>
        <v>2112.676056338028</v>
      </c>
      <c r="G86" s="109">
        <v>146</v>
      </c>
      <c r="H86" s="107">
        <f>IF(ISNUMBER(G86), (G86 - $B86) / $B86, "")</f>
        <v>2.8169014084507043E-2</v>
      </c>
      <c r="I86" s="110">
        <f>IF(ISNUMBER(G86), $B91 * H86, "")</f>
        <v>2816.9014084507044</v>
      </c>
      <c r="J86" s="106">
        <v>145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>
        <v>145</v>
      </c>
      <c r="N86" s="107">
        <f>IF(ISNUMBER(M86), (M86 - $B86) / $B86, "")</f>
        <v>2.1126760563380281E-2</v>
      </c>
      <c r="O86" s="108">
        <f>IF(ISNUMBER(M86), $B91 * N86, "")</f>
        <v>2112.676056338028</v>
      </c>
      <c r="Q86" s="218"/>
      <c r="R86" s="218"/>
      <c r="S86" s="218"/>
    </row>
    <row r="87" spans="1:19" ht="17.25" thickBot="1">
      <c r="A87" s="162" t="s">
        <v>54</v>
      </c>
      <c r="B87" s="126">
        <v>265</v>
      </c>
      <c r="C87" s="77">
        <v>1.14503817E-2</v>
      </c>
      <c r="D87" s="15">
        <v>266</v>
      </c>
      <c r="E87" s="32">
        <f t="shared" ref="E87:E90" si="42">IF(ISNUMBER(D87), (D87 - $B87) / $B87, "")</f>
        <v>3.7735849056603774E-3</v>
      </c>
      <c r="F87" s="18">
        <f>IF(ISNUMBER(D87), $B91 * E87, "")</f>
        <v>377.35849056603774</v>
      </c>
      <c r="G87" s="31">
        <v>266</v>
      </c>
      <c r="H87" s="32">
        <f t="shared" ref="H87:H90" si="43">IF(ISNUMBER(G87), (G87 - $B87) / $B87, "")</f>
        <v>3.7735849056603774E-3</v>
      </c>
      <c r="I87" s="101">
        <f>IF(ISNUMBER(G87), $B91 * H87, "")</f>
        <v>377.35849056603774</v>
      </c>
      <c r="J87" s="15">
        <v>266</v>
      </c>
      <c r="K87" s="32">
        <f t="shared" ref="K87:K90" si="44">IF(ISNUMBER(J87), (J87 - $B87) / $B87, "")</f>
        <v>3.7735849056603774E-3</v>
      </c>
      <c r="L87" s="18">
        <f>IF(ISNUMBER(J87), $B91 * K87, "")</f>
        <v>377.35849056603774</v>
      </c>
      <c r="M87" s="31">
        <v>262</v>
      </c>
      <c r="N87" s="32">
        <f t="shared" ref="N87:N90" si="45">IF(ISNUMBER(M87), (M87 - $B87) / $B87, "")</f>
        <v>-1.1320754716981131E-2</v>
      </c>
      <c r="O87" s="18">
        <f>IF(ISNUMBER(M87), $B91 * N87, "")</f>
        <v>-1132.0754716981132</v>
      </c>
      <c r="Q87" s="218"/>
      <c r="R87" s="218"/>
      <c r="S87" s="218"/>
    </row>
    <row r="88" spans="1:19" ht="17.25" thickBot="1">
      <c r="A88" s="162" t="s">
        <v>238</v>
      </c>
      <c r="B88" s="126">
        <v>186</v>
      </c>
      <c r="C88" s="77">
        <v>1.08695652E-2</v>
      </c>
      <c r="D88" s="15">
        <v>189</v>
      </c>
      <c r="E88" s="32">
        <f t="shared" si="42"/>
        <v>1.6129032258064516E-2</v>
      </c>
      <c r="F88" s="18">
        <f>IF(ISNUMBER(D88), $B91 * E88, "")</f>
        <v>1612.9032258064515</v>
      </c>
      <c r="G88" s="31">
        <v>189</v>
      </c>
      <c r="H88" s="32">
        <f t="shared" si="43"/>
        <v>1.6129032258064516E-2</v>
      </c>
      <c r="I88" s="101">
        <f>IF(ISNUMBER(G88), $B91 * H88, "")</f>
        <v>1612.9032258064515</v>
      </c>
      <c r="J88" s="15">
        <v>190</v>
      </c>
      <c r="K88" s="32">
        <f t="shared" si="44"/>
        <v>2.1505376344086023E-2</v>
      </c>
      <c r="L88" s="18">
        <f>IF(ISNUMBER(J88), $B91 * K88, "")</f>
        <v>2150.5376344086021</v>
      </c>
      <c r="M88" s="31">
        <v>190</v>
      </c>
      <c r="N88" s="32">
        <f t="shared" si="45"/>
        <v>2.1505376344086023E-2</v>
      </c>
      <c r="O88" s="18">
        <f>IF(ISNUMBER(M88), $B91 * N88, "")</f>
        <v>2150.5376344086021</v>
      </c>
      <c r="Q88" s="218"/>
      <c r="R88" s="218"/>
      <c r="S88" s="218"/>
    </row>
    <row r="89" spans="1:19">
      <c r="A89" s="162" t="s">
        <v>252</v>
      </c>
      <c r="B89" s="126">
        <v>317</v>
      </c>
      <c r="C89" s="77">
        <v>9.5541401000000005E-3</v>
      </c>
      <c r="D89" s="15">
        <v>341</v>
      </c>
      <c r="E89" s="32">
        <f t="shared" si="42"/>
        <v>7.5709779179810727E-2</v>
      </c>
      <c r="F89" s="18">
        <f>IF(ISNUMBER(D89), $B91 * E89, "")</f>
        <v>7570.977917981073</v>
      </c>
      <c r="G89" s="31">
        <v>331</v>
      </c>
      <c r="H89" s="32">
        <f t="shared" si="43"/>
        <v>4.4164037854889593E-2</v>
      </c>
      <c r="I89" s="101">
        <f>IF(ISNUMBER(G89), $B91 * H89, "")</f>
        <v>4416.4037854889593</v>
      </c>
      <c r="J89" s="15">
        <v>330</v>
      </c>
      <c r="K89" s="32">
        <f t="shared" si="44"/>
        <v>4.1009463722397478E-2</v>
      </c>
      <c r="L89" s="18">
        <f>IF(ISNUMBER(J89), $B91 * K89, "")</f>
        <v>4100.9463722397477</v>
      </c>
      <c r="M89" s="31">
        <v>331</v>
      </c>
      <c r="N89" s="32">
        <f t="shared" si="45"/>
        <v>4.4164037854889593E-2</v>
      </c>
      <c r="O89" s="18">
        <f>IF(ISNUMBER(M89), $B91 * N89, "")</f>
        <v>4416.4037854889593</v>
      </c>
      <c r="Q89" s="240"/>
      <c r="R89" s="241"/>
      <c r="S89" s="242"/>
    </row>
    <row r="90" spans="1:19" ht="17.25" thickBot="1">
      <c r="A90" s="130" t="s">
        <v>168</v>
      </c>
      <c r="B90" s="131">
        <v>107</v>
      </c>
      <c r="C90" s="79">
        <v>9.4339622999999994E-3</v>
      </c>
      <c r="D90" s="24">
        <v>111</v>
      </c>
      <c r="E90" s="25">
        <f t="shared" si="42"/>
        <v>3.7383177570093455E-2</v>
      </c>
      <c r="F90" s="104">
        <f>IF(ISNUMBER(D90), $B91 * E90, "")</f>
        <v>3738.3177570093453</v>
      </c>
      <c r="G90" s="102">
        <v>110</v>
      </c>
      <c r="H90" s="25">
        <f t="shared" si="43"/>
        <v>2.8037383177570093E-2</v>
      </c>
      <c r="I90" s="103">
        <f>IF(ISNUMBER(G90), $B91 * H90, "")</f>
        <v>2803.7383177570091</v>
      </c>
      <c r="J90" s="24">
        <v>110</v>
      </c>
      <c r="K90" s="25">
        <f t="shared" si="44"/>
        <v>2.8037383177570093E-2</v>
      </c>
      <c r="L90" s="104">
        <f>IF(ISNUMBER(J90), $B91 * K90, "")</f>
        <v>2803.7383177570091</v>
      </c>
      <c r="M90" s="102">
        <v>109</v>
      </c>
      <c r="N90" s="25">
        <f t="shared" si="45"/>
        <v>1.8691588785046728E-2</v>
      </c>
      <c r="O90" s="104">
        <f>IF(ISNUMBER(M90), $B91 * N90, "")</f>
        <v>1869.1588785046727</v>
      </c>
      <c r="Q90" s="243"/>
      <c r="R90" s="244"/>
      <c r="S90" s="245"/>
    </row>
    <row r="91" spans="1:19" ht="17.25" thickBot="1">
      <c r="A91" s="132" t="s">
        <v>300</v>
      </c>
      <c r="B91" s="251">
        <f>$B$37</f>
        <v>100000</v>
      </c>
      <c r="C91" s="252"/>
      <c r="D91" s="26" t="s">
        <v>301</v>
      </c>
      <c r="E91" s="27">
        <f>IF(COUNT(E71:E90), SUM(E71:E90) / COUNT(E71:E90), 0)</f>
        <v>2.128144943176985E-2</v>
      </c>
      <c r="F91" s="28">
        <f>SUM(F71:F90)</f>
        <v>42562.898863539711</v>
      </c>
      <c r="G91" s="26" t="s">
        <v>301</v>
      </c>
      <c r="H91" s="27">
        <f>IF(COUNT(H71:H90), SUM(H71:H90) / COUNT(H71:H90), 0)</f>
        <v>2.3110644564533413E-2</v>
      </c>
      <c r="I91" s="28">
        <f>SUM(I71:I90)</f>
        <v>46221.289129066834</v>
      </c>
      <c r="J91" s="26" t="s">
        <v>301</v>
      </c>
      <c r="K91" s="27">
        <f>IF(COUNT(K71:K90), SUM(K71:K90) / COUNT(K71:K90), 0)</f>
        <v>2.4132427609751487E-2</v>
      </c>
      <c r="L91" s="28">
        <f>SUM(L71:L90)</f>
        <v>48264.855219502977</v>
      </c>
      <c r="M91" s="26" t="s">
        <v>301</v>
      </c>
      <c r="N91" s="27">
        <f>IF(COUNT(N71:N90), SUM(N71:N90) / COUNT(N71:N90), 0)</f>
        <v>2.297050103376317E-2</v>
      </c>
      <c r="O91" s="28">
        <f>SUM(O71:O90)</f>
        <v>45941.002067526351</v>
      </c>
      <c r="Q91" s="246"/>
      <c r="R91" s="247"/>
      <c r="S91" s="248"/>
    </row>
    <row r="93" spans="1:19" ht="17.25" thickBot="1"/>
    <row r="94" spans="1:19" ht="17.25" thickBot="1">
      <c r="A94" s="192" t="s">
        <v>46</v>
      </c>
      <c r="B94" s="193"/>
      <c r="C94" s="193"/>
      <c r="D94" s="193"/>
      <c r="E94" s="193"/>
      <c r="F94" s="193"/>
      <c r="G94" s="193"/>
      <c r="H94" s="193"/>
      <c r="I94" s="193"/>
      <c r="J94" s="193"/>
      <c r="K94" s="193"/>
      <c r="L94" s="193"/>
      <c r="M94" s="193"/>
      <c r="N94" s="193"/>
      <c r="O94" s="194"/>
      <c r="Q94" s="213"/>
      <c r="R94" s="213"/>
      <c r="S94" s="213"/>
    </row>
    <row r="95" spans="1:19" ht="17.25" thickBot="1">
      <c r="A95" s="184" t="s">
        <v>297</v>
      </c>
      <c r="B95" s="192" t="s">
        <v>49</v>
      </c>
      <c r="C95" s="194"/>
      <c r="D95" s="192" t="s">
        <v>58</v>
      </c>
      <c r="E95" s="193"/>
      <c r="F95" s="194"/>
      <c r="G95" s="219">
        <f>_xlfn.IFNA(VLOOKUP(B95, 현재가테이블!$B$2:$D$200, 2, FALSE), "-")</f>
        <v>38300000</v>
      </c>
      <c r="H95" s="220"/>
      <c r="I95" s="221"/>
      <c r="J95" s="192" t="s">
        <v>59</v>
      </c>
      <c r="K95" s="193"/>
      <c r="L95" s="194"/>
      <c r="M95" s="222">
        <f>_xlfn.IFNA(VLOOKUP(B95, 현재가테이블!$B$2:$D$200, 3, FALSE), "-")</f>
        <v>-1.9557649E-2</v>
      </c>
      <c r="N95" s="223"/>
      <c r="O95" s="224"/>
      <c r="Q95" s="213"/>
      <c r="R95" s="213"/>
      <c r="S95" s="213"/>
    </row>
    <row r="96" spans="1:19" ht="17.25" thickBot="1">
      <c r="A96" s="253" t="s">
        <v>55</v>
      </c>
      <c r="B96" s="255" t="str">
        <f>TEXT($G$1, "[$-ko-KR]yyyy-mm-dd(ddd) ") &amp; "오전 00:00"</f>
        <v>2021-06-07(월) 오전 00:00</v>
      </c>
      <c r="C96" s="256"/>
      <c r="D96" s="215" t="str">
        <f>TEXT($G$1, "[$-ko-KR]yyyy-mm-dd(ddd) ") &amp; "오후 14:00"</f>
        <v>2021-06-07(월) 오후 14:00</v>
      </c>
      <c r="E96" s="216"/>
      <c r="F96" s="217"/>
      <c r="G96" s="215" t="str">
        <f>TEXT($G$1, "[$-ko-KR]yyyy-mm-dd(ddd) ") &amp; "오후 19:00"</f>
        <v>2021-06-07(월) 오후 19:00</v>
      </c>
      <c r="H96" s="216"/>
      <c r="I96" s="217"/>
      <c r="J96" s="215" t="str">
        <f>TEXT($G$1, "[$-ko-KR]yyyy-mm-dd(ddd) ") &amp; "오후 21:00"</f>
        <v>2021-06-07(월) 오후 21:00</v>
      </c>
      <c r="K96" s="216"/>
      <c r="L96" s="217"/>
      <c r="M96" s="215" t="str">
        <f>TEXT($G$1+1, "[$-ko-KR]yyyy-mm-dd(ddd) ") &amp; "오전 00:00"</f>
        <v>2021-06-08(화) 오전 00:00</v>
      </c>
      <c r="N96" s="216"/>
      <c r="O96" s="217"/>
      <c r="Q96" s="213"/>
      <c r="R96" s="213"/>
      <c r="S96" s="213"/>
    </row>
    <row r="97" spans="1:19" ht="17.25" thickBot="1">
      <c r="A97" s="25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5" t="s">
        <v>58</v>
      </c>
      <c r="H97" s="186" t="s">
        <v>298</v>
      </c>
      <c r="I97" s="18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8"/>
      <c r="R97" s="218"/>
      <c r="S97" s="218"/>
    </row>
    <row r="98" spans="1:19" ht="17.25" thickBot="1">
      <c r="A98" s="161" t="s">
        <v>190</v>
      </c>
      <c r="B98" s="124">
        <v>68700</v>
      </c>
      <c r="C98" s="76">
        <v>0.46263572489999999</v>
      </c>
      <c r="D98" s="13">
        <v>72970</v>
      </c>
      <c r="E98" s="14">
        <f>IF(ISNUMBER(D98), (D98 - $B98) / $B98, "")</f>
        <v>6.2154294032023293E-2</v>
      </c>
      <c r="F98" s="16">
        <f>IF(ISNUMBER(D98), $B118 * E98, "")</f>
        <v>6215.429403202329</v>
      </c>
      <c r="G98" s="29">
        <v>67220</v>
      </c>
      <c r="H98" s="14">
        <f>IF(ISNUMBER(G98), (G98 - $B98) / $B98, "")</f>
        <v>-2.1542940320232896E-2</v>
      </c>
      <c r="I98" s="100">
        <f>IF(ISNUMBER(G98), $B118 * H98, "")</f>
        <v>-2154.2940320232897</v>
      </c>
      <c r="J98" s="13">
        <v>67220</v>
      </c>
      <c r="K98" s="14">
        <f>IF(ISNUMBER(J98), (J98 - $B98) / $B98, "")</f>
        <v>-2.1542940320232896E-2</v>
      </c>
      <c r="L98" s="16">
        <f>IF(ISNUMBER(J98), $B118 * K98, "")</f>
        <v>-2154.2940320232897</v>
      </c>
      <c r="M98" s="29">
        <v>65050</v>
      </c>
      <c r="N98" s="14">
        <f>IF(ISNUMBER(M98), (M98 - $B98) / $B98, "")</f>
        <v>-5.3129548762736532E-2</v>
      </c>
      <c r="O98" s="16">
        <f>IF(ISNUMBER(M98), $B118 * N98, "")</f>
        <v>-5312.9548762736531</v>
      </c>
      <c r="Q98" s="213"/>
      <c r="R98" s="213"/>
      <c r="S98" s="213"/>
    </row>
    <row r="99" spans="1:19" ht="17.25" thickBot="1">
      <c r="A99" s="162" t="s">
        <v>164</v>
      </c>
      <c r="B99" s="126">
        <v>18940</v>
      </c>
      <c r="C99" s="77">
        <v>0.13617276540000001</v>
      </c>
      <c r="D99" s="15">
        <v>18250</v>
      </c>
      <c r="E99" s="32">
        <f t="shared" ref="E99:E102" si="46">IF(ISNUMBER(D99), (D99 - $B99) / $B99, "")</f>
        <v>-3.6430834213305174E-2</v>
      </c>
      <c r="F99" s="18">
        <f>IF(ISNUMBER(D99), $B118 * E99, "")</f>
        <v>-3643.0834213305175</v>
      </c>
      <c r="G99" s="31">
        <v>18040</v>
      </c>
      <c r="H99" s="32">
        <f t="shared" ref="H99:H102" si="47">IF(ISNUMBER(G99), (G99 - $B99) / $B99, "")</f>
        <v>-4.7518479408658922E-2</v>
      </c>
      <c r="I99" s="101">
        <f>IF(ISNUMBER(G99), $B118 * H99, "")</f>
        <v>-4751.8479408658923</v>
      </c>
      <c r="J99" s="15">
        <v>18090</v>
      </c>
      <c r="K99" s="32">
        <f t="shared" ref="K99:K102" si="48">IF(ISNUMBER(J99), (J99 - $B99) / $B99, "")</f>
        <v>-4.4878563885955652E-2</v>
      </c>
      <c r="L99" s="18">
        <f>IF(ISNUMBER(J99), $B118 * K99, "")</f>
        <v>-4487.8563885955655</v>
      </c>
      <c r="M99" s="31">
        <v>17850</v>
      </c>
      <c r="N99" s="32">
        <f t="shared" ref="N99:N102" si="49">IF(ISNUMBER(M99), (M99 - $B99) / $B99, "")</f>
        <v>-5.7550158394931362E-2</v>
      </c>
      <c r="O99" s="18">
        <f>IF(ISNUMBER(M99), $B118 * N99, "")</f>
        <v>-5755.0158394931359</v>
      </c>
      <c r="Q99" s="213"/>
      <c r="R99" s="213"/>
      <c r="S99" s="213"/>
    </row>
    <row r="100" spans="1:19" ht="17.25" thickBot="1">
      <c r="A100" s="162" t="s">
        <v>276</v>
      </c>
      <c r="B100" s="126">
        <v>3200</v>
      </c>
      <c r="C100" s="77">
        <v>0.13274336279999999</v>
      </c>
      <c r="D100" s="15">
        <v>3740</v>
      </c>
      <c r="E100" s="32">
        <f t="shared" si="46"/>
        <v>0.16875000000000001</v>
      </c>
      <c r="F100" s="18">
        <f>IF(ISNUMBER(D100), $B118 * E100, "")</f>
        <v>16875</v>
      </c>
      <c r="G100" s="31">
        <v>3720</v>
      </c>
      <c r="H100" s="32">
        <f t="shared" si="47"/>
        <v>0.16250000000000001</v>
      </c>
      <c r="I100" s="101">
        <f>IF(ISNUMBER(G100), $B118 * H100, "")</f>
        <v>16250</v>
      </c>
      <c r="J100" s="15">
        <v>3750</v>
      </c>
      <c r="K100" s="32">
        <f t="shared" si="48"/>
        <v>0.171875</v>
      </c>
      <c r="L100" s="18">
        <f>IF(ISNUMBER(J100), $B118 * K100, "")</f>
        <v>17187.5</v>
      </c>
      <c r="M100" s="31">
        <v>3610</v>
      </c>
      <c r="N100" s="32">
        <f t="shared" si="49"/>
        <v>0.12812499999999999</v>
      </c>
      <c r="O100" s="18">
        <f>IF(ISNUMBER(M100), $B118 * N100, "")</f>
        <v>12812.499999999998</v>
      </c>
      <c r="Q100" s="218"/>
      <c r="R100" s="218"/>
      <c r="S100" s="218"/>
    </row>
    <row r="101" spans="1:19" ht="17.25" thickBot="1">
      <c r="A101" s="162" t="s">
        <v>180</v>
      </c>
      <c r="B101" s="126">
        <v>2875</v>
      </c>
      <c r="C101" s="77">
        <v>9.9426386199999994E-2</v>
      </c>
      <c r="D101" s="15">
        <v>3475</v>
      </c>
      <c r="E101" s="32">
        <f t="shared" si="46"/>
        <v>0.20869565217391303</v>
      </c>
      <c r="F101" s="18">
        <f>IF(ISNUMBER(D101), $B118 * E101, "")</f>
        <v>20869.565217391304</v>
      </c>
      <c r="G101" s="31">
        <v>3835</v>
      </c>
      <c r="H101" s="32">
        <f t="shared" si="47"/>
        <v>0.3339130434782609</v>
      </c>
      <c r="I101" s="101">
        <f>IF(ISNUMBER(G101), $B118 * H101, "")</f>
        <v>33391.304347826088</v>
      </c>
      <c r="J101" s="15">
        <v>3770</v>
      </c>
      <c r="K101" s="32">
        <f t="shared" si="48"/>
        <v>0.31130434782608696</v>
      </c>
      <c r="L101" s="18">
        <f>IF(ISNUMBER(J101), $B118 * K101, "")</f>
        <v>31130.434782608696</v>
      </c>
      <c r="M101" s="31">
        <v>3675</v>
      </c>
      <c r="N101" s="32">
        <f t="shared" si="49"/>
        <v>0.27826086956521739</v>
      </c>
      <c r="O101" s="18">
        <f>IF(ISNUMBER(M101), $B118 * N101, "")</f>
        <v>27826.08695652174</v>
      </c>
      <c r="Q101" s="218"/>
      <c r="R101" s="218"/>
      <c r="S101" s="218"/>
    </row>
    <row r="102" spans="1:19" ht="17.25" thickBot="1">
      <c r="A102" s="163" t="s">
        <v>72</v>
      </c>
      <c r="B102" s="128">
        <v>22.5</v>
      </c>
      <c r="C102" s="78">
        <v>8.6956521699999997E-2</v>
      </c>
      <c r="D102" s="20">
        <v>22.7</v>
      </c>
      <c r="E102" s="21">
        <f t="shared" si="46"/>
        <v>8.8888888888888577E-3</v>
      </c>
      <c r="F102" s="22">
        <f>IF(ISNUMBER(D102), $B118 * E102, "")</f>
        <v>888.88888888888573</v>
      </c>
      <c r="G102" s="30">
        <v>23.3</v>
      </c>
      <c r="H102" s="21">
        <f t="shared" si="47"/>
        <v>3.555555555555559E-2</v>
      </c>
      <c r="I102" s="105">
        <f>IF(ISNUMBER(G102), $B118 * H102, "")</f>
        <v>3555.5555555555588</v>
      </c>
      <c r="J102" s="20">
        <v>23.6</v>
      </c>
      <c r="K102" s="21">
        <f t="shared" si="48"/>
        <v>4.8888888888888954E-2</v>
      </c>
      <c r="L102" s="22">
        <f>IF(ISNUMBER(J102), $B118 * K102, "")</f>
        <v>4888.8888888888951</v>
      </c>
      <c r="M102" s="30">
        <v>22.9</v>
      </c>
      <c r="N102" s="21">
        <f t="shared" si="49"/>
        <v>1.7777777777777715E-2</v>
      </c>
      <c r="O102" s="22">
        <f>IF(ISNUMBER(M102), $B118 * N102, "")</f>
        <v>1777.7777777777715</v>
      </c>
      <c r="Q102" s="218"/>
      <c r="R102" s="218"/>
      <c r="S102" s="218"/>
    </row>
    <row r="103" spans="1:19" ht="17.25" thickBot="1">
      <c r="A103" s="162" t="s">
        <v>192</v>
      </c>
      <c r="B103" s="129">
        <v>1195</v>
      </c>
      <c r="C103" s="80">
        <v>6.2222222200000003E-2</v>
      </c>
      <c r="D103" s="106">
        <v>1205</v>
      </c>
      <c r="E103" s="107">
        <f>IF(ISNUMBER(D103), (D103 - $B103) / $B103, "")</f>
        <v>8.368200836820083E-3</v>
      </c>
      <c r="F103" s="108">
        <f>IF(ISNUMBER(D103), $B118 * E103, "")</f>
        <v>836.82008368200832</v>
      </c>
      <c r="G103" s="109">
        <v>1200</v>
      </c>
      <c r="H103" s="107">
        <f>IF(ISNUMBER(G103), (G103 - $B103) / $B103, "")</f>
        <v>4.1841004184100415E-3</v>
      </c>
      <c r="I103" s="110">
        <f>IF(ISNUMBER(G103), $B118 * H103, "")</f>
        <v>418.41004184100416</v>
      </c>
      <c r="J103" s="106">
        <v>1205</v>
      </c>
      <c r="K103" s="107">
        <f>IF(ISNUMBER(J103), (J103 - $B103) / $B103, "")</f>
        <v>8.368200836820083E-3</v>
      </c>
      <c r="L103" s="108">
        <f>IF(ISNUMBER(J103), $B118 * K103, "")</f>
        <v>836.82008368200832</v>
      </c>
      <c r="M103" s="109">
        <v>1190</v>
      </c>
      <c r="N103" s="107">
        <f>IF(ISNUMBER(M103), (M103 - $B103) / $B103, "")</f>
        <v>-4.1841004184100415E-3</v>
      </c>
      <c r="O103" s="108">
        <f>IF(ISNUMBER(M103), $B118 * N103, "")</f>
        <v>-418.41004184100416</v>
      </c>
      <c r="Q103" s="218"/>
      <c r="R103" s="218"/>
      <c r="S103" s="218"/>
    </row>
    <row r="104" spans="1:19" ht="17.25" thickBot="1">
      <c r="A104" s="162" t="s">
        <v>200</v>
      </c>
      <c r="B104" s="126">
        <v>224</v>
      </c>
      <c r="C104" s="77">
        <v>6.1611374400000002E-2</v>
      </c>
      <c r="D104" s="15">
        <v>229</v>
      </c>
      <c r="E104" s="32">
        <f t="shared" ref="E104:E107" si="50">IF(ISNUMBER(D104), (D104 - $B104) / $B104, "")</f>
        <v>2.2321428571428572E-2</v>
      </c>
      <c r="F104" s="18">
        <f>IF(ISNUMBER(D104), $B118 * E104, "")</f>
        <v>2232.1428571428573</v>
      </c>
      <c r="G104" s="31">
        <v>227</v>
      </c>
      <c r="H104" s="32">
        <f t="shared" ref="H104:H107" si="51">IF(ISNUMBER(G104), (G104 - $B104) / $B104, "")</f>
        <v>1.3392857142857142E-2</v>
      </c>
      <c r="I104" s="101">
        <f>IF(ISNUMBER(G104), $B118 * H104, "")</f>
        <v>1339.2857142857142</v>
      </c>
      <c r="J104" s="15">
        <v>228</v>
      </c>
      <c r="K104" s="32">
        <f t="shared" ref="K104:K107" si="52">IF(ISNUMBER(J104), (J104 - $B104) / $B104, "")</f>
        <v>1.7857142857142856E-2</v>
      </c>
      <c r="L104" s="18">
        <f>IF(ISNUMBER(J104), $B118 * K104, "")</f>
        <v>1785.7142857142856</v>
      </c>
      <c r="M104" s="31">
        <v>225</v>
      </c>
      <c r="N104" s="32">
        <f t="shared" ref="N104:N107" si="53">IF(ISNUMBER(M104), (M104 - $B104) / $B104, "")</f>
        <v>4.464285714285714E-3</v>
      </c>
      <c r="O104" s="18">
        <f>IF(ISNUMBER(M104), $B118 * N104, "")</f>
        <v>446.42857142857139</v>
      </c>
      <c r="Q104" s="218"/>
      <c r="R104" s="218"/>
      <c r="S104" s="218"/>
    </row>
    <row r="105" spans="1:19" ht="17.25" thickBot="1">
      <c r="A105" s="162" t="s">
        <v>166</v>
      </c>
      <c r="B105" s="126">
        <v>1320</v>
      </c>
      <c r="C105" s="77">
        <v>4.7619047599999999E-2</v>
      </c>
      <c r="D105" s="15">
        <v>1320</v>
      </c>
      <c r="E105" s="32">
        <f t="shared" si="50"/>
        <v>0</v>
      </c>
      <c r="F105" s="18">
        <f>IF(ISNUMBER(D105), $B118 * E105, "")</f>
        <v>0</v>
      </c>
      <c r="G105" s="31">
        <v>1315</v>
      </c>
      <c r="H105" s="32">
        <f t="shared" si="51"/>
        <v>-3.787878787878788E-3</v>
      </c>
      <c r="I105" s="101">
        <f>IF(ISNUMBER(G105), $B118 * H105, "")</f>
        <v>-378.78787878787881</v>
      </c>
      <c r="J105" s="15">
        <v>1315</v>
      </c>
      <c r="K105" s="32">
        <f t="shared" si="52"/>
        <v>-3.787878787878788E-3</v>
      </c>
      <c r="L105" s="18">
        <f>IF(ISNUMBER(J105), $B118 * K105, "")</f>
        <v>-378.78787878787881</v>
      </c>
      <c r="M105" s="31">
        <v>1315</v>
      </c>
      <c r="N105" s="32">
        <f t="shared" si="53"/>
        <v>-3.787878787878788E-3</v>
      </c>
      <c r="O105" s="18">
        <f>IF(ISNUMBER(M105), $B118 * N105, "")</f>
        <v>-378.78787878787881</v>
      </c>
      <c r="Q105" s="218"/>
      <c r="R105" s="218"/>
      <c r="S105" s="218"/>
    </row>
    <row r="106" spans="1:19" ht="17.25" thickBot="1">
      <c r="A106" s="162" t="s">
        <v>228</v>
      </c>
      <c r="B106" s="126">
        <v>11</v>
      </c>
      <c r="C106" s="77">
        <v>4.7619047599999999E-2</v>
      </c>
      <c r="D106" s="15">
        <v>11.2</v>
      </c>
      <c r="E106" s="32">
        <f t="shared" si="50"/>
        <v>1.8181818181818118E-2</v>
      </c>
      <c r="F106" s="18">
        <f>IF(ISNUMBER(D106), $B118 * E106, "")</f>
        <v>1818.1818181818119</v>
      </c>
      <c r="G106" s="31">
        <v>11.1</v>
      </c>
      <c r="H106" s="32">
        <f t="shared" si="51"/>
        <v>9.0909090909090592E-3</v>
      </c>
      <c r="I106" s="101">
        <f>IF(ISNUMBER(G106), $B118 * H106, "")</f>
        <v>909.09090909090594</v>
      </c>
      <c r="J106" s="15">
        <v>11.3</v>
      </c>
      <c r="K106" s="32">
        <f t="shared" si="52"/>
        <v>2.7272727272727337E-2</v>
      </c>
      <c r="L106" s="18">
        <f>IF(ISNUMBER(J106), $B118 * K106, "")</f>
        <v>2727.2727272727338</v>
      </c>
      <c r="M106" s="31">
        <v>11.4</v>
      </c>
      <c r="N106" s="32">
        <f t="shared" si="53"/>
        <v>3.6363636363636397E-2</v>
      </c>
      <c r="O106" s="18">
        <f>IF(ISNUMBER(M106), $B118 * N106, "")</f>
        <v>3636.3636363636397</v>
      </c>
      <c r="Q106" s="33"/>
      <c r="R106" s="33"/>
    </row>
    <row r="107" spans="1:19" ht="17.25" thickBot="1">
      <c r="A107" s="130" t="s">
        <v>136</v>
      </c>
      <c r="B107" s="131">
        <v>148</v>
      </c>
      <c r="C107" s="79">
        <v>4.2253521099999997E-2</v>
      </c>
      <c r="D107" s="24">
        <v>146</v>
      </c>
      <c r="E107" s="25">
        <f t="shared" si="50"/>
        <v>-1.3513513513513514E-2</v>
      </c>
      <c r="F107" s="104">
        <f>IF(ISNUMBER(D107), $B118 * E107, "")</f>
        <v>-1351.3513513513515</v>
      </c>
      <c r="G107" s="102">
        <v>146</v>
      </c>
      <c r="H107" s="25">
        <f t="shared" si="51"/>
        <v>-1.3513513513513514E-2</v>
      </c>
      <c r="I107" s="103">
        <f>IF(ISNUMBER(G107), $B118 * H107, "")</f>
        <v>-1351.3513513513515</v>
      </c>
      <c r="J107" s="24">
        <v>145</v>
      </c>
      <c r="K107" s="25">
        <f t="shared" si="52"/>
        <v>-2.0270270270270271E-2</v>
      </c>
      <c r="L107" s="104">
        <f>IF(ISNUMBER(J107), $B118 * K107, "")</f>
        <v>-2027.0270270270271</v>
      </c>
      <c r="M107" s="102">
        <v>146</v>
      </c>
      <c r="N107" s="25">
        <f t="shared" si="53"/>
        <v>-1.3513513513513514E-2</v>
      </c>
      <c r="O107" s="104">
        <f>IF(ISNUMBER(M107), $B118 * N107, "")</f>
        <v>-1351.3513513513515</v>
      </c>
      <c r="Q107" s="227"/>
      <c r="R107" s="228"/>
      <c r="S107" s="229"/>
    </row>
    <row r="108" spans="1:19">
      <c r="A108" s="161" t="s">
        <v>126</v>
      </c>
      <c r="B108" s="124">
        <v>29.6</v>
      </c>
      <c r="C108" s="76">
        <v>4.2253521099999997E-2</v>
      </c>
      <c r="D108" s="13">
        <v>30.6</v>
      </c>
      <c r="E108" s="14">
        <f>IF(ISNUMBER(D108), (D108 - $B108) / $B108, "")</f>
        <v>3.3783783783783779E-2</v>
      </c>
      <c r="F108" s="16">
        <f>IF(ISNUMBER(D108), $B118 * E108, "")</f>
        <v>3378.3783783783779</v>
      </c>
      <c r="G108" s="29">
        <v>31</v>
      </c>
      <c r="H108" s="14">
        <f>IF(ISNUMBER(G108), (G108 - $B108) / $B108, "")</f>
        <v>4.7297297297297244E-2</v>
      </c>
      <c r="I108" s="100">
        <f>IF(ISNUMBER(G108), $B118 * H108, "")</f>
        <v>4729.7297297297246</v>
      </c>
      <c r="J108" s="13">
        <v>31</v>
      </c>
      <c r="K108" s="14">
        <f>IF(ISNUMBER(J108), (J108 - $B108) / $B108, "")</f>
        <v>4.7297297297297244E-2</v>
      </c>
      <c r="L108" s="16">
        <f>IF(ISNUMBER(J108), $B118 * K108, "")</f>
        <v>4729.7297297297246</v>
      </c>
      <c r="M108" s="29">
        <v>30.4</v>
      </c>
      <c r="N108" s="14">
        <f>IF(ISNUMBER(M108), (M108 - $B108) / $B108, "")</f>
        <v>2.7027027027026931E-2</v>
      </c>
      <c r="O108" s="16">
        <f>IF(ISNUMBER(M108), $B118 * N108, "")</f>
        <v>2702.7027027026929</v>
      </c>
      <c r="Q108" s="230"/>
      <c r="R108" s="231"/>
      <c r="S108" s="232"/>
    </row>
    <row r="109" spans="1:19" ht="17.25" thickBot="1">
      <c r="A109" s="162" t="s">
        <v>150</v>
      </c>
      <c r="B109" s="126">
        <v>2475</v>
      </c>
      <c r="C109" s="77">
        <v>4.21052632E-2</v>
      </c>
      <c r="D109" s="15">
        <v>2520</v>
      </c>
      <c r="E109" s="32">
        <f t="shared" ref="E109:E112" si="54">IF(ISNUMBER(D109), (D109 - $B109) / $B109, "")</f>
        <v>1.8181818181818181E-2</v>
      </c>
      <c r="F109" s="18">
        <f>IF(ISNUMBER(D109), $B118 * E109, "")</f>
        <v>1818.181818181818</v>
      </c>
      <c r="G109" s="31">
        <v>2495</v>
      </c>
      <c r="H109" s="32">
        <f t="shared" ref="H109:H112" si="55">IF(ISNUMBER(G109), (G109 - $B109) / $B109, "")</f>
        <v>8.0808080808080808E-3</v>
      </c>
      <c r="I109" s="101">
        <f>IF(ISNUMBER(G109), $B118 * H109, "")</f>
        <v>808.08080808080808</v>
      </c>
      <c r="J109" s="15">
        <v>2550</v>
      </c>
      <c r="K109" s="32">
        <f t="shared" ref="K109:K112" si="56">IF(ISNUMBER(J109), (J109 - $B109) / $B109, "")</f>
        <v>3.0303030303030304E-2</v>
      </c>
      <c r="L109" s="18">
        <f>IF(ISNUMBER(J109), $B118 * K109, "")</f>
        <v>3030.3030303030305</v>
      </c>
      <c r="M109" s="31">
        <v>2520</v>
      </c>
      <c r="N109" s="32">
        <f t="shared" ref="N109:N112" si="57">IF(ISNUMBER(M109), (M109 - $B109) / $B109, "")</f>
        <v>1.8181818181818181E-2</v>
      </c>
      <c r="O109" s="18">
        <f>IF(ISNUMBER(M109), $B118 * N109, "")</f>
        <v>1818.181818181818</v>
      </c>
      <c r="Q109" s="233"/>
      <c r="R109" s="234"/>
      <c r="S109" s="235"/>
    </row>
    <row r="110" spans="1:19" ht="17.25" thickBot="1">
      <c r="A110" s="162" t="s">
        <v>202</v>
      </c>
      <c r="B110" s="126">
        <v>129</v>
      </c>
      <c r="C110" s="77">
        <v>4.0322580599999998E-2</v>
      </c>
      <c r="D110" s="15">
        <v>131</v>
      </c>
      <c r="E110" s="32">
        <f t="shared" si="54"/>
        <v>1.5503875968992248E-2</v>
      </c>
      <c r="F110" s="18">
        <f>IF(ISNUMBER(D110), $B118 * E110, "")</f>
        <v>1550.3875968992247</v>
      </c>
      <c r="G110" s="31">
        <v>130</v>
      </c>
      <c r="H110" s="32">
        <f t="shared" si="55"/>
        <v>7.7519379844961239E-3</v>
      </c>
      <c r="I110" s="101">
        <f>IF(ISNUMBER(G110), $B118 * H110, "")</f>
        <v>775.19379844961236</v>
      </c>
      <c r="J110" s="15">
        <v>130</v>
      </c>
      <c r="K110" s="32">
        <f t="shared" si="56"/>
        <v>7.7519379844961239E-3</v>
      </c>
      <c r="L110" s="18">
        <f>IF(ISNUMBER(J110), $B118 * K110, "")</f>
        <v>775.19379844961236</v>
      </c>
      <c r="M110" s="31">
        <v>129</v>
      </c>
      <c r="N110" s="32">
        <f t="shared" si="57"/>
        <v>0</v>
      </c>
      <c r="O110" s="18">
        <f>IF(ISNUMBER(M110), $B118 * N110, "")</f>
        <v>0</v>
      </c>
      <c r="Q110" s="218"/>
      <c r="R110" s="218"/>
      <c r="S110" s="218"/>
    </row>
    <row r="111" spans="1:19" ht="17.25" thickBot="1">
      <c r="A111" s="162" t="s">
        <v>194</v>
      </c>
      <c r="B111" s="126">
        <v>8700</v>
      </c>
      <c r="C111" s="77">
        <v>3.8805970100000003E-2</v>
      </c>
      <c r="D111" s="15">
        <v>9645</v>
      </c>
      <c r="E111" s="32">
        <f t="shared" si="54"/>
        <v>0.10862068965517241</v>
      </c>
      <c r="F111" s="18">
        <f>IF(ISNUMBER(D111), $B118 * E111, "")</f>
        <v>10862.068965517241</v>
      </c>
      <c r="G111" s="31">
        <v>9290</v>
      </c>
      <c r="H111" s="32">
        <f t="shared" si="55"/>
        <v>6.7816091954022995E-2</v>
      </c>
      <c r="I111" s="101">
        <f>IF(ISNUMBER(G111), $B118 * H111, "")</f>
        <v>6781.6091954022995</v>
      </c>
      <c r="J111" s="15">
        <v>10120</v>
      </c>
      <c r="K111" s="32">
        <f t="shared" si="56"/>
        <v>0.16321839080459771</v>
      </c>
      <c r="L111" s="18">
        <f>IF(ISNUMBER(J111), $B118 * K111, "")</f>
        <v>16321.839080459771</v>
      </c>
      <c r="M111" s="31">
        <v>9415</v>
      </c>
      <c r="N111" s="32">
        <f t="shared" si="57"/>
        <v>8.2183908045977014E-2</v>
      </c>
      <c r="O111" s="18">
        <f>IF(ISNUMBER(M111), $B118 * N111, "")</f>
        <v>8218.3908045977005</v>
      </c>
      <c r="Q111" s="213"/>
      <c r="R111" s="213"/>
      <c r="S111" s="213"/>
    </row>
    <row r="112" spans="1:19" ht="17.25" thickBot="1">
      <c r="A112" s="163" t="s">
        <v>220</v>
      </c>
      <c r="B112" s="128">
        <v>11.2</v>
      </c>
      <c r="C112" s="78">
        <v>3.7037037000000002E-2</v>
      </c>
      <c r="D112" s="20">
        <v>11.8</v>
      </c>
      <c r="E112" s="21">
        <f t="shared" si="54"/>
        <v>5.35714285714287E-2</v>
      </c>
      <c r="F112" s="22">
        <f>IF(ISNUMBER(D112), $B118 * E112, "")</f>
        <v>5357.1428571428696</v>
      </c>
      <c r="G112" s="30">
        <v>12.5</v>
      </c>
      <c r="H112" s="21">
        <f t="shared" si="55"/>
        <v>0.11607142857142864</v>
      </c>
      <c r="I112" s="105">
        <f>IF(ISNUMBER(G112), $B118 * H112, "")</f>
        <v>11607.142857142864</v>
      </c>
      <c r="J112" s="20">
        <v>12.7</v>
      </c>
      <c r="K112" s="21">
        <f t="shared" si="56"/>
        <v>0.13392857142857142</v>
      </c>
      <c r="L112" s="22">
        <f>IF(ISNUMBER(J112), $B118 * K112, "")</f>
        <v>13392.857142857143</v>
      </c>
      <c r="M112" s="30">
        <v>13</v>
      </c>
      <c r="N112" s="21">
        <f t="shared" si="57"/>
        <v>0.16071428571428578</v>
      </c>
      <c r="O112" s="22">
        <f>IF(ISNUMBER(M112), $B118 * N112, "")</f>
        <v>16071.428571428578</v>
      </c>
      <c r="Q112" s="213"/>
      <c r="R112" s="213"/>
      <c r="S112" s="213"/>
    </row>
    <row r="113" spans="1:19" ht="17.25" thickBot="1">
      <c r="A113" s="162" t="s">
        <v>280</v>
      </c>
      <c r="B113" s="129">
        <v>1060</v>
      </c>
      <c r="C113" s="80">
        <v>3.4146341500000003E-2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1125</v>
      </c>
      <c r="H113" s="107">
        <f>IF(ISNUMBER(G113), (G113 - $B113) / $B113, "")</f>
        <v>6.1320754716981132E-2</v>
      </c>
      <c r="I113" s="110">
        <f>IF(ISNUMBER(G113), $B118 * H113, "")</f>
        <v>6132.0754716981137</v>
      </c>
      <c r="J113" s="106">
        <v>1105</v>
      </c>
      <c r="K113" s="107">
        <f>IF(ISNUMBER(J113), (J113 - $B113) / $B113, "")</f>
        <v>4.2452830188679243E-2</v>
      </c>
      <c r="L113" s="108">
        <f>IF(ISNUMBER(J113), $B118 * K113, "")</f>
        <v>4245.2830188679245</v>
      </c>
      <c r="M113" s="109">
        <v>1115</v>
      </c>
      <c r="N113" s="107">
        <f>IF(ISNUMBER(M113), (M113 - $B113) / $B113, "")</f>
        <v>5.1886792452830191E-2</v>
      </c>
      <c r="O113" s="108">
        <f>IF(ISNUMBER(M113), $B118 * N113, "")</f>
        <v>5188.6792452830196</v>
      </c>
      <c r="Q113" s="218"/>
      <c r="R113" s="218"/>
      <c r="S113" s="218"/>
    </row>
    <row r="114" spans="1:19" ht="17.25" thickBot="1">
      <c r="A114" s="162" t="s">
        <v>240</v>
      </c>
      <c r="B114" s="126">
        <v>131</v>
      </c>
      <c r="C114" s="77">
        <v>3.1496062999999998E-2</v>
      </c>
      <c r="D114" s="15">
        <v>131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133</v>
      </c>
      <c r="H114" s="32">
        <f t="shared" ref="H114:H117" si="59">IF(ISNUMBER(G114), (G114 - $B114) / $B114, "")</f>
        <v>1.5267175572519083E-2</v>
      </c>
      <c r="I114" s="101">
        <f>IF(ISNUMBER(G114), $B118 * H114, "")</f>
        <v>1526.7175572519084</v>
      </c>
      <c r="J114" s="15">
        <v>134</v>
      </c>
      <c r="K114" s="32">
        <f t="shared" ref="K114:K117" si="60">IF(ISNUMBER(J114), (J114 - $B114) / $B114, "")</f>
        <v>2.2900763358778626E-2</v>
      </c>
      <c r="L114" s="18">
        <f>IF(ISNUMBER(J114), $B118 * K114, "")</f>
        <v>2290.0763358778627</v>
      </c>
      <c r="M114" s="31">
        <v>133</v>
      </c>
      <c r="N114" s="32">
        <f t="shared" ref="N114:N117" si="61">IF(ISNUMBER(M114), (M114 - $B114) / $B114, "")</f>
        <v>1.5267175572519083E-2</v>
      </c>
      <c r="O114" s="18">
        <f>IF(ISNUMBER(M114), $B118 * N114, "")</f>
        <v>1526.7175572519084</v>
      </c>
      <c r="Q114" s="218"/>
      <c r="R114" s="218"/>
      <c r="S114" s="218"/>
    </row>
    <row r="115" spans="1:19" ht="17.25" thickBot="1">
      <c r="A115" s="162" t="s">
        <v>266</v>
      </c>
      <c r="B115" s="126">
        <v>59.7</v>
      </c>
      <c r="C115" s="77">
        <v>3.1088082900000001E-2</v>
      </c>
      <c r="D115" s="15">
        <v>59.5</v>
      </c>
      <c r="E115" s="32">
        <f t="shared" si="58"/>
        <v>-3.3500837520938497E-3</v>
      </c>
      <c r="F115" s="18">
        <f>IF(ISNUMBER(D115), $B118 * E115, "")</f>
        <v>-335.00837520938495</v>
      </c>
      <c r="G115" s="31">
        <v>59.7</v>
      </c>
      <c r="H115" s="32">
        <f t="shared" si="59"/>
        <v>0</v>
      </c>
      <c r="I115" s="101">
        <f>IF(ISNUMBER(G115), $B118 * H115, "")</f>
        <v>0</v>
      </c>
      <c r="J115" s="15">
        <v>60.7</v>
      </c>
      <c r="K115" s="32">
        <f t="shared" si="60"/>
        <v>1.675041876046901E-2</v>
      </c>
      <c r="L115" s="18">
        <f>IF(ISNUMBER(J115), $B118 * K115, "")</f>
        <v>1675.0418760469011</v>
      </c>
      <c r="M115" s="31">
        <v>59.9</v>
      </c>
      <c r="N115" s="32">
        <f t="shared" si="61"/>
        <v>3.3500837520937308E-3</v>
      </c>
      <c r="O115" s="18">
        <f>IF(ISNUMBER(M115), $B118 * N115, "")</f>
        <v>335.00837520937307</v>
      </c>
      <c r="Q115" s="218"/>
      <c r="R115" s="218"/>
      <c r="S115" s="218"/>
    </row>
    <row r="116" spans="1:19">
      <c r="A116" s="162" t="s">
        <v>94</v>
      </c>
      <c r="B116" s="126">
        <v>67230</v>
      </c>
      <c r="C116" s="77">
        <v>2.9398254499999998E-2</v>
      </c>
      <c r="D116" s="15">
        <v>66200</v>
      </c>
      <c r="E116" s="32">
        <f t="shared" si="58"/>
        <v>-1.5320541424959096E-2</v>
      </c>
      <c r="F116" s="18">
        <f>IF(ISNUMBER(D116), $B118 * E116, "")</f>
        <v>-1532.0541424959097</v>
      </c>
      <c r="G116" s="31">
        <v>65710</v>
      </c>
      <c r="H116" s="32">
        <f t="shared" si="59"/>
        <v>-2.2608954335861967E-2</v>
      </c>
      <c r="I116" s="101">
        <f>IF(ISNUMBER(G116), $B118 * H116, "")</f>
        <v>-2260.8954335861968</v>
      </c>
      <c r="J116" s="15">
        <v>65470</v>
      </c>
      <c r="K116" s="32">
        <f t="shared" si="60"/>
        <v>-2.6178789230998065E-2</v>
      </c>
      <c r="L116" s="18">
        <f>IF(ISNUMBER(J116), $B118 * K116, "")</f>
        <v>-2617.8789230998063</v>
      </c>
      <c r="M116" s="31">
        <v>65670</v>
      </c>
      <c r="N116" s="32">
        <f t="shared" si="61"/>
        <v>-2.3203926818384651E-2</v>
      </c>
      <c r="O116" s="18">
        <f>IF(ISNUMBER(M116), $B118 * N116, "")</f>
        <v>-2320.3926818384653</v>
      </c>
      <c r="Q116" s="240"/>
      <c r="R116" s="241"/>
      <c r="S116" s="242"/>
    </row>
    <row r="117" spans="1:19" ht="17.25" thickBot="1">
      <c r="A117" s="130" t="s">
        <v>272</v>
      </c>
      <c r="B117" s="131">
        <v>1405</v>
      </c>
      <c r="C117" s="79">
        <v>2.9304029299999999E-2</v>
      </c>
      <c r="D117" s="24">
        <v>1550</v>
      </c>
      <c r="E117" s="25">
        <f t="shared" si="58"/>
        <v>0.10320284697508897</v>
      </c>
      <c r="F117" s="104">
        <f>IF(ISNUMBER(D117), $B118 * E117, "")</f>
        <v>10320.284697508896</v>
      </c>
      <c r="G117" s="102">
        <v>1560</v>
      </c>
      <c r="H117" s="25">
        <f t="shared" si="59"/>
        <v>0.1103202846975089</v>
      </c>
      <c r="I117" s="103">
        <f>IF(ISNUMBER(G117), $B118 * H117, "")</f>
        <v>11032.028469750891</v>
      </c>
      <c r="J117" s="24">
        <v>1580</v>
      </c>
      <c r="K117" s="25">
        <f t="shared" si="60"/>
        <v>0.12455516014234876</v>
      </c>
      <c r="L117" s="104">
        <f>IF(ISNUMBER(J117), $B118 * K117, "")</f>
        <v>12455.516014234876</v>
      </c>
      <c r="M117" s="102">
        <v>1515</v>
      </c>
      <c r="N117" s="25">
        <f t="shared" si="61"/>
        <v>7.8291814946619215E-2</v>
      </c>
      <c r="O117" s="104">
        <f>IF(ISNUMBER(M117), $B118 * N117, "")</f>
        <v>7829.1814946619215</v>
      </c>
      <c r="Q117" s="243"/>
      <c r="R117" s="244"/>
      <c r="S117" s="245"/>
    </row>
    <row r="118" spans="1:19" ht="17.25" thickBot="1">
      <c r="A118" s="132" t="s">
        <v>300</v>
      </c>
      <c r="B118" s="251">
        <f>$B$37</f>
        <v>100000</v>
      </c>
      <c r="C118" s="252"/>
      <c r="D118" s="26" t="s">
        <v>301</v>
      </c>
      <c r="E118" s="27">
        <f>IF(COUNT(E98:E117), SUM(E98:E117) / COUNT(E98:E117), 0)</f>
        <v>3.9967280098695421E-2</v>
      </c>
      <c r="F118" s="28">
        <f>SUM(F98:F117)</f>
        <v>79934.56019739082</v>
      </c>
      <c r="G118" s="26" t="s">
        <v>301</v>
      </c>
      <c r="H118" s="27">
        <f>IF(COUNT(H98:H117), SUM(H98:H117) / COUNT(H98:H117), 0)</f>
        <v>4.4179523909745451E-2</v>
      </c>
      <c r="I118" s="28">
        <f>SUM(I98:I117)</f>
        <v>88359.047819490879</v>
      </c>
      <c r="J118" s="26" t="s">
        <v>301</v>
      </c>
      <c r="K118" s="27">
        <f>IF(COUNT(K98:K117), SUM(K98:K117) / COUNT(K98:K117), 0)</f>
        <v>5.2903313272729943E-2</v>
      </c>
      <c r="L118" s="28">
        <f>SUM(L98:L117)</f>
        <v>105806.62654545991</v>
      </c>
      <c r="M118" s="26" t="s">
        <v>301</v>
      </c>
      <c r="N118" s="27">
        <f>IF(COUNT(N98:N117), SUM(N98:N117) / COUNT(N98:N117), 0)</f>
        <v>3.7326267420911621E-2</v>
      </c>
      <c r="O118" s="28">
        <f>SUM(O98:O117)</f>
        <v>74652.534841823246</v>
      </c>
      <c r="Q118" s="246"/>
      <c r="R118" s="247"/>
      <c r="S118" s="248"/>
    </row>
    <row r="120" spans="1:19" ht="17.25" thickBot="1"/>
    <row r="121" spans="1:19" ht="17.25" thickBot="1">
      <c r="A121" s="192" t="s">
        <v>288</v>
      </c>
      <c r="B121" s="193"/>
      <c r="C121" s="193"/>
      <c r="D121" s="193"/>
      <c r="E121" s="193"/>
      <c r="F121" s="193"/>
      <c r="G121" s="193"/>
      <c r="H121" s="193"/>
      <c r="I121" s="193"/>
      <c r="J121" s="193"/>
      <c r="K121" s="193"/>
      <c r="L121" s="193"/>
      <c r="M121" s="193"/>
      <c r="N121" s="193"/>
      <c r="O121" s="194"/>
      <c r="Q121" s="213"/>
      <c r="R121" s="213"/>
      <c r="S121" s="213"/>
    </row>
    <row r="122" spans="1:19" ht="17.25" thickBot="1">
      <c r="A122" s="184" t="s">
        <v>297</v>
      </c>
      <c r="B122" s="192" t="s">
        <v>49</v>
      </c>
      <c r="C122" s="194"/>
      <c r="D122" s="192" t="s">
        <v>58</v>
      </c>
      <c r="E122" s="193"/>
      <c r="F122" s="194"/>
      <c r="G122" s="219">
        <f>_xlfn.IFNA(VLOOKUP(B122, 현재가테이블!$B$2:$D$200, 2, FALSE), "-")</f>
        <v>38300000</v>
      </c>
      <c r="H122" s="220"/>
      <c r="I122" s="221"/>
      <c r="J122" s="192" t="s">
        <v>59</v>
      </c>
      <c r="K122" s="193"/>
      <c r="L122" s="194"/>
      <c r="M122" s="222">
        <f>_xlfn.IFNA(VLOOKUP(B122, 현재가테이블!$B$2:$D$200, 3, FALSE), "-")</f>
        <v>-1.9557649E-2</v>
      </c>
      <c r="N122" s="223"/>
      <c r="O122" s="224"/>
      <c r="Q122" s="213"/>
      <c r="R122" s="213"/>
      <c r="S122" s="213"/>
    </row>
    <row r="123" spans="1:19" ht="17.25" thickBot="1">
      <c r="A123" s="253" t="s">
        <v>55</v>
      </c>
      <c r="B123" s="255" t="str">
        <f>TEXT($G$1, "[$-ko-KR]yyyy-mm-dd(ddd) ") &amp; "오전 00:00"</f>
        <v>2021-06-07(월) 오전 00:00</v>
      </c>
      <c r="C123" s="256"/>
      <c r="D123" s="215" t="str">
        <f>TEXT($G$1, "[$-ko-KR]yyyy-mm-dd(ddd) ") &amp; "오후 14:00"</f>
        <v>2021-06-07(월) 오후 14:00</v>
      </c>
      <c r="E123" s="216"/>
      <c r="F123" s="217"/>
      <c r="G123" s="215" t="str">
        <f>TEXT($G$1, "[$-ko-KR]yyyy-mm-dd(ddd) ") &amp; "오후 19:00"</f>
        <v>2021-06-07(월) 오후 19:00</v>
      </c>
      <c r="H123" s="216"/>
      <c r="I123" s="217"/>
      <c r="J123" s="215" t="str">
        <f>TEXT($G$1, "[$-ko-KR]yyyy-mm-dd(ddd) ") &amp; "오후 21:00"</f>
        <v>2021-06-07(월) 오후 21:00</v>
      </c>
      <c r="K123" s="216"/>
      <c r="L123" s="217"/>
      <c r="M123" s="215" t="str">
        <f>TEXT($G$1+1, "[$-ko-KR]yyyy-mm-dd(ddd) ") &amp; "오전 00:00"</f>
        <v>2021-06-08(화) 오전 00:00</v>
      </c>
      <c r="N123" s="216"/>
      <c r="O123" s="217"/>
      <c r="Q123" s="213"/>
      <c r="R123" s="213"/>
      <c r="S123" s="213"/>
    </row>
    <row r="124" spans="1:19" ht="17.25" thickBot="1">
      <c r="A124" s="25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5" t="s">
        <v>58</v>
      </c>
      <c r="H124" s="186" t="s">
        <v>298</v>
      </c>
      <c r="I124" s="18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8"/>
      <c r="R124" s="218"/>
      <c r="S124" s="218"/>
    </row>
    <row r="125" spans="1:19" ht="17.25" thickBot="1">
      <c r="A125" s="161" t="s">
        <v>154</v>
      </c>
      <c r="B125" s="124">
        <v>11.6</v>
      </c>
      <c r="C125" s="76">
        <v>2.65486726E-2</v>
      </c>
      <c r="D125" s="13">
        <v>11.6</v>
      </c>
      <c r="E125" s="14">
        <f>IF(ISNUMBER(D125), (D125 - $B125) / $B125, "")</f>
        <v>0</v>
      </c>
      <c r="F125" s="16">
        <f>IF(ISNUMBER(D125), $B145 * E125, "")</f>
        <v>0</v>
      </c>
      <c r="G125" s="29">
        <v>11.7</v>
      </c>
      <c r="H125" s="14">
        <f>IF(ISNUMBER(G125), (G125 - $B125) / $B125, "")</f>
        <v>8.6206896551723842E-3</v>
      </c>
      <c r="I125" s="100">
        <f>IF(ISNUMBER(G125), $B145 * H125, "")</f>
        <v>862.06896551723844</v>
      </c>
      <c r="J125" s="13">
        <v>11.7</v>
      </c>
      <c r="K125" s="14">
        <f>IF(ISNUMBER(J125), (J125 - $B125) / $B125, "")</f>
        <v>8.6206896551723842E-3</v>
      </c>
      <c r="L125" s="16">
        <f>IF(ISNUMBER(J125), $B145 * K125, "")</f>
        <v>862.06896551723844</v>
      </c>
      <c r="M125" s="29">
        <v>11.6</v>
      </c>
      <c r="N125" s="14">
        <f>IF(ISNUMBER(M125), (M125 - $B125) / $B125, "")</f>
        <v>0</v>
      </c>
      <c r="O125" s="16">
        <f>IF(ISNUMBER(M125), $B145 * N125, "")</f>
        <v>0</v>
      </c>
      <c r="Q125" s="213"/>
      <c r="R125" s="213"/>
      <c r="S125" s="213"/>
    </row>
    <row r="126" spans="1:19" ht="17.25" thickBot="1">
      <c r="A126" s="162" t="s">
        <v>278</v>
      </c>
      <c r="B126" s="126">
        <v>80.8</v>
      </c>
      <c r="C126" s="77">
        <v>1.76322418E-2</v>
      </c>
      <c r="D126" s="15">
        <v>81.7</v>
      </c>
      <c r="E126" s="32">
        <f t="shared" ref="E126:E129" si="62">IF(ISNUMBER(D126), (D126 - $B126) / $B126, "")</f>
        <v>1.1138613861386209E-2</v>
      </c>
      <c r="F126" s="18">
        <f>IF(ISNUMBER(D126), $B145 * E126, "")</f>
        <v>1113.8613861386209</v>
      </c>
      <c r="G126" s="31">
        <v>81.7</v>
      </c>
      <c r="H126" s="32">
        <f t="shared" ref="H126:H129" si="63">IF(ISNUMBER(G126), (G126 - $B126) / $B126, "")</f>
        <v>1.1138613861386209E-2</v>
      </c>
      <c r="I126" s="101">
        <f>IF(ISNUMBER(G126), $B145 * H126, "")</f>
        <v>1113.8613861386209</v>
      </c>
      <c r="J126" s="15">
        <v>81.7</v>
      </c>
      <c r="K126" s="32">
        <f t="shared" ref="K126:K129" si="64">IF(ISNUMBER(J126), (J126 - $B126) / $B126, "")</f>
        <v>1.1138613861386209E-2</v>
      </c>
      <c r="L126" s="18">
        <f>IF(ISNUMBER(J126), $B145 * K126, "")</f>
        <v>1113.8613861386209</v>
      </c>
      <c r="M126" s="31">
        <v>81.900000000000006</v>
      </c>
      <c r="N126" s="32">
        <f t="shared" ref="N126:N129" si="65">IF(ISNUMBER(M126), (M126 - $B126) / $B126, "")</f>
        <v>1.361386138613872E-2</v>
      </c>
      <c r="O126" s="18">
        <f>IF(ISNUMBER(M126), $B145 * N126, "")</f>
        <v>1361.3861386138719</v>
      </c>
      <c r="Q126" s="213"/>
      <c r="R126" s="213"/>
      <c r="S126" s="213"/>
    </row>
    <row r="127" spans="1:19" ht="17.25" thickBot="1">
      <c r="A127" s="162" t="s">
        <v>196</v>
      </c>
      <c r="B127" s="126">
        <v>12.1</v>
      </c>
      <c r="C127" s="77">
        <v>1.6806722699999999E-2</v>
      </c>
      <c r="D127" s="15">
        <v>12</v>
      </c>
      <c r="E127" s="32">
        <f t="shared" si="62"/>
        <v>-8.2644628099173261E-3</v>
      </c>
      <c r="F127" s="18">
        <f>IF(ISNUMBER(D127), $B145 * E127, "")</f>
        <v>-826.44628099173258</v>
      </c>
      <c r="G127" s="31">
        <v>12.3</v>
      </c>
      <c r="H127" s="32">
        <f t="shared" si="63"/>
        <v>1.6528925619834798E-2</v>
      </c>
      <c r="I127" s="101">
        <f>IF(ISNUMBER(G127), $B145 * H127, "")</f>
        <v>1652.8925619834797</v>
      </c>
      <c r="J127" s="15">
        <v>12.3</v>
      </c>
      <c r="K127" s="32">
        <f t="shared" si="64"/>
        <v>1.6528925619834798E-2</v>
      </c>
      <c r="L127" s="18">
        <f>IF(ISNUMBER(J127), $B145 * K127, "")</f>
        <v>1652.8925619834797</v>
      </c>
      <c r="M127" s="31">
        <v>12.3</v>
      </c>
      <c r="N127" s="32">
        <f t="shared" si="65"/>
        <v>1.6528925619834798E-2</v>
      </c>
      <c r="O127" s="18">
        <f>IF(ISNUMBER(M127), $B145 * N127, "")</f>
        <v>1652.8925619834797</v>
      </c>
      <c r="Q127" s="218"/>
      <c r="R127" s="218"/>
      <c r="S127" s="218"/>
    </row>
    <row r="128" spans="1:19" ht="17.25" thickBot="1">
      <c r="A128" s="162" t="s">
        <v>268</v>
      </c>
      <c r="B128" s="126">
        <v>53.3</v>
      </c>
      <c r="C128" s="77">
        <v>1.5238095199999999E-2</v>
      </c>
      <c r="D128" s="15">
        <v>53.8</v>
      </c>
      <c r="E128" s="32">
        <f t="shared" si="62"/>
        <v>9.3808630393996256E-3</v>
      </c>
      <c r="F128" s="18">
        <f>IF(ISNUMBER(D128), $B145 * E128, "")</f>
        <v>938.08630393996259</v>
      </c>
      <c r="G128" s="31">
        <v>54.3</v>
      </c>
      <c r="H128" s="32">
        <f t="shared" si="63"/>
        <v>1.8761726078799251E-2</v>
      </c>
      <c r="I128" s="101">
        <f>IF(ISNUMBER(G128), $B145 * H128, "")</f>
        <v>1876.1726078799252</v>
      </c>
      <c r="J128" s="15">
        <v>54.3</v>
      </c>
      <c r="K128" s="32">
        <f t="shared" si="64"/>
        <v>1.8761726078799251E-2</v>
      </c>
      <c r="L128" s="18">
        <f>IF(ISNUMBER(J128), $B145 * K128, "")</f>
        <v>1876.1726078799252</v>
      </c>
      <c r="M128" s="31">
        <v>54.3</v>
      </c>
      <c r="N128" s="32">
        <f t="shared" si="65"/>
        <v>1.8761726078799251E-2</v>
      </c>
      <c r="O128" s="18">
        <f>IF(ISNUMBER(M128), $B145 * N128, "")</f>
        <v>1876.1726078799252</v>
      </c>
      <c r="Q128" s="218"/>
      <c r="R128" s="218"/>
      <c r="S128" s="218"/>
    </row>
    <row r="129" spans="1:19" ht="17.25" thickBot="1">
      <c r="A129" s="163" t="s">
        <v>214</v>
      </c>
      <c r="B129" s="128">
        <v>14</v>
      </c>
      <c r="C129" s="78">
        <v>1.44927536E-2</v>
      </c>
      <c r="D129" s="20">
        <v>14.2</v>
      </c>
      <c r="E129" s="21">
        <f t="shared" si="62"/>
        <v>1.4285714285714235E-2</v>
      </c>
      <c r="F129" s="22">
        <f>IF(ISNUMBER(D129), $B145 * E129, "")</f>
        <v>1428.5714285714234</v>
      </c>
      <c r="G129" s="30">
        <v>14.6</v>
      </c>
      <c r="H129" s="21">
        <f t="shared" si="63"/>
        <v>4.285714285714283E-2</v>
      </c>
      <c r="I129" s="105">
        <f>IF(ISNUMBER(G129), $B145 * H129, "")</f>
        <v>4285.7142857142826</v>
      </c>
      <c r="J129" s="20">
        <v>14.4</v>
      </c>
      <c r="K129" s="21">
        <f t="shared" si="64"/>
        <v>2.8571428571428598E-2</v>
      </c>
      <c r="L129" s="22">
        <f>IF(ISNUMBER(J129), $B145 * K129, "")</f>
        <v>2857.1428571428596</v>
      </c>
      <c r="M129" s="30">
        <v>14.4</v>
      </c>
      <c r="N129" s="21">
        <f t="shared" si="65"/>
        <v>2.8571428571428598E-2</v>
      </c>
      <c r="O129" s="22">
        <f>IF(ISNUMBER(M129), $B145 * N129, "")</f>
        <v>2857.1428571428596</v>
      </c>
      <c r="Q129" s="218"/>
      <c r="R129" s="218"/>
      <c r="S129" s="218"/>
    </row>
    <row r="130" spans="1:19" ht="17.25" thickBot="1">
      <c r="A130" s="162" t="s">
        <v>186</v>
      </c>
      <c r="B130" s="129">
        <v>21.3</v>
      </c>
      <c r="C130" s="80">
        <v>1.42857143E-2</v>
      </c>
      <c r="D130" s="106">
        <v>19.899999999999999</v>
      </c>
      <c r="E130" s="107">
        <f>IF(ISNUMBER(D130), (D130 - $B130) / $B130, "")</f>
        <v>-6.5727699530516534E-2</v>
      </c>
      <c r="F130" s="108">
        <f>IF(ISNUMBER(D130), $B145 * E130, "")</f>
        <v>-6572.7699530516538</v>
      </c>
      <c r="G130" s="109">
        <v>19.600000000000001</v>
      </c>
      <c r="H130" s="107">
        <f>IF(ISNUMBER(G130), (G130 - $B130) / $B130, "")</f>
        <v>-7.9812206572769911E-2</v>
      </c>
      <c r="I130" s="110">
        <f>IF(ISNUMBER(G130), $B145 * H130, "")</f>
        <v>-7981.220657276991</v>
      </c>
      <c r="J130" s="106">
        <v>19.3</v>
      </c>
      <c r="K130" s="107">
        <f>IF(ISNUMBER(J130), (J130 - $B130) / $B130, "")</f>
        <v>-9.3896713615023469E-2</v>
      </c>
      <c r="L130" s="108">
        <f>IF(ISNUMBER(J130), $B145 * K130, "")</f>
        <v>-9389.6713615023473</v>
      </c>
      <c r="M130" s="109">
        <v>19.3</v>
      </c>
      <c r="N130" s="107">
        <f>IF(ISNUMBER(M130), (M130 - $B130) / $B130, "")</f>
        <v>-9.3896713615023469E-2</v>
      </c>
      <c r="O130" s="108">
        <f>IF(ISNUMBER(M130), $B145 * N130, "")</f>
        <v>-9389.6713615023473</v>
      </c>
      <c r="Q130" s="218"/>
      <c r="R130" s="218"/>
      <c r="S130" s="218"/>
    </row>
    <row r="131" spans="1:19" ht="17.25" thickBot="1">
      <c r="A131" s="162" t="s">
        <v>152</v>
      </c>
      <c r="B131" s="126">
        <v>21.8</v>
      </c>
      <c r="C131" s="77">
        <v>1.39534884E-2</v>
      </c>
      <c r="D131" s="15">
        <v>21.7</v>
      </c>
      <c r="E131" s="32">
        <f t="shared" ref="E131:E134" si="66">IF(ISNUMBER(D131), (D131 - $B131) / $B131, "")</f>
        <v>-4.5871559633028176E-3</v>
      </c>
      <c r="F131" s="18">
        <f>IF(ISNUMBER(D131), $B145 * E131, "")</f>
        <v>-458.71559633028176</v>
      </c>
      <c r="G131" s="31">
        <v>21.8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21.8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21.7</v>
      </c>
      <c r="N131" s="32">
        <f t="shared" ref="N131:N134" si="69">IF(ISNUMBER(M131), (M131 - $B131) / $B131, "")</f>
        <v>-4.5871559633028176E-3</v>
      </c>
      <c r="O131" s="18">
        <f>IF(ISNUMBER(M131), $B145 * N131, "")</f>
        <v>-458.71559633028176</v>
      </c>
      <c r="Q131" s="218"/>
      <c r="R131" s="218"/>
      <c r="S131" s="218"/>
    </row>
    <row r="132" spans="1:19" ht="17.25" thickBot="1">
      <c r="A132" s="162" t="s">
        <v>198</v>
      </c>
      <c r="B132" s="126">
        <v>16.899999999999999</v>
      </c>
      <c r="C132" s="77">
        <v>1.19760479E-2</v>
      </c>
      <c r="D132" s="15">
        <v>17</v>
      </c>
      <c r="E132" s="32">
        <f t="shared" si="66"/>
        <v>5.9171597633136943E-3</v>
      </c>
      <c r="F132" s="18">
        <f>IF(ISNUMBER(D132), $B145 * E132, "")</f>
        <v>591.71597633136946</v>
      </c>
      <c r="G132" s="31">
        <v>17.2</v>
      </c>
      <c r="H132" s="32">
        <f t="shared" si="67"/>
        <v>1.775147928994087E-2</v>
      </c>
      <c r="I132" s="101">
        <f>IF(ISNUMBER(G132), $B145 * H132, "")</f>
        <v>1775.1479289940871</v>
      </c>
      <c r="J132" s="15">
        <v>17.100000000000001</v>
      </c>
      <c r="K132" s="32">
        <f t="shared" si="68"/>
        <v>1.1834319526627389E-2</v>
      </c>
      <c r="L132" s="18">
        <f>IF(ISNUMBER(J132), $B145 * K132, "")</f>
        <v>1183.4319526627389</v>
      </c>
      <c r="M132" s="31">
        <v>17</v>
      </c>
      <c r="N132" s="32">
        <f t="shared" si="69"/>
        <v>5.9171597633136943E-3</v>
      </c>
      <c r="O132" s="18">
        <f>IF(ISNUMBER(M132), $B145 * N132, "")</f>
        <v>591.71597633136946</v>
      </c>
      <c r="Q132" s="218"/>
      <c r="R132" s="218"/>
      <c r="S132" s="218"/>
    </row>
    <row r="133" spans="1:19" ht="17.25" thickBot="1">
      <c r="A133" s="162" t="s">
        <v>218</v>
      </c>
      <c r="B133" s="126">
        <v>16.899999999999999</v>
      </c>
      <c r="C133" s="77">
        <v>1.19760479E-2</v>
      </c>
      <c r="D133" s="15">
        <v>17.100000000000001</v>
      </c>
      <c r="E133" s="32">
        <f t="shared" si="66"/>
        <v>1.1834319526627389E-2</v>
      </c>
      <c r="F133" s="18">
        <f>IF(ISNUMBER(D133), $B145 * E133, "")</f>
        <v>1183.4319526627389</v>
      </c>
      <c r="G133" s="31">
        <v>17.399999999999999</v>
      </c>
      <c r="H133" s="32">
        <f t="shared" si="67"/>
        <v>2.9585798816568049E-2</v>
      </c>
      <c r="I133" s="101">
        <f>IF(ISNUMBER(G133), $B145 * H133, "")</f>
        <v>2958.5798816568049</v>
      </c>
      <c r="J133" s="15">
        <v>17.3</v>
      </c>
      <c r="K133" s="32">
        <f t="shared" si="68"/>
        <v>2.3668639053254566E-2</v>
      </c>
      <c r="L133" s="18">
        <f>IF(ISNUMBER(J133), $B145 * K133, "")</f>
        <v>2366.8639053254565</v>
      </c>
      <c r="M133" s="31">
        <v>17</v>
      </c>
      <c r="N133" s="32">
        <f t="shared" si="69"/>
        <v>5.9171597633136943E-3</v>
      </c>
      <c r="O133" s="18">
        <f>IF(ISNUMBER(M133), $B145 * N133, "")</f>
        <v>591.71597633136946</v>
      </c>
      <c r="Q133" s="33"/>
      <c r="R133" s="33"/>
    </row>
    <row r="134" spans="1:19" ht="17.25" thickBot="1">
      <c r="A134" s="130" t="s">
        <v>254</v>
      </c>
      <c r="B134" s="131">
        <v>51.8</v>
      </c>
      <c r="C134" s="79">
        <v>1.171875E-2</v>
      </c>
      <c r="D134" s="24">
        <v>52.1</v>
      </c>
      <c r="E134" s="25">
        <f t="shared" si="66"/>
        <v>5.7915057915058745E-3</v>
      </c>
      <c r="F134" s="104">
        <f>IF(ISNUMBER(D134), $B145 * E134, "")</f>
        <v>579.15057915058742</v>
      </c>
      <c r="G134" s="102">
        <v>52.3</v>
      </c>
      <c r="H134" s="25">
        <f t="shared" si="67"/>
        <v>9.6525096525096523E-3</v>
      </c>
      <c r="I134" s="103">
        <f>IF(ISNUMBER(G134), $B145 * H134, "")</f>
        <v>965.25096525096524</v>
      </c>
      <c r="J134" s="24">
        <v>52.5</v>
      </c>
      <c r="K134" s="25">
        <f t="shared" si="68"/>
        <v>1.351351351351357E-2</v>
      </c>
      <c r="L134" s="104">
        <f>IF(ISNUMBER(J134), $B145 * K134, "")</f>
        <v>1351.3513513513569</v>
      </c>
      <c r="M134" s="102">
        <v>52.5</v>
      </c>
      <c r="N134" s="25">
        <f t="shared" si="69"/>
        <v>1.351351351351357E-2</v>
      </c>
      <c r="O134" s="104">
        <f>IF(ISNUMBER(M134), $B145 * N134, "")</f>
        <v>1351.3513513513569</v>
      </c>
      <c r="Q134" s="227"/>
      <c r="R134" s="228"/>
      <c r="S134" s="229"/>
    </row>
    <row r="135" spans="1:19">
      <c r="A135" s="161" t="s">
        <v>122</v>
      </c>
      <c r="B135" s="124">
        <v>66.599999999999994</v>
      </c>
      <c r="C135" s="76">
        <v>9.0909091000000008E-3</v>
      </c>
      <c r="D135" s="13">
        <v>67.5</v>
      </c>
      <c r="E135" s="14">
        <f>IF(ISNUMBER(D135), (D135 - $B135) / $B135, "")</f>
        <v>1.3513513513513599E-2</v>
      </c>
      <c r="F135" s="16">
        <f>IF(ISNUMBER(D135), $B145 * E135, "")</f>
        <v>1351.3513513513599</v>
      </c>
      <c r="G135" s="29">
        <v>67.599999999999994</v>
      </c>
      <c r="H135" s="14">
        <f>IF(ISNUMBER(G135), (G135 - $B135) / $B135, "")</f>
        <v>1.5015015015015017E-2</v>
      </c>
      <c r="I135" s="100">
        <f>IF(ISNUMBER(G135), $B145 * H135, "")</f>
        <v>1501.5015015015017</v>
      </c>
      <c r="J135" s="13">
        <v>67.8</v>
      </c>
      <c r="K135" s="14">
        <f>IF(ISNUMBER(J135), (J135 - $B135) / $B135, "")</f>
        <v>1.8018018018018063E-2</v>
      </c>
      <c r="L135" s="16">
        <f>IF(ISNUMBER(J135), $B145 * K135, "")</f>
        <v>1801.8018018018063</v>
      </c>
      <c r="M135" s="29">
        <v>66.900000000000006</v>
      </c>
      <c r="N135" s="14">
        <f>IF(ISNUMBER(M135), (M135 - $B135) / $B135, "")</f>
        <v>4.5045045045046753E-3</v>
      </c>
      <c r="O135" s="16">
        <f>IF(ISNUMBER(M135), $B145 * N135, "")</f>
        <v>450.45045045046754</v>
      </c>
      <c r="Q135" s="230"/>
      <c r="R135" s="231"/>
      <c r="S135" s="232"/>
    </row>
    <row r="136" spans="1:19" ht="17.25" thickBot="1">
      <c r="A136" s="162" t="s">
        <v>156</v>
      </c>
      <c r="B136" s="126">
        <v>89.8</v>
      </c>
      <c r="C136" s="77">
        <v>7.8563412000000003E-3</v>
      </c>
      <c r="D136" s="15">
        <v>89.9</v>
      </c>
      <c r="E136" s="32">
        <f t="shared" ref="E136:E139" si="70">IF(ISNUMBER(D136), (D136 - $B136) / $B136, "")</f>
        <v>1.1135857461025448E-3</v>
      </c>
      <c r="F136" s="18">
        <f>IF(ISNUMBER(D136), $B145 * E136, "")</f>
        <v>111.35857461025448</v>
      </c>
      <c r="G136" s="31">
        <v>89.5</v>
      </c>
      <c r="H136" s="32">
        <f t="shared" ref="H136:H139" si="71">IF(ISNUMBER(G136), (G136 - $B136) / $B136, "")</f>
        <v>-3.3407572383073181E-3</v>
      </c>
      <c r="I136" s="101">
        <f>IF(ISNUMBER(G136), $B145 * H136, "")</f>
        <v>-334.07572383073182</v>
      </c>
      <c r="J136" s="15">
        <v>89.5</v>
      </c>
      <c r="K136" s="32">
        <f t="shared" ref="K136:K139" si="72">IF(ISNUMBER(J136), (J136 - $B136) / $B136, "")</f>
        <v>-3.3407572383073181E-3</v>
      </c>
      <c r="L136" s="18">
        <f>IF(ISNUMBER(J136), $B145 * K136, "")</f>
        <v>-334.07572383073182</v>
      </c>
      <c r="M136" s="31">
        <v>89.9</v>
      </c>
      <c r="N136" s="32">
        <f t="shared" ref="N136:N139" si="73">IF(ISNUMBER(M136), (M136 - $B136) / $B136, "")</f>
        <v>1.1135857461025448E-3</v>
      </c>
      <c r="O136" s="18">
        <f>IF(ISNUMBER(M136), $B145 * N136, "")</f>
        <v>111.35857461025448</v>
      </c>
      <c r="Q136" s="233"/>
      <c r="R136" s="234"/>
      <c r="S136" s="235"/>
    </row>
    <row r="137" spans="1:19" ht="17.25" thickBot="1">
      <c r="A137" s="162" t="s">
        <v>264</v>
      </c>
      <c r="B137" s="126">
        <v>87.7</v>
      </c>
      <c r="C137" s="77">
        <v>6.8886338000000002E-3</v>
      </c>
      <c r="D137" s="15">
        <v>88.7</v>
      </c>
      <c r="E137" s="32">
        <f t="shared" si="70"/>
        <v>1.1402508551881414E-2</v>
      </c>
      <c r="F137" s="18">
        <f>IF(ISNUMBER(D137), $B145 * E137, "")</f>
        <v>1140.2508551881415</v>
      </c>
      <c r="G137" s="31">
        <v>89.7</v>
      </c>
      <c r="H137" s="32">
        <f t="shared" si="71"/>
        <v>2.2805017103762829E-2</v>
      </c>
      <c r="I137" s="101">
        <f>IF(ISNUMBER(G137), $B145 * H137, "")</f>
        <v>2280.501710376283</v>
      </c>
      <c r="J137" s="15">
        <v>90.6</v>
      </c>
      <c r="K137" s="32">
        <f t="shared" si="72"/>
        <v>3.3067274800456001E-2</v>
      </c>
      <c r="L137" s="18">
        <f>IF(ISNUMBER(J137), $B145 * K137, "")</f>
        <v>3306.7274800456003</v>
      </c>
      <c r="M137" s="31">
        <v>90.2</v>
      </c>
      <c r="N137" s="32">
        <f t="shared" si="73"/>
        <v>2.8506271379703532E-2</v>
      </c>
      <c r="O137" s="18">
        <f>IF(ISNUMBER(M137), $B145 * N137, "")</f>
        <v>2850.627137970353</v>
      </c>
      <c r="Q137" s="218"/>
      <c r="R137" s="218"/>
      <c r="S137" s="218"/>
    </row>
    <row r="138" spans="1:19" ht="17.25" thickBot="1">
      <c r="A138" s="162" t="s">
        <v>260</v>
      </c>
      <c r="B138" s="126">
        <v>76.7</v>
      </c>
      <c r="C138" s="77">
        <v>6.5616798000000002E-3</v>
      </c>
      <c r="D138" s="15">
        <v>76.900000000000006</v>
      </c>
      <c r="E138" s="32">
        <f t="shared" si="70"/>
        <v>2.6075619295958647E-3</v>
      </c>
      <c r="F138" s="18">
        <f>IF(ISNUMBER(D138), $B145 * E138, "")</f>
        <v>260.75619295958649</v>
      </c>
      <c r="G138" s="31">
        <v>76.8</v>
      </c>
      <c r="H138" s="32">
        <f t="shared" si="71"/>
        <v>1.3037809647978398E-3</v>
      </c>
      <c r="I138" s="101">
        <f>IF(ISNUMBER(G138), $B145 * H138, "")</f>
        <v>130.37809647978398</v>
      </c>
      <c r="J138" s="15">
        <v>77</v>
      </c>
      <c r="K138" s="32">
        <f t="shared" si="72"/>
        <v>3.9113428943937049E-3</v>
      </c>
      <c r="L138" s="18">
        <f>IF(ISNUMBER(J138), $B145 * K138, "")</f>
        <v>391.13428943937049</v>
      </c>
      <c r="M138" s="31">
        <v>76.599999999999994</v>
      </c>
      <c r="N138" s="32">
        <f t="shared" si="73"/>
        <v>-1.3037809647980252E-3</v>
      </c>
      <c r="O138" s="18">
        <f>IF(ISNUMBER(M138), $B145 * N138, "")</f>
        <v>-130.37809647980251</v>
      </c>
      <c r="Q138" s="213"/>
      <c r="R138" s="213"/>
      <c r="S138" s="213"/>
    </row>
    <row r="139" spans="1:19" ht="17.25" thickBot="1">
      <c r="A139" s="163" t="s">
        <v>65</v>
      </c>
      <c r="B139" s="128">
        <v>36.9</v>
      </c>
      <c r="C139" s="78">
        <v>5.4495912999999998E-3</v>
      </c>
      <c r="D139" s="20">
        <v>37.200000000000003</v>
      </c>
      <c r="E139" s="21">
        <f t="shared" si="70"/>
        <v>8.1300813008131235E-3</v>
      </c>
      <c r="F139" s="22">
        <f>IF(ISNUMBER(D139), $B145 * E139, "")</f>
        <v>813.0081300813124</v>
      </c>
      <c r="G139" s="30">
        <v>37.200000000000003</v>
      </c>
      <c r="H139" s="21">
        <f t="shared" si="71"/>
        <v>8.1300813008131235E-3</v>
      </c>
      <c r="I139" s="105">
        <f>IF(ISNUMBER(G139), $B145 * H139, "")</f>
        <v>813.0081300813124</v>
      </c>
      <c r="J139" s="20">
        <v>36.9</v>
      </c>
      <c r="K139" s="21">
        <f t="shared" si="72"/>
        <v>0</v>
      </c>
      <c r="L139" s="22">
        <f>IF(ISNUMBER(J139), $B145 * K139, "")</f>
        <v>0</v>
      </c>
      <c r="M139" s="30">
        <v>36.700000000000003</v>
      </c>
      <c r="N139" s="21">
        <f t="shared" si="73"/>
        <v>-5.4200542005418901E-3</v>
      </c>
      <c r="O139" s="22">
        <f>IF(ISNUMBER(M139), $B145 * N139, "")</f>
        <v>-542.00542005418902</v>
      </c>
      <c r="Q139" s="213"/>
      <c r="R139" s="213"/>
      <c r="S139" s="213"/>
    </row>
    <row r="140" spans="1:19" ht="17.25" thickBot="1">
      <c r="A140" s="162" t="s">
        <v>212</v>
      </c>
      <c r="B140" s="129">
        <v>79.599999999999994</v>
      </c>
      <c r="C140" s="80">
        <v>1.2578616000000001E-3</v>
      </c>
      <c r="D140" s="106">
        <v>79.7</v>
      </c>
      <c r="E140" s="107">
        <f>IF(ISNUMBER(D140), (D140 - $B140) / $B140, "")</f>
        <v>1.256281407035283E-3</v>
      </c>
      <c r="F140" s="108">
        <f>IF(ISNUMBER(D140), $B145 * E140, "")</f>
        <v>125.6281407035283</v>
      </c>
      <c r="G140" s="109">
        <v>79.7</v>
      </c>
      <c r="H140" s="107">
        <f>IF(ISNUMBER(G140), (G140 - $B140) / $B140, "")</f>
        <v>1.256281407035283E-3</v>
      </c>
      <c r="I140" s="110">
        <f>IF(ISNUMBER(G140), $B145 * H140, "")</f>
        <v>125.6281407035283</v>
      </c>
      <c r="J140" s="106">
        <v>79.5</v>
      </c>
      <c r="K140" s="107">
        <f>IF(ISNUMBER(J140), (J140 - $B140) / $B140, "")</f>
        <v>-1.2562814070351046E-3</v>
      </c>
      <c r="L140" s="108">
        <f>IF(ISNUMBER(J140), $B145 * K140, "")</f>
        <v>-125.62814070351045</v>
      </c>
      <c r="M140" s="109">
        <v>79.599999999999994</v>
      </c>
      <c r="N140" s="107">
        <f>IF(ISNUMBER(M140), (M140 - $B140) / $B140, "")</f>
        <v>0</v>
      </c>
      <c r="O140" s="108">
        <f>IF(ISNUMBER(M140), $B145 * N140, "")</f>
        <v>0</v>
      </c>
      <c r="Q140" s="218"/>
      <c r="R140" s="218"/>
      <c r="S140" s="218"/>
    </row>
    <row r="141" spans="1:19" ht="17.25" thickBot="1">
      <c r="A141" s="162" t="s">
        <v>236</v>
      </c>
      <c r="B141" s="126">
        <v>53.1</v>
      </c>
      <c r="C141" s="77">
        <v>0</v>
      </c>
      <c r="D141" s="15">
        <v>55.2</v>
      </c>
      <c r="E141" s="32">
        <f t="shared" ref="E141:E144" si="74">IF(ISNUMBER(D141), (D141 - $B141) / $B141, "")</f>
        <v>3.9548022598870081E-2</v>
      </c>
      <c r="F141" s="18">
        <f>IF(ISNUMBER(D141), $B145 * E141, "")</f>
        <v>3954.8022598870079</v>
      </c>
      <c r="G141" s="31">
        <v>55.3</v>
      </c>
      <c r="H141" s="32">
        <f t="shared" ref="H141:H144" si="75">IF(ISNUMBER(G141), (G141 - $B141) / $B141, "")</f>
        <v>4.143126177024474E-2</v>
      </c>
      <c r="I141" s="101">
        <f>IF(ISNUMBER(G141), $B145 * H141, "")</f>
        <v>4143.1261770244737</v>
      </c>
      <c r="J141" s="15">
        <v>56.5</v>
      </c>
      <c r="K141" s="32">
        <f t="shared" ref="K141:K144" si="76">IF(ISNUMBER(J141), (J141 - $B141) / $B141, "")</f>
        <v>6.4030131826741971E-2</v>
      </c>
      <c r="L141" s="18">
        <f>IF(ISNUMBER(J141), $B145 * K141, "")</f>
        <v>6403.0131826741972</v>
      </c>
      <c r="M141" s="31">
        <v>55.9</v>
      </c>
      <c r="N141" s="32">
        <f t="shared" ref="N141:N144" si="77">IF(ISNUMBER(M141), (M141 - $B141) / $B141, "")</f>
        <v>5.2730696798493355E-2</v>
      </c>
      <c r="O141" s="18">
        <f>IF(ISNUMBER(M141), $B145 * N141, "")</f>
        <v>5273.0696798493354</v>
      </c>
      <c r="Q141" s="218"/>
      <c r="R141" s="218"/>
      <c r="S141" s="218"/>
    </row>
    <row r="142" spans="1:19" ht="17.25" thickBot="1">
      <c r="A142" s="162" t="s">
        <v>172</v>
      </c>
      <c r="B142" s="126">
        <v>15.3</v>
      </c>
      <c r="C142" s="77">
        <v>0</v>
      </c>
      <c r="D142" s="15">
        <v>15.4</v>
      </c>
      <c r="E142" s="32">
        <f t="shared" si="74"/>
        <v>6.5359477124182774E-3</v>
      </c>
      <c r="F142" s="18">
        <f>IF(ISNUMBER(D142), $B145 * E142, "")</f>
        <v>653.59477124182774</v>
      </c>
      <c r="G142" s="31">
        <v>15.5</v>
      </c>
      <c r="H142" s="32">
        <f t="shared" si="75"/>
        <v>1.3071895424836555E-2</v>
      </c>
      <c r="I142" s="101">
        <f>IF(ISNUMBER(G142), $B145 * H142, "")</f>
        <v>1307.1895424836555</v>
      </c>
      <c r="J142" s="15">
        <v>15.6</v>
      </c>
      <c r="K142" s="32">
        <f t="shared" si="76"/>
        <v>1.9607843137254832E-2</v>
      </c>
      <c r="L142" s="18">
        <f>IF(ISNUMBER(J142), $B145 * K142, "")</f>
        <v>1960.7843137254831</v>
      </c>
      <c r="M142" s="31">
        <v>15.5</v>
      </c>
      <c r="N142" s="32">
        <f t="shared" si="77"/>
        <v>1.3071895424836555E-2</v>
      </c>
      <c r="O142" s="18">
        <f>IF(ISNUMBER(M142), $B145 * N142, "")</f>
        <v>1307.1895424836555</v>
      </c>
      <c r="Q142" s="218"/>
      <c r="R142" s="218"/>
      <c r="S142" s="218"/>
    </row>
    <row r="143" spans="1:19">
      <c r="A143" s="162" t="s">
        <v>222</v>
      </c>
      <c r="B143" s="126">
        <v>11.8</v>
      </c>
      <c r="C143" s="77">
        <v>-8.4033613000000004E-3</v>
      </c>
      <c r="D143" s="15">
        <v>12</v>
      </c>
      <c r="E143" s="32">
        <f t="shared" si="74"/>
        <v>1.6949152542372819E-2</v>
      </c>
      <c r="F143" s="18">
        <f>IF(ISNUMBER(D143), $B145 * E143, "")</f>
        <v>1694.9152542372819</v>
      </c>
      <c r="G143" s="31">
        <v>12</v>
      </c>
      <c r="H143" s="32">
        <f t="shared" si="75"/>
        <v>1.6949152542372819E-2</v>
      </c>
      <c r="I143" s="101">
        <f>IF(ISNUMBER(G143), $B145 * H143, "")</f>
        <v>1694.9152542372819</v>
      </c>
      <c r="J143" s="15">
        <v>12.1</v>
      </c>
      <c r="K143" s="32">
        <f t="shared" si="76"/>
        <v>2.542372881355923E-2</v>
      </c>
      <c r="L143" s="18">
        <f>IF(ISNUMBER(J143), $B145 * K143, "")</f>
        <v>2542.3728813559228</v>
      </c>
      <c r="M143" s="31">
        <v>12.1</v>
      </c>
      <c r="N143" s="32">
        <f t="shared" si="77"/>
        <v>2.542372881355923E-2</v>
      </c>
      <c r="O143" s="18">
        <f>IF(ISNUMBER(M143), $B145 * N143, "")</f>
        <v>2542.3728813559228</v>
      </c>
      <c r="Q143" s="240"/>
      <c r="R143" s="241"/>
      <c r="S143" s="242"/>
    </row>
    <row r="144" spans="1:19" ht="17.25" thickBot="1">
      <c r="A144" s="130" t="s">
        <v>100</v>
      </c>
      <c r="B144" s="131">
        <v>4.67</v>
      </c>
      <c r="C144" s="79">
        <v>-1.0593220299999999E-2</v>
      </c>
      <c r="D144" s="24">
        <v>4.67</v>
      </c>
      <c r="E144" s="25">
        <f t="shared" si="74"/>
        <v>0</v>
      </c>
      <c r="F144" s="104">
        <f>IF(ISNUMBER(D144), $B145 * E144, "")</f>
        <v>0</v>
      </c>
      <c r="G144" s="102">
        <v>4.6399999999999997</v>
      </c>
      <c r="H144" s="25">
        <f t="shared" si="75"/>
        <v>-6.4239828693790687E-3</v>
      </c>
      <c r="I144" s="103">
        <f>IF(ISNUMBER(G144), $B145 * H144, "")</f>
        <v>-642.39828693790685</v>
      </c>
      <c r="J144" s="24">
        <v>4.66</v>
      </c>
      <c r="K144" s="25">
        <f t="shared" si="76"/>
        <v>-2.1413276231262929E-3</v>
      </c>
      <c r="L144" s="104">
        <f>IF(ISNUMBER(J144), $B145 * K144, "")</f>
        <v>-214.1327623126293</v>
      </c>
      <c r="M144" s="102">
        <v>4.63</v>
      </c>
      <c r="N144" s="25">
        <f t="shared" si="77"/>
        <v>-8.5653104925053607E-3</v>
      </c>
      <c r="O144" s="104">
        <f>IF(ISNUMBER(M144), $B145 * N144, "")</f>
        <v>-856.53104925053606</v>
      </c>
      <c r="Q144" s="243"/>
      <c r="R144" s="244"/>
      <c r="S144" s="245"/>
    </row>
    <row r="145" spans="1:19" ht="17.25" thickBot="1">
      <c r="A145" s="132" t="s">
        <v>300</v>
      </c>
      <c r="B145" s="251">
        <f>$B$37</f>
        <v>100000</v>
      </c>
      <c r="C145" s="252"/>
      <c r="D145" s="26" t="s">
        <v>301</v>
      </c>
      <c r="E145" s="27">
        <f>IF(COUNT(E125:E144), SUM(E125:E144) / COUNT(E125:E144), 0)</f>
        <v>4.0412756633406684E-3</v>
      </c>
      <c r="F145" s="28">
        <f>SUM(F125:F144)</f>
        <v>8082.551326681335</v>
      </c>
      <c r="G145" s="26" t="s">
        <v>301</v>
      </c>
      <c r="H145" s="27">
        <f>IF(COUNT(H125:H144), SUM(H125:H144) / COUNT(H125:H144), 0)</f>
        <v>9.2641212339887972E-3</v>
      </c>
      <c r="I145" s="28">
        <f>SUM(I125:I144)</f>
        <v>18528.242467977594</v>
      </c>
      <c r="J145" s="26" t="s">
        <v>301</v>
      </c>
      <c r="K145" s="27">
        <f>IF(COUNT(K125:K144), SUM(K125:K144) / COUNT(K125:K144), 0)</f>
        <v>9.8030557743474193E-3</v>
      </c>
      <c r="L145" s="28">
        <f>SUM(L125:L144)</f>
        <v>19606.111548694837</v>
      </c>
      <c r="M145" s="26" t="s">
        <v>301</v>
      </c>
      <c r="N145" s="27">
        <f>IF(COUNT(N125:N144), SUM(N125:N144) / COUNT(N125:N144), 0)</f>
        <v>5.7200721063685326E-3</v>
      </c>
      <c r="O145" s="28">
        <f>SUM(O125:O144)</f>
        <v>11440.144212737065</v>
      </c>
      <c r="Q145" s="246"/>
      <c r="R145" s="247"/>
      <c r="S145" s="248"/>
    </row>
    <row r="147" spans="1:19" ht="17.25" thickBot="1"/>
    <row r="148" spans="1:19" ht="17.25" thickBot="1">
      <c r="A148" s="192" t="s">
        <v>289</v>
      </c>
      <c r="B148" s="193"/>
      <c r="C148" s="193"/>
      <c r="D148" s="193"/>
      <c r="E148" s="193"/>
      <c r="F148" s="193"/>
      <c r="G148" s="193"/>
      <c r="H148" s="193"/>
      <c r="I148" s="193"/>
      <c r="J148" s="193"/>
      <c r="K148" s="193"/>
      <c r="L148" s="193"/>
      <c r="M148" s="193"/>
      <c r="N148" s="193"/>
      <c r="O148" s="194"/>
      <c r="Q148" s="213"/>
      <c r="R148" s="213"/>
      <c r="S148" s="213"/>
    </row>
    <row r="149" spans="1:19" ht="17.25" thickBot="1">
      <c r="A149" s="184" t="s">
        <v>297</v>
      </c>
      <c r="B149" s="192" t="s">
        <v>49</v>
      </c>
      <c r="C149" s="194"/>
      <c r="D149" s="192" t="s">
        <v>58</v>
      </c>
      <c r="E149" s="193"/>
      <c r="F149" s="194"/>
      <c r="G149" s="219">
        <f>_xlfn.IFNA(VLOOKUP(B149, 현재가테이블!$B$2:$D$200, 2, FALSE), "-")</f>
        <v>38300000</v>
      </c>
      <c r="H149" s="220"/>
      <c r="I149" s="221"/>
      <c r="J149" s="192" t="s">
        <v>59</v>
      </c>
      <c r="K149" s="193"/>
      <c r="L149" s="194"/>
      <c r="M149" s="222">
        <f>_xlfn.IFNA(VLOOKUP(B149, 현재가테이블!$B$2:$D$200, 3, FALSE), "-")</f>
        <v>-1.9557649E-2</v>
      </c>
      <c r="N149" s="223"/>
      <c r="O149" s="224"/>
      <c r="Q149" s="213"/>
      <c r="R149" s="213"/>
      <c r="S149" s="213"/>
    </row>
    <row r="150" spans="1:19" ht="17.25" thickBot="1">
      <c r="A150" s="253" t="s">
        <v>55</v>
      </c>
      <c r="B150" s="255" t="str">
        <f>TEXT($G$1, "[$-ko-KR]yyyy-mm-dd(ddd) ") &amp; "오전 00:00"</f>
        <v>2021-06-07(월) 오전 00:00</v>
      </c>
      <c r="C150" s="256"/>
      <c r="D150" s="215" t="str">
        <f>TEXT($G$1, "[$-ko-KR]yyyy-mm-dd(ddd) ") &amp; "오후 14:00"</f>
        <v>2021-06-07(월) 오후 14:00</v>
      </c>
      <c r="E150" s="216"/>
      <c r="F150" s="217"/>
      <c r="G150" s="215" t="str">
        <f>TEXT($G$1, "[$-ko-KR]yyyy-mm-dd(ddd) ") &amp; "오후 19:00"</f>
        <v>2021-06-07(월) 오후 19:00</v>
      </c>
      <c r="H150" s="216"/>
      <c r="I150" s="217"/>
      <c r="J150" s="215" t="str">
        <f>TEXT($G$1, "[$-ko-KR]yyyy-mm-dd(ddd) ") &amp; "오후 21:00"</f>
        <v>2021-06-07(월) 오후 21:00</v>
      </c>
      <c r="K150" s="216"/>
      <c r="L150" s="217"/>
      <c r="M150" s="215" t="str">
        <f>TEXT($G$1+1, "[$-ko-KR]yyyy-mm-dd(ddd) ") &amp; "오전 00:00"</f>
        <v>2021-06-08(화) 오전 00:00</v>
      </c>
      <c r="N150" s="216"/>
      <c r="O150" s="217"/>
      <c r="Q150" s="213"/>
      <c r="R150" s="213"/>
      <c r="S150" s="213"/>
    </row>
    <row r="151" spans="1:19" ht="17.25" thickBot="1">
      <c r="A151" s="25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5" t="s">
        <v>58</v>
      </c>
      <c r="H151" s="186" t="s">
        <v>298</v>
      </c>
      <c r="I151" s="18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8"/>
      <c r="R151" s="218"/>
      <c r="S151" s="218"/>
    </row>
    <row r="152" spans="1:19" ht="17.25" thickBot="1">
      <c r="A152" s="161" t="s">
        <v>57</v>
      </c>
      <c r="B152" s="124">
        <v>216</v>
      </c>
      <c r="C152" s="76">
        <v>9.3457943999999994E-3</v>
      </c>
      <c r="D152" s="13">
        <v>218</v>
      </c>
      <c r="E152" s="14">
        <f>IF(ISNUMBER(D152), (D152 - $B152) / $B152, "")</f>
        <v>9.2592592592592587E-3</v>
      </c>
      <c r="F152" s="16">
        <f>IF(ISNUMBER(D152), $B172 * E152, "")</f>
        <v>925.92592592592587</v>
      </c>
      <c r="G152" s="29">
        <v>219</v>
      </c>
      <c r="H152" s="14">
        <f>IF(ISNUMBER(G152), (G152 - $B152) / $B152, "")</f>
        <v>1.3888888888888888E-2</v>
      </c>
      <c r="I152" s="100">
        <f>IF(ISNUMBER(G152), $B172 * H152, "")</f>
        <v>1388.8888888888889</v>
      </c>
      <c r="J152" s="13">
        <v>218</v>
      </c>
      <c r="K152" s="14">
        <f>IF(ISNUMBER(J152), (J152 - $B152) / $B152, "")</f>
        <v>9.2592592592592587E-3</v>
      </c>
      <c r="L152" s="16">
        <f>IF(ISNUMBER(J152), $B172 * K152, "")</f>
        <v>925.92592592592587</v>
      </c>
      <c r="M152" s="29">
        <v>217</v>
      </c>
      <c r="N152" s="14">
        <f>IF(ISNUMBER(M152), (M152 - $B152) / $B152, "")</f>
        <v>4.6296296296296294E-3</v>
      </c>
      <c r="O152" s="16">
        <f>IF(ISNUMBER(M152), $B172 * N152, "")</f>
        <v>462.96296296296293</v>
      </c>
      <c r="Q152" s="213"/>
      <c r="R152" s="213"/>
      <c r="S152" s="213"/>
    </row>
    <row r="153" spans="1:19" ht="17.25" thickBot="1">
      <c r="A153" s="162" t="s">
        <v>148</v>
      </c>
      <c r="B153" s="126">
        <v>120</v>
      </c>
      <c r="C153" s="77">
        <v>8.4033613000000004E-3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833.33333333333337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13"/>
      <c r="R153" s="213"/>
      <c r="S153" s="213"/>
    </row>
    <row r="154" spans="1:19" ht="17.25" thickBot="1">
      <c r="A154" s="162" t="s">
        <v>128</v>
      </c>
      <c r="B154" s="126">
        <v>377</v>
      </c>
      <c r="C154" s="77">
        <v>8.0213903999999999E-3</v>
      </c>
      <c r="D154" s="15">
        <v>379</v>
      </c>
      <c r="E154" s="32">
        <f t="shared" si="78"/>
        <v>5.3050397877984082E-3</v>
      </c>
      <c r="F154" s="18">
        <f>IF(ISNUMBER(D154), $B172 * E154, "")</f>
        <v>530.50397877984085</v>
      </c>
      <c r="G154" s="31">
        <v>382</v>
      </c>
      <c r="H154" s="32">
        <f t="shared" si="79"/>
        <v>1.3262599469496022E-2</v>
      </c>
      <c r="I154" s="101">
        <f>IF(ISNUMBER(G154), $B172 * H154, "")</f>
        <v>1326.2599469496022</v>
      </c>
      <c r="J154" s="15">
        <v>381</v>
      </c>
      <c r="K154" s="32">
        <f t="shared" si="80"/>
        <v>1.0610079575596816E-2</v>
      </c>
      <c r="L154" s="18">
        <f>IF(ISNUMBER(J154), $B172 * K154, "")</f>
        <v>1061.0079575596817</v>
      </c>
      <c r="M154" s="31">
        <v>378</v>
      </c>
      <c r="N154" s="32">
        <f t="shared" si="81"/>
        <v>2.6525198938992041E-3</v>
      </c>
      <c r="O154" s="18">
        <f>IF(ISNUMBER(M154), $B172 * N154, "")</f>
        <v>265.25198938992042</v>
      </c>
      <c r="Q154" s="218"/>
      <c r="R154" s="218"/>
      <c r="S154" s="218"/>
    </row>
    <row r="155" spans="1:19" ht="17.25" thickBot="1">
      <c r="A155" s="162" t="s">
        <v>284</v>
      </c>
      <c r="B155" s="126">
        <v>255</v>
      </c>
      <c r="C155" s="77">
        <v>7.9051382999999996E-3</v>
      </c>
      <c r="D155" s="15">
        <v>264</v>
      </c>
      <c r="E155" s="32">
        <f t="shared" si="78"/>
        <v>3.5294117647058823E-2</v>
      </c>
      <c r="F155" s="18">
        <f>IF(ISNUMBER(D155), $B172 * E155, "")</f>
        <v>3529.4117647058824</v>
      </c>
      <c r="G155" s="31">
        <v>265</v>
      </c>
      <c r="H155" s="32">
        <f t="shared" si="79"/>
        <v>3.9215686274509803E-2</v>
      </c>
      <c r="I155" s="101">
        <f>IF(ISNUMBER(G155), $B172 * H155, "")</f>
        <v>3921.5686274509803</v>
      </c>
      <c r="J155" s="15">
        <v>265</v>
      </c>
      <c r="K155" s="32">
        <f t="shared" si="80"/>
        <v>3.9215686274509803E-2</v>
      </c>
      <c r="L155" s="18">
        <f>IF(ISNUMBER(J155), $B172 * K155, "")</f>
        <v>3921.5686274509803</v>
      </c>
      <c r="M155" s="31">
        <v>262</v>
      </c>
      <c r="N155" s="32">
        <f t="shared" si="81"/>
        <v>2.7450980392156862E-2</v>
      </c>
      <c r="O155" s="18">
        <f>IF(ISNUMBER(M155), $B172 * N155, "")</f>
        <v>2745.0980392156862</v>
      </c>
      <c r="Q155" s="218"/>
      <c r="R155" s="218"/>
      <c r="S155" s="218"/>
    </row>
    <row r="156" spans="1:19" ht="17.25" thickBot="1">
      <c r="A156" s="163" t="s">
        <v>216</v>
      </c>
      <c r="B156" s="128">
        <v>279</v>
      </c>
      <c r="C156" s="78">
        <v>7.2202166E-3</v>
      </c>
      <c r="D156" s="20">
        <v>284</v>
      </c>
      <c r="E156" s="21">
        <f t="shared" si="78"/>
        <v>1.7921146953405017E-2</v>
      </c>
      <c r="F156" s="22">
        <f>IF(ISNUMBER(D156), $B172 * E156, "")</f>
        <v>1792.1146953405016</v>
      </c>
      <c r="G156" s="30">
        <v>285</v>
      </c>
      <c r="H156" s="21">
        <f t="shared" si="79"/>
        <v>2.1505376344086023E-2</v>
      </c>
      <c r="I156" s="105">
        <f>IF(ISNUMBER(G156), $B172 * H156, "")</f>
        <v>2150.5376344086021</v>
      </c>
      <c r="J156" s="20">
        <v>285</v>
      </c>
      <c r="K156" s="21">
        <f t="shared" si="80"/>
        <v>2.1505376344086023E-2</v>
      </c>
      <c r="L156" s="22">
        <f>IF(ISNUMBER(J156), $B172 * K156, "")</f>
        <v>2150.5376344086021</v>
      </c>
      <c r="M156" s="30">
        <v>281</v>
      </c>
      <c r="N156" s="21">
        <f t="shared" si="81"/>
        <v>7.1684587813620072E-3</v>
      </c>
      <c r="O156" s="22">
        <f>IF(ISNUMBER(M156), $B172 * N156, "")</f>
        <v>716.84587813620067</v>
      </c>
      <c r="Q156" s="218"/>
      <c r="R156" s="218"/>
      <c r="S156" s="218"/>
    </row>
    <row r="157" spans="1:19" ht="17.25" thickBot="1">
      <c r="A157" s="162" t="s">
        <v>170</v>
      </c>
      <c r="B157" s="129">
        <v>297</v>
      </c>
      <c r="C157" s="80">
        <v>6.7796610000000002E-3</v>
      </c>
      <c r="D157" s="106">
        <v>300</v>
      </c>
      <c r="E157" s="107">
        <f>IF(ISNUMBER(D157), (D157 - $B157) / $B157, "")</f>
        <v>1.0101010101010102E-2</v>
      </c>
      <c r="F157" s="108">
        <f>IF(ISNUMBER(D157), $B172 * E157, "")</f>
        <v>1010.1010101010102</v>
      </c>
      <c r="G157" s="109">
        <v>301</v>
      </c>
      <c r="H157" s="107">
        <f>IF(ISNUMBER(G157), (G157 - $B157) / $B157, "")</f>
        <v>1.3468013468013467E-2</v>
      </c>
      <c r="I157" s="110">
        <f>IF(ISNUMBER(G157), $B172 * H157, "")</f>
        <v>1346.8013468013467</v>
      </c>
      <c r="J157" s="106">
        <v>302</v>
      </c>
      <c r="K157" s="107">
        <f>IF(ISNUMBER(J157), (J157 - $B157) / $B157, "")</f>
        <v>1.6835016835016835E-2</v>
      </c>
      <c r="L157" s="108">
        <f>IF(ISNUMBER(J157), $B172 * K157, "")</f>
        <v>1683.5016835016834</v>
      </c>
      <c r="M157" s="109">
        <v>300</v>
      </c>
      <c r="N157" s="107">
        <f>IF(ISNUMBER(M157), (M157 - $B157) / $B157, "")</f>
        <v>1.0101010101010102E-2</v>
      </c>
      <c r="O157" s="108">
        <f>IF(ISNUMBER(M157), $B172 * N157, "")</f>
        <v>1010.1010101010102</v>
      </c>
      <c r="Q157" s="218"/>
      <c r="R157" s="218"/>
      <c r="S157" s="218"/>
    </row>
    <row r="158" spans="1:19" ht="17.25" thickBot="1">
      <c r="A158" s="162" t="s">
        <v>234</v>
      </c>
      <c r="B158" s="126">
        <v>831</v>
      </c>
      <c r="C158" s="77">
        <v>3.6231884E-3</v>
      </c>
      <c r="D158" s="15">
        <v>871</v>
      </c>
      <c r="E158" s="32">
        <f t="shared" ref="E158:E161" si="82">IF(ISNUMBER(D158), (D158 - $B158) / $B158, "")</f>
        <v>4.8134777376654635E-2</v>
      </c>
      <c r="F158" s="18">
        <f>IF(ISNUMBER(D158), $B172 * E158, "")</f>
        <v>4813.4777376654638</v>
      </c>
      <c r="G158" s="31">
        <v>862</v>
      </c>
      <c r="H158" s="32">
        <f t="shared" ref="H158:H161" si="83">IF(ISNUMBER(G158), (G158 - $B158) / $B158, "")</f>
        <v>3.7304452466907341E-2</v>
      </c>
      <c r="I158" s="101">
        <f>IF(ISNUMBER(G158), $B172 * H158, "")</f>
        <v>3730.4452466907342</v>
      </c>
      <c r="J158" s="15">
        <v>882</v>
      </c>
      <c r="K158" s="32">
        <f t="shared" ref="K158:K161" si="84">IF(ISNUMBER(J158), (J158 - $B158) / $B158, "")</f>
        <v>6.1371841155234655E-2</v>
      </c>
      <c r="L158" s="18">
        <f>IF(ISNUMBER(J158), $B172 * K158, "")</f>
        <v>6137.1841155234652</v>
      </c>
      <c r="M158" s="31">
        <v>857</v>
      </c>
      <c r="N158" s="32">
        <f t="shared" ref="N158:N161" si="85">IF(ISNUMBER(M158), (M158 - $B158) / $B158, "")</f>
        <v>3.1287605294825514E-2</v>
      </c>
      <c r="O158" s="18">
        <f>IF(ISNUMBER(M158), $B172 * N158, "")</f>
        <v>3128.7605294825516</v>
      </c>
      <c r="Q158" s="218"/>
      <c r="R158" s="218"/>
      <c r="S158" s="218"/>
    </row>
    <row r="159" spans="1:19" ht="17.25" thickBot="1">
      <c r="A159" s="162" t="s">
        <v>226</v>
      </c>
      <c r="B159" s="126">
        <v>298</v>
      </c>
      <c r="C159" s="77">
        <v>3.3670034000000001E-3</v>
      </c>
      <c r="D159" s="15">
        <v>307</v>
      </c>
      <c r="E159" s="32">
        <f t="shared" si="82"/>
        <v>3.0201342281879196E-2</v>
      </c>
      <c r="F159" s="18">
        <f>IF(ISNUMBER(D159), $B172 * E159, "")</f>
        <v>3020.1342281879197</v>
      </c>
      <c r="G159" s="31">
        <v>310</v>
      </c>
      <c r="H159" s="32">
        <f t="shared" si="83"/>
        <v>4.0268456375838924E-2</v>
      </c>
      <c r="I159" s="101">
        <f>IF(ISNUMBER(G159), $B172 * H159, "")</f>
        <v>4026.8456375838923</v>
      </c>
      <c r="J159" s="15">
        <v>311</v>
      </c>
      <c r="K159" s="32">
        <f t="shared" si="84"/>
        <v>4.3624161073825503E-2</v>
      </c>
      <c r="L159" s="18">
        <f>IF(ISNUMBER(J159), $B172 * K159, "")</f>
        <v>4362.4161073825499</v>
      </c>
      <c r="M159" s="31">
        <v>307</v>
      </c>
      <c r="N159" s="32">
        <f t="shared" si="85"/>
        <v>3.0201342281879196E-2</v>
      </c>
      <c r="O159" s="18">
        <f>IF(ISNUMBER(M159), $B172 * N159, "")</f>
        <v>3020.1342281879197</v>
      </c>
      <c r="Q159" s="218"/>
      <c r="R159" s="218"/>
      <c r="S159" s="218"/>
    </row>
    <row r="160" spans="1:19" ht="17.25" thickBot="1">
      <c r="A160" s="162" t="s">
        <v>88</v>
      </c>
      <c r="B160" s="126">
        <v>310</v>
      </c>
      <c r="C160" s="77">
        <v>3.2362459999999999E-3</v>
      </c>
      <c r="D160" s="15">
        <v>312</v>
      </c>
      <c r="E160" s="32">
        <f t="shared" si="82"/>
        <v>6.4516129032258064E-3</v>
      </c>
      <c r="F160" s="18">
        <f>IF(ISNUMBER(D160), $B172 * E160, "")</f>
        <v>645.16129032258061</v>
      </c>
      <c r="G160" s="31">
        <v>310</v>
      </c>
      <c r="H160" s="32">
        <f t="shared" si="83"/>
        <v>0</v>
      </c>
      <c r="I160" s="101">
        <f>IF(ISNUMBER(G160), $B172 * H160, "")</f>
        <v>0</v>
      </c>
      <c r="J160" s="15">
        <v>311</v>
      </c>
      <c r="K160" s="32">
        <f t="shared" si="84"/>
        <v>3.2258064516129032E-3</v>
      </c>
      <c r="L160" s="18">
        <f>IF(ISNUMBER(J160), $B172 * K160, "")</f>
        <v>322.58064516129031</v>
      </c>
      <c r="M160" s="31">
        <v>309</v>
      </c>
      <c r="N160" s="32">
        <f t="shared" si="85"/>
        <v>-3.2258064516129032E-3</v>
      </c>
      <c r="O160" s="18">
        <f>IF(ISNUMBER(M160), $B172 * N160, "")</f>
        <v>-322.58064516129031</v>
      </c>
      <c r="Q160" s="33"/>
      <c r="R160" s="33"/>
    </row>
    <row r="161" spans="1:19" ht="17.25" thickBot="1">
      <c r="A161" s="130" t="s">
        <v>246</v>
      </c>
      <c r="B161" s="131">
        <v>311</v>
      </c>
      <c r="C161" s="79">
        <v>3.2258065000000001E-3</v>
      </c>
      <c r="D161" s="24">
        <v>314</v>
      </c>
      <c r="E161" s="25">
        <f t="shared" si="82"/>
        <v>9.6463022508038593E-3</v>
      </c>
      <c r="F161" s="104">
        <f>IF(ISNUMBER(D161), $B172 * E161, "")</f>
        <v>964.63022508038591</v>
      </c>
      <c r="G161" s="102">
        <v>314</v>
      </c>
      <c r="H161" s="25">
        <f t="shared" si="83"/>
        <v>9.6463022508038593E-3</v>
      </c>
      <c r="I161" s="103">
        <f>IF(ISNUMBER(G161), $B172 * H161, "")</f>
        <v>964.63022508038591</v>
      </c>
      <c r="J161" s="24">
        <v>316</v>
      </c>
      <c r="K161" s="25">
        <f t="shared" si="84"/>
        <v>1.607717041800643E-2</v>
      </c>
      <c r="L161" s="104">
        <f>IF(ISNUMBER(J161), $B172 * K161, "")</f>
        <v>1607.7170418006431</v>
      </c>
      <c r="M161" s="102">
        <v>315</v>
      </c>
      <c r="N161" s="25">
        <f t="shared" si="85"/>
        <v>1.2861736334405145E-2</v>
      </c>
      <c r="O161" s="104">
        <f>IF(ISNUMBER(M161), $B172 * N161, "")</f>
        <v>1286.1736334405145</v>
      </c>
      <c r="Q161" s="227"/>
      <c r="R161" s="228"/>
      <c r="S161" s="229"/>
    </row>
    <row r="162" spans="1:19">
      <c r="A162" s="161" t="s">
        <v>116</v>
      </c>
      <c r="B162" s="124">
        <v>376</v>
      </c>
      <c r="C162" s="76">
        <v>2.6666667000000001E-3</v>
      </c>
      <c r="D162" s="13">
        <v>377</v>
      </c>
      <c r="E162" s="14">
        <f>IF(ISNUMBER(D162), (D162 - $B162) / $B162, "")</f>
        <v>2.6595744680851063E-3</v>
      </c>
      <c r="F162" s="16">
        <f>IF(ISNUMBER(D162), $B172 * E162, "")</f>
        <v>265.95744680851061</v>
      </c>
      <c r="G162" s="29">
        <v>376</v>
      </c>
      <c r="H162" s="14">
        <f>IF(ISNUMBER(G162), (G162 - $B162) / $B162, "")</f>
        <v>0</v>
      </c>
      <c r="I162" s="100">
        <f>IF(ISNUMBER(G162), $B172 * H162, "")</f>
        <v>0</v>
      </c>
      <c r="J162" s="13">
        <v>377</v>
      </c>
      <c r="K162" s="14">
        <f>IF(ISNUMBER(J162), (J162 - $B162) / $B162, "")</f>
        <v>2.6595744680851063E-3</v>
      </c>
      <c r="L162" s="16">
        <f>IF(ISNUMBER(J162), $B172 * K162, "")</f>
        <v>265.95744680851061</v>
      </c>
      <c r="M162" s="29">
        <v>374</v>
      </c>
      <c r="N162" s="14">
        <f>IF(ISNUMBER(M162), (M162 - $B162) / $B162, "")</f>
        <v>-5.3191489361702126E-3</v>
      </c>
      <c r="O162" s="16">
        <f>IF(ISNUMBER(M162), $B172 * N162, "")</f>
        <v>-531.91489361702122</v>
      </c>
      <c r="Q162" s="230"/>
      <c r="R162" s="231"/>
      <c r="S162" s="232"/>
    </row>
    <row r="163" spans="1:19" ht="17.25" thickBot="1">
      <c r="A163" s="162" t="s">
        <v>51</v>
      </c>
      <c r="B163" s="126">
        <v>443</v>
      </c>
      <c r="C163" s="77">
        <v>0</v>
      </c>
      <c r="D163" s="15">
        <v>444</v>
      </c>
      <c r="E163" s="32">
        <f t="shared" ref="E163:E166" si="86">IF(ISNUMBER(D163), (D163 - $B163) / $B163, "")</f>
        <v>2.257336343115124E-3</v>
      </c>
      <c r="F163" s="18">
        <f>IF(ISNUMBER(D163), $B172 * E163, "")</f>
        <v>225.73363431151239</v>
      </c>
      <c r="G163" s="31">
        <v>444</v>
      </c>
      <c r="H163" s="32">
        <f t="shared" ref="H163:H166" si="87">IF(ISNUMBER(G163), (G163 - $B163) / $B163, "")</f>
        <v>2.257336343115124E-3</v>
      </c>
      <c r="I163" s="101">
        <f>IF(ISNUMBER(G163), $B172 * H163, "")</f>
        <v>225.73363431151239</v>
      </c>
      <c r="J163" s="15">
        <v>444</v>
      </c>
      <c r="K163" s="32">
        <f t="shared" ref="K163:K166" si="88">IF(ISNUMBER(J163), (J163 - $B163) / $B163, "")</f>
        <v>2.257336343115124E-3</v>
      </c>
      <c r="L163" s="18">
        <f>IF(ISNUMBER(J163), $B172 * K163, "")</f>
        <v>225.73363431151239</v>
      </c>
      <c r="M163" s="31">
        <v>441</v>
      </c>
      <c r="N163" s="32">
        <f t="shared" ref="N163:N166" si="89">IF(ISNUMBER(M163), (M163 - $B163) / $B163, "")</f>
        <v>-4.5146726862302479E-3</v>
      </c>
      <c r="O163" s="18">
        <f>IF(ISNUMBER(M163), $B172 * N163, "")</f>
        <v>-451.46726862302478</v>
      </c>
      <c r="Q163" s="233"/>
      <c r="R163" s="234"/>
      <c r="S163" s="235"/>
    </row>
    <row r="164" spans="1:19" ht="17.25" thickBot="1">
      <c r="A164" s="162" t="s">
        <v>270</v>
      </c>
      <c r="B164" s="126">
        <v>357</v>
      </c>
      <c r="C164" s="77">
        <v>0</v>
      </c>
      <c r="D164" s="15">
        <v>362</v>
      </c>
      <c r="E164" s="32">
        <f t="shared" si="86"/>
        <v>1.4005602240896359E-2</v>
      </c>
      <c r="F164" s="18">
        <f>IF(ISNUMBER(D164), $B172 * E164, "")</f>
        <v>1400.560224089636</v>
      </c>
      <c r="G164" s="31">
        <v>364</v>
      </c>
      <c r="H164" s="32">
        <f t="shared" si="87"/>
        <v>1.9607843137254902E-2</v>
      </c>
      <c r="I164" s="101">
        <f>IF(ISNUMBER(G164), $B172 * H164, "")</f>
        <v>1960.7843137254902</v>
      </c>
      <c r="J164" s="15">
        <v>364</v>
      </c>
      <c r="K164" s="32">
        <f t="shared" si="88"/>
        <v>1.9607843137254902E-2</v>
      </c>
      <c r="L164" s="18">
        <f>IF(ISNUMBER(J164), $B172 * K164, "")</f>
        <v>1960.7843137254902</v>
      </c>
      <c r="M164" s="31">
        <v>362</v>
      </c>
      <c r="N164" s="32">
        <f t="shared" si="89"/>
        <v>1.4005602240896359E-2</v>
      </c>
      <c r="O164" s="18">
        <f>IF(ISNUMBER(M164), $B172 * N164, "")</f>
        <v>1400.560224089636</v>
      </c>
      <c r="Q164" s="218"/>
      <c r="R164" s="218"/>
      <c r="S164" s="218"/>
    </row>
    <row r="165" spans="1:19" ht="17.25" thickBot="1">
      <c r="A165" s="162" t="s">
        <v>80</v>
      </c>
      <c r="B165" s="126">
        <v>883</v>
      </c>
      <c r="C165" s="77">
        <v>-4.5095828999999997E-3</v>
      </c>
      <c r="D165" s="15">
        <v>890</v>
      </c>
      <c r="E165" s="32">
        <f t="shared" si="86"/>
        <v>7.9275198187995465E-3</v>
      </c>
      <c r="F165" s="18">
        <f>IF(ISNUMBER(D165), $B172 * E165, "")</f>
        <v>792.75198187995466</v>
      </c>
      <c r="G165" s="31">
        <v>885</v>
      </c>
      <c r="H165" s="32">
        <f t="shared" si="87"/>
        <v>2.2650056625141564E-3</v>
      </c>
      <c r="I165" s="101">
        <f>IF(ISNUMBER(G165), $B172 * H165, "")</f>
        <v>226.50056625141565</v>
      </c>
      <c r="J165" s="15">
        <v>884</v>
      </c>
      <c r="K165" s="32">
        <f t="shared" si="88"/>
        <v>1.1325028312570782E-3</v>
      </c>
      <c r="L165" s="18">
        <f>IF(ISNUMBER(J165), $B172 * K165, "")</f>
        <v>113.25028312570782</v>
      </c>
      <c r="M165" s="31">
        <v>893</v>
      </c>
      <c r="N165" s="32">
        <f t="shared" si="89"/>
        <v>1.1325028312570781E-2</v>
      </c>
      <c r="O165" s="18">
        <f>IF(ISNUMBER(M165), $B172 * N165, "")</f>
        <v>1132.502831257078</v>
      </c>
      <c r="Q165" s="213"/>
      <c r="R165" s="213"/>
      <c r="S165" s="213"/>
    </row>
    <row r="166" spans="1:19" ht="17.25" thickBot="1">
      <c r="A166" s="163" t="s">
        <v>132</v>
      </c>
      <c r="B166" s="128">
        <v>154</v>
      </c>
      <c r="C166" s="78">
        <v>-6.4516128999999997E-3</v>
      </c>
      <c r="D166" s="20">
        <v>151</v>
      </c>
      <c r="E166" s="21">
        <f t="shared" si="86"/>
        <v>-1.948051948051948E-2</v>
      </c>
      <c r="F166" s="22">
        <f>IF(ISNUMBER(D166), $B172 * E166, "")</f>
        <v>-1948.0519480519481</v>
      </c>
      <c r="G166" s="30">
        <v>149</v>
      </c>
      <c r="H166" s="21">
        <f t="shared" si="87"/>
        <v>-3.2467532467532464E-2</v>
      </c>
      <c r="I166" s="105">
        <f>IF(ISNUMBER(G166), $B172 * H166, "")</f>
        <v>-3246.7532467532465</v>
      </c>
      <c r="J166" s="20">
        <v>151</v>
      </c>
      <c r="K166" s="21">
        <f t="shared" si="88"/>
        <v>-1.948051948051948E-2</v>
      </c>
      <c r="L166" s="22">
        <f>IF(ISNUMBER(J166), $B172 * K166, "")</f>
        <v>-1948.0519480519481</v>
      </c>
      <c r="M166" s="30">
        <v>151</v>
      </c>
      <c r="N166" s="21">
        <f t="shared" si="89"/>
        <v>-1.948051948051948E-2</v>
      </c>
      <c r="O166" s="22">
        <f>IF(ISNUMBER(M166), $B172 * N166, "")</f>
        <v>-1948.0519480519481</v>
      </c>
      <c r="Q166" s="213"/>
      <c r="R166" s="213"/>
      <c r="S166" s="213"/>
    </row>
    <row r="167" spans="1:19" ht="17.25" thickBot="1">
      <c r="A167" s="162" t="s">
        <v>61</v>
      </c>
      <c r="B167" s="129">
        <v>954</v>
      </c>
      <c r="C167" s="80">
        <v>-1.0373444000000001E-2</v>
      </c>
      <c r="D167" s="106">
        <v>948</v>
      </c>
      <c r="E167" s="107">
        <f>IF(ISNUMBER(D167), (D167 - $B167) / $B167, "")</f>
        <v>-6.2893081761006293E-3</v>
      </c>
      <c r="F167" s="108">
        <f>IF(ISNUMBER(D167), $B172 * E167, "")</f>
        <v>-628.93081761006295</v>
      </c>
      <c r="G167" s="109">
        <v>945</v>
      </c>
      <c r="H167" s="107">
        <f>IF(ISNUMBER(G167), (G167 - $B167) / $B167, "")</f>
        <v>-9.433962264150943E-3</v>
      </c>
      <c r="I167" s="110">
        <f>IF(ISNUMBER(G167), $B172 * H167, "")</f>
        <v>-943.39622641509425</v>
      </c>
      <c r="J167" s="106">
        <v>947</v>
      </c>
      <c r="K167" s="107">
        <f>IF(ISNUMBER(J167), (J167 - $B167) / $B167, "")</f>
        <v>-7.3375262054507341E-3</v>
      </c>
      <c r="L167" s="108">
        <f>IF(ISNUMBER(J167), $B172 * K167, "")</f>
        <v>-733.75262054507346</v>
      </c>
      <c r="M167" s="109">
        <v>941</v>
      </c>
      <c r="N167" s="107">
        <f>IF(ISNUMBER(M167), (M167 - $B167) / $B167, "")</f>
        <v>-1.3626834381551363E-2</v>
      </c>
      <c r="O167" s="108">
        <f>IF(ISNUMBER(M167), $B172 * N167, "")</f>
        <v>-1362.6834381551362</v>
      </c>
      <c r="Q167" s="218"/>
      <c r="R167" s="218"/>
      <c r="S167" s="218"/>
    </row>
    <row r="168" spans="1:19" ht="17.25" thickBot="1">
      <c r="A168" s="162" t="s">
        <v>296</v>
      </c>
      <c r="B168" s="126">
        <v>433</v>
      </c>
      <c r="C168" s="77">
        <v>-1.3667426E-2</v>
      </c>
      <c r="D168" s="15">
        <v>431</v>
      </c>
      <c r="E168" s="32">
        <f t="shared" ref="E168:E171" si="90">IF(ISNUMBER(D168), (D168 - $B168) / $B168, "")</f>
        <v>-4.6189376443418013E-3</v>
      </c>
      <c r="F168" s="18">
        <f>IF(ISNUMBER(D168), $B172 * E168, "")</f>
        <v>-461.89376443418013</v>
      </c>
      <c r="G168" s="31">
        <v>430</v>
      </c>
      <c r="H168" s="32">
        <f t="shared" ref="H168:H171" si="91">IF(ISNUMBER(G168), (G168 - $B168) / $B168, "")</f>
        <v>-6.9284064665127024E-3</v>
      </c>
      <c r="I168" s="101">
        <f>IF(ISNUMBER(G168), $B172 * H168, "")</f>
        <v>-692.84064665127028</v>
      </c>
      <c r="J168" s="15">
        <v>428</v>
      </c>
      <c r="K168" s="32">
        <f t="shared" ref="K168:K171" si="92">IF(ISNUMBER(J168), (J168 - $B168) / $B168, "")</f>
        <v>-1.1547344110854504E-2</v>
      </c>
      <c r="L168" s="18">
        <f>IF(ISNUMBER(J168), $B172 * K168, "")</f>
        <v>-1154.7344110854503</v>
      </c>
      <c r="M168" s="31">
        <v>421</v>
      </c>
      <c r="N168" s="32">
        <f t="shared" ref="N168:N171" si="93">IF(ISNUMBER(M168), (M168 - $B168) / $B168, "")</f>
        <v>-2.771362586605081E-2</v>
      </c>
      <c r="O168" s="18">
        <f>IF(ISNUMBER(M168), $B172 * N168, "")</f>
        <v>-2771.3625866050811</v>
      </c>
      <c r="Q168" s="218"/>
      <c r="R168" s="218"/>
      <c r="S168" s="218"/>
    </row>
    <row r="169" spans="1:19" ht="17.25" thickBot="1">
      <c r="A169" s="162" t="s">
        <v>134</v>
      </c>
      <c r="B169" s="126">
        <v>101</v>
      </c>
      <c r="C169" s="77">
        <v>-1.9417475699999999E-2</v>
      </c>
      <c r="D169" s="15">
        <v>100</v>
      </c>
      <c r="E169" s="32">
        <f t="shared" si="90"/>
        <v>-9.9009900990099011E-3</v>
      </c>
      <c r="F169" s="18">
        <f>IF(ISNUMBER(D169), $B172 * E169, "")</f>
        <v>-990.09900990099015</v>
      </c>
      <c r="G169" s="31">
        <v>99.6</v>
      </c>
      <c r="H169" s="32">
        <f t="shared" si="91"/>
        <v>-1.3861386138613917E-2</v>
      </c>
      <c r="I169" s="101">
        <f>IF(ISNUMBER(G169), $B172 * H169, "")</f>
        <v>-1386.1386138613916</v>
      </c>
      <c r="J169" s="15">
        <v>99.9</v>
      </c>
      <c r="K169" s="32">
        <f t="shared" si="92"/>
        <v>-1.0891089108910835E-2</v>
      </c>
      <c r="L169" s="18">
        <f>IF(ISNUMBER(J169), $B172 * K169, "")</f>
        <v>-1089.1089108910835</v>
      </c>
      <c r="M169" s="31">
        <v>99.7</v>
      </c>
      <c r="N169" s="32">
        <f t="shared" si="93"/>
        <v>-1.2871287128712843E-2</v>
      </c>
      <c r="O169" s="18">
        <f>IF(ISNUMBER(M169), $B172 * N169, "")</f>
        <v>-1287.1287128712843</v>
      </c>
      <c r="Q169" s="218"/>
      <c r="R169" s="218"/>
      <c r="S169" s="218"/>
    </row>
    <row r="170" spans="1:19">
      <c r="A170" s="162" t="s">
        <v>112</v>
      </c>
      <c r="B170" s="126">
        <v>191</v>
      </c>
      <c r="C170" s="77">
        <v>-4.9751243799999997E-2</v>
      </c>
      <c r="D170" s="15">
        <v>202</v>
      </c>
      <c r="E170" s="32">
        <f t="shared" si="90"/>
        <v>5.7591623036649213E-2</v>
      </c>
      <c r="F170" s="18">
        <f>IF(ISNUMBER(D170), $B172 * E170, "")</f>
        <v>5759.1623036649216</v>
      </c>
      <c r="G170" s="31">
        <v>200</v>
      </c>
      <c r="H170" s="32">
        <f t="shared" si="91"/>
        <v>4.712041884816754E-2</v>
      </c>
      <c r="I170" s="101">
        <f>IF(ISNUMBER(G170), $B172 * H170, "")</f>
        <v>4712.0418848167537</v>
      </c>
      <c r="J170" s="15">
        <v>201</v>
      </c>
      <c r="K170" s="32">
        <f t="shared" si="92"/>
        <v>5.2356020942408377E-2</v>
      </c>
      <c r="L170" s="18">
        <f>IF(ISNUMBER(J170), $B172 * K170, "")</f>
        <v>5235.6020942408377</v>
      </c>
      <c r="M170" s="31">
        <v>202</v>
      </c>
      <c r="N170" s="32">
        <f t="shared" si="93"/>
        <v>5.7591623036649213E-2</v>
      </c>
      <c r="O170" s="18">
        <f>IF(ISNUMBER(M170), $B172 * N170, "")</f>
        <v>5759.1623036649216</v>
      </c>
      <c r="Q170" s="240"/>
      <c r="R170" s="241"/>
      <c r="S170" s="242"/>
    </row>
    <row r="171" spans="1:19" ht="17.25" thickBot="1">
      <c r="A171" s="130" t="s">
        <v>142</v>
      </c>
      <c r="B171" s="131">
        <v>491</v>
      </c>
      <c r="C171" s="79">
        <v>-5.0290135399999998E-2</v>
      </c>
      <c r="D171" s="24">
        <v>511</v>
      </c>
      <c r="E171" s="25">
        <f t="shared" si="90"/>
        <v>4.0733197556008148E-2</v>
      </c>
      <c r="F171" s="104">
        <f>IF(ISNUMBER(D171), $B172 * E171, "")</f>
        <v>4073.3197556008149</v>
      </c>
      <c r="G171" s="102">
        <v>532</v>
      </c>
      <c r="H171" s="25">
        <f t="shared" si="91"/>
        <v>8.3503054989816694E-2</v>
      </c>
      <c r="I171" s="103">
        <f>IF(ISNUMBER(G171), $B172 * H171, "")</f>
        <v>8350.3054989816701</v>
      </c>
      <c r="J171" s="24">
        <v>528</v>
      </c>
      <c r="K171" s="25">
        <f t="shared" si="92"/>
        <v>7.5356415478615074E-2</v>
      </c>
      <c r="L171" s="104">
        <f>IF(ISNUMBER(J171), $B172 * K171, "")</f>
        <v>7535.6415478615072</v>
      </c>
      <c r="M171" s="102">
        <v>567</v>
      </c>
      <c r="N171" s="25">
        <f t="shared" si="93"/>
        <v>0.15478615071283094</v>
      </c>
      <c r="O171" s="104">
        <f>IF(ISNUMBER(M171), $B172 * N171, "")</f>
        <v>15478.615071283095</v>
      </c>
      <c r="Q171" s="243"/>
      <c r="R171" s="244"/>
      <c r="S171" s="245"/>
    </row>
    <row r="172" spans="1:19" ht="17.25" thickBot="1">
      <c r="A172" s="132" t="s">
        <v>300</v>
      </c>
      <c r="B172" s="251">
        <f>$B$37</f>
        <v>100000</v>
      </c>
      <c r="C172" s="252"/>
      <c r="D172" s="26" t="s">
        <v>301</v>
      </c>
      <c r="E172" s="27">
        <f>IF(COUNT(E152:E171), SUM(E152:E171) / COUNT(E152:E171), 0)</f>
        <v>1.285998533123384E-2</v>
      </c>
      <c r="F172" s="28">
        <f>SUM(F152:F171)</f>
        <v>25719.970662467687</v>
      </c>
      <c r="G172" s="26" t="s">
        <v>301</v>
      </c>
      <c r="H172" s="27">
        <f>IF(COUNT(H152:H171), SUM(H152:H171) / COUNT(H152:H171), 0)</f>
        <v>1.4447774025796802E-2</v>
      </c>
      <c r="I172" s="28">
        <f>SUM(I152:I171)</f>
        <v>28895.5480515936</v>
      </c>
      <c r="J172" s="26" t="s">
        <v>301</v>
      </c>
      <c r="K172" s="27">
        <f>IF(COUNT(K152:K171), SUM(K152:K171) / COUNT(K152:K171), 0)</f>
        <v>1.6291880584107417E-2</v>
      </c>
      <c r="L172" s="28">
        <f>SUM(L152:L171)</f>
        <v>32583.761168214842</v>
      </c>
      <c r="M172" s="26" t="s">
        <v>301</v>
      </c>
      <c r="N172" s="27">
        <f>IF(COUNT(N152:N171), SUM(N152:N171) / COUNT(N152:N171), 0)</f>
        <v>1.3865489604063355E-2</v>
      </c>
      <c r="O172" s="28">
        <f>SUM(O152:O171)</f>
        <v>27730.979208126711</v>
      </c>
      <c r="Q172" s="246"/>
      <c r="R172" s="247"/>
      <c r="S172" s="248"/>
    </row>
    <row r="174" spans="1:19" ht="17.25" thickBot="1"/>
    <row r="175" spans="1:19" ht="17.25" thickBot="1">
      <c r="A175" s="192" t="s">
        <v>285</v>
      </c>
      <c r="B175" s="193"/>
      <c r="C175" s="193"/>
      <c r="D175" s="193"/>
      <c r="E175" s="193"/>
      <c r="F175" s="193"/>
      <c r="G175" s="193"/>
      <c r="H175" s="193"/>
      <c r="I175" s="193"/>
      <c r="J175" s="193"/>
      <c r="K175" s="193"/>
      <c r="L175" s="193"/>
      <c r="M175" s="193"/>
      <c r="N175" s="193"/>
      <c r="O175" s="194"/>
      <c r="Q175" s="213"/>
      <c r="R175" s="213"/>
      <c r="S175" s="213"/>
    </row>
    <row r="176" spans="1:19" ht="17.25" thickBot="1">
      <c r="A176" s="184" t="s">
        <v>297</v>
      </c>
      <c r="B176" s="192" t="s">
        <v>49</v>
      </c>
      <c r="C176" s="194"/>
      <c r="D176" s="192" t="s">
        <v>58</v>
      </c>
      <c r="E176" s="193"/>
      <c r="F176" s="194"/>
      <c r="G176" s="219">
        <f>_xlfn.IFNA(VLOOKUP(B176, 현재가테이블!$B$2:$D$200, 2, FALSE), "-")</f>
        <v>38300000</v>
      </c>
      <c r="H176" s="220"/>
      <c r="I176" s="221"/>
      <c r="J176" s="192" t="s">
        <v>59</v>
      </c>
      <c r="K176" s="193"/>
      <c r="L176" s="194"/>
      <c r="M176" s="222">
        <f>_xlfn.IFNA(VLOOKUP(B176, 현재가테이블!$B$2:$D$200, 3, FALSE), "-")</f>
        <v>-1.9557649E-2</v>
      </c>
      <c r="N176" s="223"/>
      <c r="O176" s="224"/>
      <c r="Q176" s="213"/>
      <c r="R176" s="213"/>
      <c r="S176" s="213"/>
    </row>
    <row r="177" spans="1:19" ht="17.25" thickBot="1">
      <c r="A177" s="253" t="s">
        <v>55</v>
      </c>
      <c r="B177" s="255" t="str">
        <f>TEXT($G$1, "[$-ko-KR]yyyy-mm-dd(ddd) ") &amp; "오전 00:00"</f>
        <v>2021-06-07(월) 오전 00:00</v>
      </c>
      <c r="C177" s="256"/>
      <c r="D177" s="215" t="str">
        <f>TEXT($G$1, "[$-ko-KR]yyyy-mm-dd(ddd) ") &amp; "오후 14:00"</f>
        <v>2021-06-07(월) 오후 14:00</v>
      </c>
      <c r="E177" s="216"/>
      <c r="F177" s="217"/>
      <c r="G177" s="215" t="str">
        <f>TEXT($G$1, "[$-ko-KR]yyyy-mm-dd(ddd) ") &amp; "오후 19:00"</f>
        <v>2021-06-07(월) 오후 19:00</v>
      </c>
      <c r="H177" s="216"/>
      <c r="I177" s="217"/>
      <c r="J177" s="215" t="str">
        <f>TEXT($G$1, "[$-ko-KR]yyyy-mm-dd(ddd) ") &amp; "오후 21:00"</f>
        <v>2021-06-07(월) 오후 21:00</v>
      </c>
      <c r="K177" s="216"/>
      <c r="L177" s="217"/>
      <c r="M177" s="215" t="str">
        <f>TEXT($G$1+1, "[$-ko-KR]yyyy-mm-dd(ddd) ") &amp; "오전 00:00"</f>
        <v>2021-06-08(화) 오전 00:00</v>
      </c>
      <c r="N177" s="216"/>
      <c r="O177" s="217"/>
      <c r="Q177" s="213"/>
      <c r="R177" s="213"/>
      <c r="S177" s="213"/>
    </row>
    <row r="178" spans="1:19" ht="17.25" thickBot="1">
      <c r="A178" s="25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5" t="s">
        <v>58</v>
      </c>
      <c r="H178" s="186" t="s">
        <v>298</v>
      </c>
      <c r="I178" s="18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8"/>
      <c r="R178" s="218"/>
      <c r="S178" s="218"/>
    </row>
    <row r="179" spans="1:19" ht="17.25" thickBot="1">
      <c r="A179" s="161" t="s">
        <v>138</v>
      </c>
      <c r="B179" s="124">
        <v>28050</v>
      </c>
      <c r="C179" s="76">
        <v>-1.4239942999999999E-3</v>
      </c>
      <c r="D179" s="13">
        <v>28630</v>
      </c>
      <c r="E179" s="14">
        <f>IF(ISNUMBER(D179), (D179 - $B179) / $B179, "")</f>
        <v>2.0677361853832441E-2</v>
      </c>
      <c r="F179" s="16">
        <f>IF(ISNUMBER(D179), $B199 * E179, "")</f>
        <v>2067.736185383244</v>
      </c>
      <c r="G179" s="29">
        <v>28380</v>
      </c>
      <c r="H179" s="14">
        <f>IF(ISNUMBER(G179), (G179 - $B179) / $B179, "")</f>
        <v>1.1764705882352941E-2</v>
      </c>
      <c r="I179" s="100">
        <f>IF(ISNUMBER(G179), $B199 * H179, "")</f>
        <v>1176.4705882352941</v>
      </c>
      <c r="J179" s="13">
        <v>28580</v>
      </c>
      <c r="K179" s="14">
        <f>IF(ISNUMBER(J179), (J179 - $B179) / $B179, "")</f>
        <v>1.8894830659536541E-2</v>
      </c>
      <c r="L179" s="16">
        <f>IF(ISNUMBER(J179), $B199 * K179, "")</f>
        <v>1889.4830659536542</v>
      </c>
      <c r="M179" s="29">
        <v>28500</v>
      </c>
      <c r="N179" s="14">
        <f>IF(ISNUMBER(M179), (M179 - $B179) / $B179, "")</f>
        <v>1.6042780748663103E-2</v>
      </c>
      <c r="O179" s="16">
        <f>IF(ISNUMBER(M179), $B199 * N179, "")</f>
        <v>1604.2780748663104</v>
      </c>
      <c r="Q179" s="213"/>
      <c r="R179" s="213"/>
      <c r="S179" s="213"/>
    </row>
    <row r="180" spans="1:19" ht="17.25" thickBot="1">
      <c r="A180" s="162" t="s">
        <v>86</v>
      </c>
      <c r="B180" s="126">
        <v>6810</v>
      </c>
      <c r="C180" s="77">
        <v>-1.4662757E-3</v>
      </c>
      <c r="D180" s="15">
        <v>6800</v>
      </c>
      <c r="E180" s="32">
        <f t="shared" ref="E180:E183" si="94">IF(ISNUMBER(D180), (D180 - $B180) / $B180, "")</f>
        <v>-1.4684287812041115E-3</v>
      </c>
      <c r="F180" s="18">
        <f>IF(ISNUMBER(D180), $B199 * E180, "")</f>
        <v>-146.84287812041114</v>
      </c>
      <c r="G180" s="31">
        <v>6765</v>
      </c>
      <c r="H180" s="32">
        <f t="shared" ref="H180:H183" si="95">IF(ISNUMBER(G180), (G180 - $B180) / $B180, "")</f>
        <v>-6.6079295154185024E-3</v>
      </c>
      <c r="I180" s="101">
        <f>IF(ISNUMBER(G180), $B199 * H180, "")</f>
        <v>-660.79295154185024</v>
      </c>
      <c r="J180" s="15">
        <v>6770</v>
      </c>
      <c r="K180" s="32">
        <f t="shared" ref="K180:K183" si="96">IF(ISNUMBER(J180), (J180 - $B180) / $B180, "")</f>
        <v>-5.8737151248164461E-3</v>
      </c>
      <c r="L180" s="18">
        <f>IF(ISNUMBER(J180), $B199 * K180, "")</f>
        <v>-587.37151248164457</v>
      </c>
      <c r="M180" s="31">
        <v>6740</v>
      </c>
      <c r="N180" s="32">
        <f t="shared" ref="N180:N183" si="97">IF(ISNUMBER(M180), (M180 - $B180) / $B180, "")</f>
        <v>-1.0279001468428781E-2</v>
      </c>
      <c r="O180" s="18">
        <f>IF(ISNUMBER(M180), $B199 * N180, "")</f>
        <v>-1027.900146842878</v>
      </c>
      <c r="Q180" s="213"/>
      <c r="R180" s="213"/>
      <c r="S180" s="213"/>
    </row>
    <row r="181" spans="1:19" ht="17.25" thickBot="1">
      <c r="A181" s="162" t="s">
        <v>76</v>
      </c>
      <c r="B181" s="126">
        <v>32040</v>
      </c>
      <c r="C181" s="77">
        <v>-1.5581178E-3</v>
      </c>
      <c r="D181" s="15">
        <v>32470</v>
      </c>
      <c r="E181" s="32">
        <f t="shared" si="94"/>
        <v>1.3420724094881398E-2</v>
      </c>
      <c r="F181" s="18">
        <f>IF(ISNUMBER(D181), $B199 * E181, "")</f>
        <v>1342.0724094881398</v>
      </c>
      <c r="G181" s="31">
        <v>32230</v>
      </c>
      <c r="H181" s="32">
        <f t="shared" si="95"/>
        <v>5.9300873907615478E-3</v>
      </c>
      <c r="I181" s="101">
        <f>IF(ISNUMBER(G181), $B199 * H181, "")</f>
        <v>593.00873907615482</v>
      </c>
      <c r="J181" s="15">
        <v>32530</v>
      </c>
      <c r="K181" s="32">
        <f t="shared" si="96"/>
        <v>1.529338327091136E-2</v>
      </c>
      <c r="L181" s="18">
        <f>IF(ISNUMBER(J181), $B199 * K181, "")</f>
        <v>1529.3383270911361</v>
      </c>
      <c r="M181" s="31">
        <v>32250</v>
      </c>
      <c r="N181" s="32">
        <f t="shared" si="97"/>
        <v>6.5543071161048693E-3</v>
      </c>
      <c r="O181" s="18">
        <f>IF(ISNUMBER(M181), $B199 * N181, "")</f>
        <v>655.43071161048692</v>
      </c>
      <c r="Q181" s="218"/>
      <c r="R181" s="218"/>
      <c r="S181" s="218"/>
    </row>
    <row r="182" spans="1:19" ht="17.25" thickBot="1">
      <c r="A182" s="162" t="s">
        <v>160</v>
      </c>
      <c r="B182" s="126">
        <v>1710</v>
      </c>
      <c r="C182" s="77">
        <v>-2.9154519000000002E-3</v>
      </c>
      <c r="D182" s="15">
        <v>1720</v>
      </c>
      <c r="E182" s="32">
        <f t="shared" si="94"/>
        <v>5.8479532163742687E-3</v>
      </c>
      <c r="F182" s="18">
        <f>IF(ISNUMBER(D182), $B199 * E182, "")</f>
        <v>584.79532163742692</v>
      </c>
      <c r="G182" s="31">
        <v>1710</v>
      </c>
      <c r="H182" s="32">
        <f t="shared" si="95"/>
        <v>0</v>
      </c>
      <c r="I182" s="101">
        <f>IF(ISNUMBER(G182), $B199 * H182, "")</f>
        <v>0</v>
      </c>
      <c r="J182" s="15">
        <v>1715</v>
      </c>
      <c r="K182" s="32">
        <f t="shared" si="96"/>
        <v>2.9239766081871343E-3</v>
      </c>
      <c r="L182" s="18">
        <f>IF(ISNUMBER(J182), $B199 * K182, "")</f>
        <v>292.39766081871346</v>
      </c>
      <c r="M182" s="31">
        <v>1715</v>
      </c>
      <c r="N182" s="32">
        <f t="shared" si="97"/>
        <v>2.9239766081871343E-3</v>
      </c>
      <c r="O182" s="18">
        <f>IF(ISNUMBER(M182), $B199 * N182, "")</f>
        <v>292.39766081871346</v>
      </c>
      <c r="Q182" s="218"/>
      <c r="R182" s="218"/>
      <c r="S182" s="218"/>
    </row>
    <row r="183" spans="1:19" ht="17.25" thickBot="1">
      <c r="A183" s="163" t="s">
        <v>188</v>
      </c>
      <c r="B183" s="128">
        <v>12840</v>
      </c>
      <c r="C183" s="78">
        <v>-3.8789760000000001E-3</v>
      </c>
      <c r="D183" s="20">
        <v>12830</v>
      </c>
      <c r="E183" s="21">
        <f t="shared" si="94"/>
        <v>-7.7881619937694702E-4</v>
      </c>
      <c r="F183" s="22">
        <f>IF(ISNUMBER(D183), $B199 * E183, "")</f>
        <v>-77.881619937694708</v>
      </c>
      <c r="G183" s="30">
        <v>12730</v>
      </c>
      <c r="H183" s="21">
        <f t="shared" si="95"/>
        <v>-8.5669781931464167E-3</v>
      </c>
      <c r="I183" s="105">
        <f>IF(ISNUMBER(G183), $B199 * H183, "")</f>
        <v>-856.69781931464172</v>
      </c>
      <c r="J183" s="20">
        <v>12740</v>
      </c>
      <c r="K183" s="21">
        <f t="shared" si="96"/>
        <v>-7.7881619937694704E-3</v>
      </c>
      <c r="L183" s="22">
        <f>IF(ISNUMBER(J183), $B199 * K183, "")</f>
        <v>-778.816199376947</v>
      </c>
      <c r="M183" s="30">
        <v>12660</v>
      </c>
      <c r="N183" s="21">
        <f t="shared" si="97"/>
        <v>-1.4018691588785047E-2</v>
      </c>
      <c r="O183" s="22">
        <f>IF(ISNUMBER(M183), $B199 * N183, "")</f>
        <v>-1401.8691588785045</v>
      </c>
      <c r="Q183" s="218"/>
      <c r="R183" s="218"/>
      <c r="S183" s="218"/>
    </row>
    <row r="184" spans="1:19" ht="17.25" thickBot="1">
      <c r="A184" s="162" t="s">
        <v>80</v>
      </c>
      <c r="B184" s="129">
        <v>883</v>
      </c>
      <c r="C184" s="80">
        <v>-4.5095828999999997E-3</v>
      </c>
      <c r="D184" s="106">
        <v>890</v>
      </c>
      <c r="E184" s="107">
        <f>IF(ISNUMBER(D184), (D184 - $B184) / $B184, "")</f>
        <v>7.9275198187995465E-3</v>
      </c>
      <c r="F184" s="108">
        <f>IF(ISNUMBER(D184), $B199 * E184, "")</f>
        <v>792.75198187995466</v>
      </c>
      <c r="G184" s="109">
        <v>885</v>
      </c>
      <c r="H184" s="107">
        <f>IF(ISNUMBER(G184), (G184 - $B184) / $B184, "")</f>
        <v>2.2650056625141564E-3</v>
      </c>
      <c r="I184" s="110">
        <f>IF(ISNUMBER(G184), $B199 * H184, "")</f>
        <v>226.50056625141565</v>
      </c>
      <c r="J184" s="106">
        <v>884</v>
      </c>
      <c r="K184" s="107">
        <f>IF(ISNUMBER(J184), (J184 - $B184) / $B184, "")</f>
        <v>1.1325028312570782E-3</v>
      </c>
      <c r="L184" s="108">
        <f>IF(ISNUMBER(J184), $B199 * K184, "")</f>
        <v>113.25028312570782</v>
      </c>
      <c r="M184" s="109">
        <v>893</v>
      </c>
      <c r="N184" s="107">
        <f>IF(ISNUMBER(M184), (M184 - $B184) / $B184, "")</f>
        <v>1.1325028312570781E-2</v>
      </c>
      <c r="O184" s="108">
        <f>IF(ISNUMBER(M184), $B199 * N184, "")</f>
        <v>1132.502831257078</v>
      </c>
      <c r="Q184" s="218"/>
      <c r="R184" s="218"/>
      <c r="S184" s="218"/>
    </row>
    <row r="185" spans="1:19" ht="17.25" thickBot="1">
      <c r="A185" s="162" t="s">
        <v>274</v>
      </c>
      <c r="B185" s="126">
        <v>9295</v>
      </c>
      <c r="C185" s="77">
        <v>-4.8179872000000002E-3</v>
      </c>
      <c r="D185" s="15">
        <v>9995</v>
      </c>
      <c r="E185" s="32">
        <f t="shared" ref="E185:E188" si="98">IF(ISNUMBER(D185), (D185 - $B185) / $B185, "")</f>
        <v>7.530930607853685E-2</v>
      </c>
      <c r="F185" s="18">
        <f>IF(ISNUMBER(D185), $B199 * E185, "")</f>
        <v>7530.9306078536847</v>
      </c>
      <c r="G185" s="31">
        <v>9635</v>
      </c>
      <c r="H185" s="32">
        <f t="shared" ref="H185:H188" si="99">IF(ISNUMBER(G185), (G185 - $B185) / $B185, "")</f>
        <v>3.6578805809575038E-2</v>
      </c>
      <c r="I185" s="101">
        <f>IF(ISNUMBER(G185), $B199 * H185, "")</f>
        <v>3657.8805809575038</v>
      </c>
      <c r="J185" s="15">
        <v>9810</v>
      </c>
      <c r="K185" s="32">
        <f t="shared" ref="K185:K188" si="100">IF(ISNUMBER(J185), (J185 - $B185) / $B185, "")</f>
        <v>5.5406132329209254E-2</v>
      </c>
      <c r="L185" s="18">
        <f>IF(ISNUMBER(J185), $B199 * K185, "")</f>
        <v>5540.6132329209258</v>
      </c>
      <c r="M185" s="31">
        <v>9615</v>
      </c>
      <c r="N185" s="32">
        <f t="shared" ref="N185:N188" si="101">IF(ISNUMBER(M185), (M185 - $B185) / $B185, "")</f>
        <v>3.4427111350188271E-2</v>
      </c>
      <c r="O185" s="18">
        <f>IF(ISNUMBER(M185), $B199 * N185, "")</f>
        <v>3442.711135018827</v>
      </c>
      <c r="Q185" s="218"/>
      <c r="R185" s="218"/>
      <c r="S185" s="218"/>
    </row>
    <row r="186" spans="1:19" ht="17.25" thickBot="1">
      <c r="A186" s="162" t="s">
        <v>132</v>
      </c>
      <c r="B186" s="126">
        <v>154</v>
      </c>
      <c r="C186" s="77">
        <v>-6.4516128999999997E-3</v>
      </c>
      <c r="D186" s="15">
        <v>151</v>
      </c>
      <c r="E186" s="32">
        <f t="shared" si="98"/>
        <v>-1.948051948051948E-2</v>
      </c>
      <c r="F186" s="18">
        <f>IF(ISNUMBER(D186), $B199 * E186, "")</f>
        <v>-1948.0519480519481</v>
      </c>
      <c r="G186" s="31">
        <v>149</v>
      </c>
      <c r="H186" s="32">
        <f t="shared" si="99"/>
        <v>-3.2467532467532464E-2</v>
      </c>
      <c r="I186" s="101">
        <f>IF(ISNUMBER(G186), $B199 * H186, "")</f>
        <v>-3246.7532467532465</v>
      </c>
      <c r="J186" s="15">
        <v>151</v>
      </c>
      <c r="K186" s="32">
        <f t="shared" si="100"/>
        <v>-1.948051948051948E-2</v>
      </c>
      <c r="L186" s="18">
        <f>IF(ISNUMBER(J186), $B199 * K186, "")</f>
        <v>-1948.0519480519481</v>
      </c>
      <c r="M186" s="31">
        <v>151</v>
      </c>
      <c r="N186" s="32">
        <f t="shared" si="101"/>
        <v>-1.948051948051948E-2</v>
      </c>
      <c r="O186" s="18">
        <f>IF(ISNUMBER(M186), $B199 * N186, "")</f>
        <v>-1948.0519480519481</v>
      </c>
      <c r="Q186" s="218"/>
      <c r="R186" s="218"/>
      <c r="S186" s="218"/>
    </row>
    <row r="187" spans="1:19" ht="17.25" thickBot="1">
      <c r="A187" s="162" t="s">
        <v>184</v>
      </c>
      <c r="B187" s="126">
        <v>1500</v>
      </c>
      <c r="C187" s="77">
        <v>-6.6225166000000004E-3</v>
      </c>
      <c r="D187" s="15">
        <v>1550</v>
      </c>
      <c r="E187" s="32">
        <f t="shared" si="98"/>
        <v>3.3333333333333333E-2</v>
      </c>
      <c r="F187" s="18">
        <f>IF(ISNUMBER(D187), $B199 * E187, "")</f>
        <v>3333.3333333333335</v>
      </c>
      <c r="G187" s="31">
        <v>1560</v>
      </c>
      <c r="H187" s="32">
        <f t="shared" si="99"/>
        <v>0.04</v>
      </c>
      <c r="I187" s="101">
        <f>IF(ISNUMBER(G187), $B199 * H187, "")</f>
        <v>4000</v>
      </c>
      <c r="J187" s="15">
        <v>1560</v>
      </c>
      <c r="K187" s="32">
        <f t="shared" si="100"/>
        <v>0.04</v>
      </c>
      <c r="L187" s="18">
        <f>IF(ISNUMBER(J187), $B199 * K187, "")</f>
        <v>4000</v>
      </c>
      <c r="M187" s="31">
        <v>1540</v>
      </c>
      <c r="N187" s="32">
        <f t="shared" si="101"/>
        <v>2.6666666666666668E-2</v>
      </c>
      <c r="O187" s="18">
        <f>IF(ISNUMBER(M187), $B199 * N187, "")</f>
        <v>2666.666666666667</v>
      </c>
      <c r="Q187" s="33"/>
      <c r="R187" s="33"/>
    </row>
    <row r="188" spans="1:19" ht="17.25" thickBot="1">
      <c r="A188" s="130" t="s">
        <v>222</v>
      </c>
      <c r="B188" s="131">
        <v>11.8</v>
      </c>
      <c r="C188" s="79">
        <v>-8.4033613000000004E-3</v>
      </c>
      <c r="D188" s="24">
        <v>12</v>
      </c>
      <c r="E188" s="25">
        <f t="shared" si="98"/>
        <v>1.6949152542372819E-2</v>
      </c>
      <c r="F188" s="104">
        <f>IF(ISNUMBER(D188), $B199 * E188, "")</f>
        <v>1694.9152542372819</v>
      </c>
      <c r="G188" s="102">
        <v>12</v>
      </c>
      <c r="H188" s="25">
        <f t="shared" si="99"/>
        <v>1.6949152542372819E-2</v>
      </c>
      <c r="I188" s="103">
        <f>IF(ISNUMBER(G188), $B199 * H188, "")</f>
        <v>1694.9152542372819</v>
      </c>
      <c r="J188" s="24">
        <v>12.1</v>
      </c>
      <c r="K188" s="25">
        <f t="shared" si="100"/>
        <v>2.542372881355923E-2</v>
      </c>
      <c r="L188" s="104">
        <f>IF(ISNUMBER(J188), $B199 * K188, "")</f>
        <v>2542.3728813559228</v>
      </c>
      <c r="M188" s="102">
        <v>12.1</v>
      </c>
      <c r="N188" s="25">
        <f t="shared" si="101"/>
        <v>2.542372881355923E-2</v>
      </c>
      <c r="O188" s="104">
        <f>IF(ISNUMBER(M188), $B199 * N188, "")</f>
        <v>2542.3728813559228</v>
      </c>
      <c r="Q188" s="227"/>
      <c r="R188" s="228"/>
      <c r="S188" s="229"/>
    </row>
    <row r="189" spans="1:19">
      <c r="A189" s="161" t="s">
        <v>61</v>
      </c>
      <c r="B189" s="124">
        <v>954</v>
      </c>
      <c r="C189" s="76">
        <v>-1.0373444000000001E-2</v>
      </c>
      <c r="D189" s="13">
        <v>948</v>
      </c>
      <c r="E189" s="14">
        <f>IF(ISNUMBER(D189), (D189 - $B189) / $B189, "")</f>
        <v>-6.2893081761006293E-3</v>
      </c>
      <c r="F189" s="16">
        <f>IF(ISNUMBER(D189), $B199 * E189, "")</f>
        <v>-628.93081761006295</v>
      </c>
      <c r="G189" s="29">
        <v>945</v>
      </c>
      <c r="H189" s="14">
        <f>IF(ISNUMBER(G189), (G189 - $B189) / $B189, "")</f>
        <v>-9.433962264150943E-3</v>
      </c>
      <c r="I189" s="100">
        <f>IF(ISNUMBER(G189), $B199 * H189, "")</f>
        <v>-943.39622641509425</v>
      </c>
      <c r="J189" s="13">
        <v>947</v>
      </c>
      <c r="K189" s="14">
        <f>IF(ISNUMBER(J189), (J189 - $B189) / $B189, "")</f>
        <v>-7.3375262054507341E-3</v>
      </c>
      <c r="L189" s="16">
        <f>IF(ISNUMBER(J189), $B199 * K189, "")</f>
        <v>-733.75262054507346</v>
      </c>
      <c r="M189" s="29">
        <v>941</v>
      </c>
      <c r="N189" s="14">
        <f>IF(ISNUMBER(M189), (M189 - $B189) / $B189, "")</f>
        <v>-1.3626834381551363E-2</v>
      </c>
      <c r="O189" s="16">
        <f>IF(ISNUMBER(M189), $B199 * N189, "")</f>
        <v>-1362.6834381551362</v>
      </c>
      <c r="Q189" s="230"/>
      <c r="R189" s="231"/>
      <c r="S189" s="232"/>
    </row>
    <row r="190" spans="1:19" ht="17.25" thickBot="1">
      <c r="A190" s="162" t="s">
        <v>100</v>
      </c>
      <c r="B190" s="126">
        <v>4.67</v>
      </c>
      <c r="C190" s="77">
        <v>-1.0593220299999999E-2</v>
      </c>
      <c r="D190" s="15">
        <v>4.67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4.6399999999999997</v>
      </c>
      <c r="H190" s="32">
        <f t="shared" ref="H190:H193" si="103">IF(ISNUMBER(G190), (G190 - $B190) / $B190, "")</f>
        <v>-6.4239828693790687E-3</v>
      </c>
      <c r="I190" s="101">
        <f>IF(ISNUMBER(G190), $B199 * H190, "")</f>
        <v>-642.39828693790685</v>
      </c>
      <c r="J190" s="15">
        <v>4.66</v>
      </c>
      <c r="K190" s="32">
        <f t="shared" ref="K190:K193" si="104">IF(ISNUMBER(J190), (J190 - $B190) / $B190, "")</f>
        <v>-2.1413276231262929E-3</v>
      </c>
      <c r="L190" s="18">
        <f>IF(ISNUMBER(J190), $B199 * K190, "")</f>
        <v>-214.1327623126293</v>
      </c>
      <c r="M190" s="31">
        <v>4.63</v>
      </c>
      <c r="N190" s="32">
        <f t="shared" ref="N190:N193" si="105">IF(ISNUMBER(M190), (M190 - $B190) / $B190, "")</f>
        <v>-8.5653104925053607E-3</v>
      </c>
      <c r="O190" s="18">
        <f>IF(ISNUMBER(M190), $B199 * N190, "")</f>
        <v>-856.53104925053606</v>
      </c>
      <c r="Q190" s="233"/>
      <c r="R190" s="234"/>
      <c r="S190" s="235"/>
    </row>
    <row r="191" spans="1:19" ht="17.25" thickBot="1">
      <c r="A191" s="162" t="s">
        <v>296</v>
      </c>
      <c r="B191" s="126">
        <v>433</v>
      </c>
      <c r="C191" s="77">
        <v>-1.3667426E-2</v>
      </c>
      <c r="D191" s="15">
        <v>431</v>
      </c>
      <c r="E191" s="32">
        <f t="shared" si="102"/>
        <v>-4.6189376443418013E-3</v>
      </c>
      <c r="F191" s="18">
        <f>IF(ISNUMBER(D191), $B199 * E191, "")</f>
        <v>-461.89376443418013</v>
      </c>
      <c r="G191" s="31">
        <v>430</v>
      </c>
      <c r="H191" s="32">
        <f t="shared" si="103"/>
        <v>-6.9284064665127024E-3</v>
      </c>
      <c r="I191" s="101">
        <f>IF(ISNUMBER(G191), $B199 * H191, "")</f>
        <v>-692.84064665127028</v>
      </c>
      <c r="J191" s="15">
        <v>428</v>
      </c>
      <c r="K191" s="32">
        <f t="shared" si="104"/>
        <v>-1.1547344110854504E-2</v>
      </c>
      <c r="L191" s="18">
        <f>IF(ISNUMBER(J191), $B199 * K191, "")</f>
        <v>-1154.7344110854503</v>
      </c>
      <c r="M191" s="31">
        <v>421</v>
      </c>
      <c r="N191" s="32">
        <f t="shared" si="105"/>
        <v>-2.771362586605081E-2</v>
      </c>
      <c r="O191" s="18">
        <f>IF(ISNUMBER(M191), $B199 * N191, "")</f>
        <v>-2771.3625866050811</v>
      </c>
      <c r="Q191" s="218"/>
      <c r="R191" s="218"/>
      <c r="S191" s="218"/>
    </row>
    <row r="192" spans="1:19" ht="17.25" thickBot="1">
      <c r="A192" s="162" t="s">
        <v>74</v>
      </c>
      <c r="B192" s="126">
        <v>17270</v>
      </c>
      <c r="C192" s="77">
        <v>-1.53933865E-2</v>
      </c>
      <c r="D192" s="15">
        <v>17800</v>
      </c>
      <c r="E192" s="32">
        <f t="shared" si="102"/>
        <v>3.0689056166763172E-2</v>
      </c>
      <c r="F192" s="18">
        <f>IF(ISNUMBER(D192), $B199 * E192, "")</f>
        <v>3068.9056166763171</v>
      </c>
      <c r="G192" s="31">
        <v>17960</v>
      </c>
      <c r="H192" s="32">
        <f t="shared" si="103"/>
        <v>3.9953676896352056E-2</v>
      </c>
      <c r="I192" s="101">
        <f>IF(ISNUMBER(G192), $B199 * H192, "")</f>
        <v>3995.3676896352054</v>
      </c>
      <c r="J192" s="15">
        <v>17850</v>
      </c>
      <c r="K192" s="32">
        <f t="shared" si="104"/>
        <v>3.35842501447597E-2</v>
      </c>
      <c r="L192" s="18">
        <f>IF(ISNUMBER(J192), $B199 * K192, "")</f>
        <v>3358.4250144759699</v>
      </c>
      <c r="M192" s="31">
        <v>17650</v>
      </c>
      <c r="N192" s="32">
        <f t="shared" si="105"/>
        <v>2.2003474232773594E-2</v>
      </c>
      <c r="O192" s="18">
        <f>IF(ISNUMBER(M192), $B199 * N192, "")</f>
        <v>2200.3474232773592</v>
      </c>
      <c r="Q192" s="213"/>
      <c r="R192" s="213"/>
      <c r="S192" s="213"/>
    </row>
    <row r="193" spans="1:19" ht="17.25" thickBot="1">
      <c r="A193" s="163" t="s">
        <v>114</v>
      </c>
      <c r="B193" s="128">
        <v>10410</v>
      </c>
      <c r="C193" s="78">
        <v>-1.7924528299999999E-2</v>
      </c>
      <c r="D193" s="20">
        <v>10480</v>
      </c>
      <c r="E193" s="21">
        <f t="shared" si="102"/>
        <v>6.7243035542747355E-3</v>
      </c>
      <c r="F193" s="22">
        <f>IF(ISNUMBER(D193), $B199 * E193, "")</f>
        <v>672.4303554274735</v>
      </c>
      <c r="G193" s="30">
        <v>10850</v>
      </c>
      <c r="H193" s="21">
        <f t="shared" si="103"/>
        <v>4.226705091258405E-2</v>
      </c>
      <c r="I193" s="105">
        <f>IF(ISNUMBER(G193), $B199 * H193, "")</f>
        <v>4226.7050912584054</v>
      </c>
      <c r="J193" s="20">
        <v>10930</v>
      </c>
      <c r="K193" s="21">
        <f t="shared" si="104"/>
        <v>4.9951969260326606E-2</v>
      </c>
      <c r="L193" s="22">
        <f>IF(ISNUMBER(J193), $B199 * K193, "")</f>
        <v>4995.1969260326605</v>
      </c>
      <c r="M193" s="30">
        <v>11090</v>
      </c>
      <c r="N193" s="21">
        <f t="shared" si="105"/>
        <v>6.5321805955811718E-2</v>
      </c>
      <c r="O193" s="22">
        <f>IF(ISNUMBER(M193), $B199 * N193, "")</f>
        <v>6532.1805955811715</v>
      </c>
      <c r="Q193" s="213"/>
      <c r="R193" s="213"/>
      <c r="S193" s="213"/>
    </row>
    <row r="194" spans="1:19" ht="17.25" thickBot="1">
      <c r="A194" s="162" t="s">
        <v>134</v>
      </c>
      <c r="B194" s="129">
        <v>101</v>
      </c>
      <c r="C194" s="80">
        <v>-1.9417475699999999E-2</v>
      </c>
      <c r="D194" s="106">
        <v>100</v>
      </c>
      <c r="E194" s="107">
        <f>IF(ISNUMBER(D194), (D194 - $B194) / $B194, "")</f>
        <v>-9.9009900990099011E-3</v>
      </c>
      <c r="F194" s="108">
        <f>IF(ISNUMBER(D194), $B199 * E194, "")</f>
        <v>-990.09900990099015</v>
      </c>
      <c r="G194" s="109">
        <v>99.6</v>
      </c>
      <c r="H194" s="107">
        <f>IF(ISNUMBER(G194), (G194 - $B194) / $B194, "")</f>
        <v>-1.3861386138613917E-2</v>
      </c>
      <c r="I194" s="110">
        <f>IF(ISNUMBER(G194), $B199 * H194, "")</f>
        <v>-1386.1386138613916</v>
      </c>
      <c r="J194" s="106">
        <v>99.9</v>
      </c>
      <c r="K194" s="107">
        <f>IF(ISNUMBER(J194), (J194 - $B194) / $B194, "")</f>
        <v>-1.0891089108910835E-2</v>
      </c>
      <c r="L194" s="108">
        <f>IF(ISNUMBER(J194), $B199 * K194, "")</f>
        <v>-1089.1089108910835</v>
      </c>
      <c r="M194" s="109">
        <v>99.7</v>
      </c>
      <c r="N194" s="107">
        <f>IF(ISNUMBER(M194), (M194 - $B194) / $B194, "")</f>
        <v>-1.2871287128712843E-2</v>
      </c>
      <c r="O194" s="108">
        <f>IF(ISNUMBER(M194), $B199 * N194, "")</f>
        <v>-1287.1287128712843</v>
      </c>
      <c r="Q194" s="218"/>
      <c r="R194" s="218"/>
      <c r="S194" s="218"/>
    </row>
    <row r="195" spans="1:19" ht="17.25" thickBot="1">
      <c r="A195" s="162" t="s">
        <v>90</v>
      </c>
      <c r="B195" s="126">
        <v>205900</v>
      </c>
      <c r="C195" s="77">
        <v>-1.9757200700000001E-2</v>
      </c>
      <c r="D195" s="15">
        <v>205350</v>
      </c>
      <c r="E195" s="32">
        <f t="shared" ref="E195:E198" si="106">IF(ISNUMBER(D195), (D195 - $B195) / $B195, "")</f>
        <v>-2.6711996114618746E-3</v>
      </c>
      <c r="F195" s="18">
        <f>IF(ISNUMBER(D195), $B199 * E195, "")</f>
        <v>-267.11996114618745</v>
      </c>
      <c r="G195" s="31">
        <v>204300</v>
      </c>
      <c r="H195" s="32">
        <f t="shared" ref="H195:H198" si="107">IF(ISNUMBER(G195), (G195 - $B195) / $B195, "")</f>
        <v>-7.7707625060709079E-3</v>
      </c>
      <c r="I195" s="101">
        <f>IF(ISNUMBER(G195), $B199 * H195, "")</f>
        <v>-777.07625060709074</v>
      </c>
      <c r="J195" s="15">
        <v>204600</v>
      </c>
      <c r="K195" s="32">
        <f t="shared" ref="K195:K198" si="108">IF(ISNUMBER(J195), (J195 - $B195) / $B195, "")</f>
        <v>-6.3137445361826127E-3</v>
      </c>
      <c r="L195" s="18">
        <f>IF(ISNUMBER(J195), $B199 * K195, "")</f>
        <v>-631.37445361826121</v>
      </c>
      <c r="M195" s="31">
        <v>204200</v>
      </c>
      <c r="N195" s="32">
        <f t="shared" ref="N195:N198" si="109">IF(ISNUMBER(M195), (M195 - $B195) / $B195, "")</f>
        <v>-8.2564351627003405E-3</v>
      </c>
      <c r="O195" s="18">
        <f>IF(ISNUMBER(M195), $B199 * N195, "")</f>
        <v>-825.64351627003407</v>
      </c>
      <c r="Q195" s="218"/>
      <c r="R195" s="218"/>
      <c r="S195" s="218"/>
    </row>
    <row r="196" spans="1:19" ht="17.25" thickBot="1">
      <c r="A196" s="162" t="s">
        <v>118</v>
      </c>
      <c r="B196" s="126">
        <v>5390</v>
      </c>
      <c r="C196" s="77">
        <v>-4.0071237799999999E-2</v>
      </c>
      <c r="D196" s="15">
        <v>5340</v>
      </c>
      <c r="E196" s="32">
        <f t="shared" si="106"/>
        <v>-9.2764378478664197E-3</v>
      </c>
      <c r="F196" s="18">
        <f>IF(ISNUMBER(D196), $B199 * E196, "")</f>
        <v>-927.64378478664196</v>
      </c>
      <c r="G196" s="31">
        <v>5415</v>
      </c>
      <c r="H196" s="32">
        <f t="shared" si="107"/>
        <v>4.6382189239332098E-3</v>
      </c>
      <c r="I196" s="101">
        <f>IF(ISNUMBER(G196), $B199 * H196, "")</f>
        <v>463.82189239332098</v>
      </c>
      <c r="J196" s="15">
        <v>5475</v>
      </c>
      <c r="K196" s="32">
        <f t="shared" si="108"/>
        <v>1.5769944341372914E-2</v>
      </c>
      <c r="L196" s="18">
        <f>IF(ISNUMBER(J196), $B199 * K196, "")</f>
        <v>1576.9944341372914</v>
      </c>
      <c r="M196" s="31">
        <v>5475</v>
      </c>
      <c r="N196" s="32">
        <f t="shared" si="109"/>
        <v>1.5769944341372914E-2</v>
      </c>
      <c r="O196" s="18">
        <f>IF(ISNUMBER(M196), $B199 * N196, "")</f>
        <v>1576.9944341372914</v>
      </c>
      <c r="Q196" s="218"/>
      <c r="R196" s="218"/>
      <c r="S196" s="218"/>
    </row>
    <row r="197" spans="1:19">
      <c r="A197" s="162" t="s">
        <v>112</v>
      </c>
      <c r="B197" s="126">
        <v>191</v>
      </c>
      <c r="C197" s="77">
        <v>-4.9751243799999997E-2</v>
      </c>
      <c r="D197" s="15">
        <v>202</v>
      </c>
      <c r="E197" s="32">
        <f t="shared" si="106"/>
        <v>5.7591623036649213E-2</v>
      </c>
      <c r="F197" s="18">
        <f>IF(ISNUMBER(D197), $B199 * E197, "")</f>
        <v>5759.1623036649216</v>
      </c>
      <c r="G197" s="31">
        <v>200</v>
      </c>
      <c r="H197" s="32">
        <f t="shared" si="107"/>
        <v>4.712041884816754E-2</v>
      </c>
      <c r="I197" s="101">
        <f>IF(ISNUMBER(G197), $B199 * H197, "")</f>
        <v>4712.0418848167537</v>
      </c>
      <c r="J197" s="15">
        <v>201</v>
      </c>
      <c r="K197" s="32">
        <f t="shared" si="108"/>
        <v>5.2356020942408377E-2</v>
      </c>
      <c r="L197" s="18">
        <f>IF(ISNUMBER(J197), $B199 * K197, "")</f>
        <v>5235.6020942408377</v>
      </c>
      <c r="M197" s="31">
        <v>202</v>
      </c>
      <c r="N197" s="32">
        <f t="shared" si="109"/>
        <v>5.7591623036649213E-2</v>
      </c>
      <c r="O197" s="18">
        <f>IF(ISNUMBER(M197), $B199 * N197, "")</f>
        <v>5759.1623036649216</v>
      </c>
      <c r="Q197" s="240"/>
      <c r="R197" s="241"/>
      <c r="S197" s="242"/>
    </row>
    <row r="198" spans="1:19" ht="17.25" thickBot="1">
      <c r="A198" s="130" t="s">
        <v>142</v>
      </c>
      <c r="B198" s="131">
        <v>491</v>
      </c>
      <c r="C198" s="79">
        <v>-5.0290135399999998E-2</v>
      </c>
      <c r="D198" s="24">
        <v>511</v>
      </c>
      <c r="E198" s="25">
        <f t="shared" si="106"/>
        <v>4.0733197556008148E-2</v>
      </c>
      <c r="F198" s="104">
        <f>IF(ISNUMBER(D198), $B199 * E198, "")</f>
        <v>4073.3197556008149</v>
      </c>
      <c r="G198" s="102">
        <v>532</v>
      </c>
      <c r="H198" s="25">
        <f t="shared" si="107"/>
        <v>8.3503054989816694E-2</v>
      </c>
      <c r="I198" s="103">
        <f>IF(ISNUMBER(G198), $B199 * H198, "")</f>
        <v>8350.3054989816701</v>
      </c>
      <c r="J198" s="24">
        <v>528</v>
      </c>
      <c r="K198" s="25">
        <f t="shared" si="108"/>
        <v>7.5356415478615074E-2</v>
      </c>
      <c r="L198" s="104">
        <f>IF(ISNUMBER(J198), $B199 * K198, "")</f>
        <v>7535.6415478615072</v>
      </c>
      <c r="M198" s="102">
        <v>567</v>
      </c>
      <c r="N198" s="25">
        <f t="shared" si="109"/>
        <v>0.15478615071283094</v>
      </c>
      <c r="O198" s="104">
        <f>IF(ISNUMBER(M198), $B199 * N198, "")</f>
        <v>15478.615071283095</v>
      </c>
      <c r="Q198" s="243"/>
      <c r="R198" s="244"/>
      <c r="S198" s="245"/>
    </row>
    <row r="199" spans="1:19" ht="17.25" thickBot="1">
      <c r="A199" s="132" t="s">
        <v>300</v>
      </c>
      <c r="B199" s="251">
        <f>$B$37</f>
        <v>100000</v>
      </c>
      <c r="C199" s="252"/>
      <c r="D199" s="26" t="s">
        <v>301</v>
      </c>
      <c r="E199" s="27">
        <f>IF(COUNT(E179:E198), SUM(E179:E198) / COUNT(E179:E198), 0)</f>
        <v>1.2735944670597238E-2</v>
      </c>
      <c r="F199" s="28">
        <f>SUM(F179:F198)</f>
        <v>25471.889341194474</v>
      </c>
      <c r="G199" s="26" t="s">
        <v>301</v>
      </c>
      <c r="H199" s="27">
        <f>IF(COUNT(H179:H198), SUM(H179:H198) / COUNT(H179:H198), 0)</f>
        <v>1.1945461871880256E-2</v>
      </c>
      <c r="I199" s="28">
        <f>SUM(I179:I198)</f>
        <v>23890.923743760515</v>
      </c>
      <c r="J199" s="26" t="s">
        <v>301</v>
      </c>
      <c r="K199" s="27">
        <f>IF(COUNT(K179:K198), SUM(K179:K198) / COUNT(K179:K198), 0)</f>
        <v>1.5735986324825642E-2</v>
      </c>
      <c r="L199" s="28">
        <f>SUM(L179:L198)</f>
        <v>31471.972649651296</v>
      </c>
      <c r="M199" s="26" t="s">
        <v>301</v>
      </c>
      <c r="N199" s="27">
        <f>IF(COUNT(N179:N198), SUM(N179:N198) / COUNT(N179:N198), 0)</f>
        <v>1.6201244616306221E-2</v>
      </c>
      <c r="O199" s="28">
        <f>SUM(O179:O198)</f>
        <v>32402.489232612439</v>
      </c>
      <c r="Q199" s="246"/>
      <c r="R199" s="247"/>
      <c r="S199" s="24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19805-CCFB-4BE1-845A-72801A43BDB8}">
  <sheetPr codeName="Sheet14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2" t="s">
        <v>0</v>
      </c>
      <c r="B1" s="193"/>
      <c r="C1" s="193"/>
      <c r="D1" s="193"/>
      <c r="E1" s="193"/>
      <c r="F1" s="194"/>
      <c r="G1" s="195">
        <v>44355</v>
      </c>
      <c r="H1" s="196"/>
      <c r="I1" s="197"/>
      <c r="J1" s="192" t="s">
        <v>1</v>
      </c>
      <c r="K1" s="193"/>
      <c r="L1" s="193"/>
      <c r="M1" s="193"/>
      <c r="N1" s="193"/>
      <c r="O1" s="194"/>
      <c r="Q1" s="192" t="s">
        <v>2</v>
      </c>
      <c r="R1" s="194"/>
    </row>
    <row r="2" spans="1:19" ht="17.25" customHeight="1">
      <c r="A2" s="117" t="s">
        <v>3</v>
      </c>
      <c r="B2" s="198" t="s">
        <v>8</v>
      </c>
      <c r="C2" s="199"/>
      <c r="D2" s="199"/>
      <c r="E2" s="199"/>
      <c r="F2" s="200"/>
      <c r="G2" s="201" t="s">
        <v>46</v>
      </c>
      <c r="H2" s="202"/>
      <c r="I2" s="203"/>
      <c r="J2" s="1" t="s">
        <v>3</v>
      </c>
      <c r="K2" s="198" t="s">
        <v>350</v>
      </c>
      <c r="L2" s="199"/>
      <c r="M2" s="199"/>
      <c r="N2" s="199"/>
      <c r="O2" s="200"/>
      <c r="Q2" s="2" t="s">
        <v>6</v>
      </c>
      <c r="R2" s="3">
        <v>0.375</v>
      </c>
    </row>
    <row r="3" spans="1:19" ht="17.25" customHeight="1" thickBot="1">
      <c r="A3" s="118" t="s">
        <v>7</v>
      </c>
      <c r="B3" s="204" t="s">
        <v>358</v>
      </c>
      <c r="C3" s="205"/>
      <c r="D3" s="205"/>
      <c r="E3" s="205"/>
      <c r="F3" s="206"/>
      <c r="G3" s="20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-217,537 KRW (-10.88%)</v>
      </c>
      <c r="H3" s="208"/>
      <c r="I3" s="209"/>
      <c r="J3" s="4" t="s">
        <v>7</v>
      </c>
      <c r="K3" s="204" t="s">
        <v>351</v>
      </c>
      <c r="L3" s="205"/>
      <c r="M3" s="205"/>
      <c r="N3" s="205"/>
      <c r="O3" s="2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4" t="s">
        <v>16</v>
      </c>
      <c r="C4" s="205"/>
      <c r="D4" s="205"/>
      <c r="E4" s="205"/>
      <c r="F4" s="206"/>
      <c r="G4" s="201" t="s">
        <v>44</v>
      </c>
      <c r="H4" s="202"/>
      <c r="I4" s="203"/>
      <c r="J4" s="4" t="s">
        <v>11</v>
      </c>
      <c r="K4" s="204" t="s">
        <v>352</v>
      </c>
      <c r="L4" s="205"/>
      <c r="M4" s="205"/>
      <c r="N4" s="205"/>
      <c r="O4" s="2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4" t="s">
        <v>349</v>
      </c>
      <c r="C5" s="205"/>
      <c r="D5" s="205"/>
      <c r="E5" s="205"/>
      <c r="F5" s="206"/>
      <c r="G5" s="20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-244,145 KRW (-12.21%)</v>
      </c>
      <c r="H5" s="208"/>
      <c r="I5" s="209"/>
      <c r="J5" s="4" t="s">
        <v>15</v>
      </c>
      <c r="K5" s="204" t="s">
        <v>353</v>
      </c>
      <c r="L5" s="205"/>
      <c r="M5" s="205"/>
      <c r="N5" s="205"/>
      <c r="O5" s="206"/>
    </row>
    <row r="6" spans="1:19">
      <c r="A6" s="118" t="s">
        <v>18</v>
      </c>
      <c r="B6" s="204"/>
      <c r="C6" s="205"/>
      <c r="D6" s="205"/>
      <c r="E6" s="205"/>
      <c r="F6" s="206"/>
      <c r="G6" s="201" t="s">
        <v>45</v>
      </c>
      <c r="H6" s="202"/>
      <c r="I6" s="203"/>
      <c r="J6" s="4" t="s">
        <v>18</v>
      </c>
      <c r="K6" s="204" t="s">
        <v>354</v>
      </c>
      <c r="L6" s="205"/>
      <c r="M6" s="205"/>
      <c r="N6" s="205"/>
      <c r="O6" s="206"/>
    </row>
    <row r="7" spans="1:19" ht="17.25" thickBot="1">
      <c r="A7" s="118" t="s">
        <v>21</v>
      </c>
      <c r="B7" s="204"/>
      <c r="C7" s="205"/>
      <c r="D7" s="205"/>
      <c r="E7" s="205"/>
      <c r="F7" s="206"/>
      <c r="G7" s="20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-215,601 KRW (-10.78%)</v>
      </c>
      <c r="H7" s="208"/>
      <c r="I7" s="209"/>
      <c r="J7" s="4" t="s">
        <v>21</v>
      </c>
      <c r="K7" s="204" t="s">
        <v>355</v>
      </c>
      <c r="L7" s="205"/>
      <c r="M7" s="205"/>
      <c r="N7" s="205"/>
      <c r="O7" s="206"/>
    </row>
    <row r="8" spans="1:19" ht="17.25" thickBot="1">
      <c r="A8" s="118" t="s">
        <v>24</v>
      </c>
      <c r="B8" s="204"/>
      <c r="C8" s="205"/>
      <c r="D8" s="205"/>
      <c r="E8" s="205"/>
      <c r="F8" s="206"/>
      <c r="G8" s="201" t="s">
        <v>285</v>
      </c>
      <c r="H8" s="202"/>
      <c r="I8" s="203"/>
      <c r="J8" s="4" t="s">
        <v>24</v>
      </c>
      <c r="K8" s="204"/>
      <c r="L8" s="205"/>
      <c r="M8" s="205"/>
      <c r="N8" s="205"/>
      <c r="O8" s="206"/>
      <c r="Q8" s="192" t="s">
        <v>27</v>
      </c>
      <c r="R8" s="194"/>
    </row>
    <row r="9" spans="1:19" ht="17.25" thickBot="1">
      <c r="A9" s="118" t="s">
        <v>28</v>
      </c>
      <c r="B9" s="204"/>
      <c r="C9" s="205"/>
      <c r="D9" s="205"/>
      <c r="E9" s="205"/>
      <c r="F9" s="206"/>
      <c r="G9" s="20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-242,307 KRW (-12.12%)</v>
      </c>
      <c r="H9" s="208"/>
      <c r="I9" s="209"/>
      <c r="J9" s="4" t="s">
        <v>28</v>
      </c>
      <c r="K9" s="204"/>
      <c r="L9" s="205"/>
      <c r="M9" s="205"/>
      <c r="N9" s="205"/>
      <c r="O9" s="206"/>
      <c r="Q9" s="2" t="s">
        <v>29</v>
      </c>
      <c r="R9" s="6">
        <v>10</v>
      </c>
    </row>
    <row r="10" spans="1:19">
      <c r="A10" s="118" t="s">
        <v>30</v>
      </c>
      <c r="B10" s="204"/>
      <c r="C10" s="205"/>
      <c r="D10" s="205"/>
      <c r="E10" s="205"/>
      <c r="F10" s="206"/>
      <c r="G10" s="201" t="s">
        <v>47</v>
      </c>
      <c r="H10" s="202"/>
      <c r="I10" s="203"/>
      <c r="J10" s="4" t="s">
        <v>30</v>
      </c>
      <c r="K10" s="204" t="s">
        <v>356</v>
      </c>
      <c r="L10" s="205"/>
      <c r="M10" s="205"/>
      <c r="N10" s="205"/>
      <c r="O10" s="206"/>
      <c r="Q10" s="2" t="s">
        <v>31</v>
      </c>
      <c r="R10" s="6">
        <v>100</v>
      </c>
    </row>
    <row r="11" spans="1:19" ht="17.25" thickBot="1">
      <c r="A11" s="119" t="s">
        <v>32</v>
      </c>
      <c r="B11" s="210" t="s">
        <v>357</v>
      </c>
      <c r="C11" s="211"/>
      <c r="D11" s="211"/>
      <c r="E11" s="211"/>
      <c r="F11" s="212"/>
      <c r="G11" s="20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-66,388 KRW (-13.28%)</v>
      </c>
      <c r="H11" s="208"/>
      <c r="I11" s="209"/>
      <c r="J11" s="7" t="s">
        <v>32</v>
      </c>
      <c r="K11" s="210" t="s">
        <v>348</v>
      </c>
      <c r="L11" s="211"/>
      <c r="M11" s="211"/>
      <c r="N11" s="211"/>
      <c r="O11" s="212"/>
      <c r="Q11" s="65" t="s">
        <v>33</v>
      </c>
      <c r="R11" s="8">
        <v>1000</v>
      </c>
    </row>
    <row r="12" spans="1:19" ht="17.25" thickBot="1"/>
    <row r="13" spans="1:19" ht="17.25" customHeight="1" thickBot="1">
      <c r="A13" s="192" t="s">
        <v>34</v>
      </c>
      <c r="B13" s="193"/>
      <c r="C13" s="193"/>
      <c r="D13" s="193"/>
      <c r="E13" s="193"/>
      <c r="F13" s="193"/>
      <c r="G13" s="193"/>
      <c r="H13" s="193"/>
      <c r="I13" s="193"/>
      <c r="J13" s="193"/>
      <c r="K13" s="193"/>
      <c r="L13" s="193"/>
      <c r="M13" s="193"/>
      <c r="N13" s="193"/>
      <c r="O13" s="194"/>
      <c r="Q13" s="213"/>
      <c r="R13" s="213"/>
      <c r="S13" s="213"/>
    </row>
    <row r="14" spans="1:19" ht="17.25" customHeight="1" thickBot="1">
      <c r="A14" s="188" t="s">
        <v>35</v>
      </c>
      <c r="B14" s="192" t="s">
        <v>36</v>
      </c>
      <c r="C14" s="194"/>
      <c r="D14" s="192" t="s">
        <v>37</v>
      </c>
      <c r="E14" s="193"/>
      <c r="F14" s="194"/>
      <c r="G14" s="219">
        <f>_xlfn.IFNA(VLOOKUP(B14, 현재가테이블!$B$2:$D$200, 2, FALSE), "-")</f>
        <v>38300000</v>
      </c>
      <c r="H14" s="220"/>
      <c r="I14" s="221"/>
      <c r="J14" s="192" t="s">
        <v>38</v>
      </c>
      <c r="K14" s="193"/>
      <c r="L14" s="194"/>
      <c r="M14" s="222">
        <f>_xlfn.IFNA(VLOOKUP(B14, 현재가테이블!$B$2:$D$200, 3, FALSE), "-")</f>
        <v>-1.9557649E-2</v>
      </c>
      <c r="N14" s="223"/>
      <c r="O14" s="224"/>
      <c r="Q14" s="213"/>
      <c r="R14" s="213"/>
      <c r="S14" s="213"/>
    </row>
    <row r="15" spans="1:19" ht="17.25" customHeight="1" thickBot="1">
      <c r="A15" s="257" t="s">
        <v>39</v>
      </c>
      <c r="B15" s="258" t="str">
        <f>TEXT($G$1, "[$-ko-KR]yyyy-mm-dd(ddd) ") &amp; "오전 00:00"</f>
        <v>2021-06-08(화) 오전 00:00</v>
      </c>
      <c r="C15" s="259"/>
      <c r="D15" s="215" t="str">
        <f>TEXT($G$1, "[$-ko-KR]yyyy-mm-dd(ddd) ") &amp; "오후 14:00"</f>
        <v>2021-06-08(화) 오후 14:00</v>
      </c>
      <c r="E15" s="216"/>
      <c r="F15" s="217"/>
      <c r="G15" s="215" t="str">
        <f>TEXT($G$1, "[$-ko-KR]yyyy-mm-dd(ddd) ") &amp; "오후 19:00"</f>
        <v>2021-06-08(화) 오후 19:00</v>
      </c>
      <c r="H15" s="216"/>
      <c r="I15" s="217"/>
      <c r="J15" s="215" t="str">
        <f>TEXT($G$1, "[$-ko-KR]yyyy-mm-dd(ddd) ") &amp; "오후 21:00"</f>
        <v>2021-06-08(화) 오후 21:00</v>
      </c>
      <c r="K15" s="216"/>
      <c r="L15" s="217"/>
      <c r="M15" s="215" t="str">
        <f>TEXT($G$1+1, "[$-ko-KR]yyyy-mm-dd(ddd) ") &amp; "오전 00:00"</f>
        <v>2021-06-09(수) 오전 00:00</v>
      </c>
      <c r="N15" s="216"/>
      <c r="O15" s="217"/>
      <c r="Q15" s="213"/>
      <c r="R15" s="213"/>
      <c r="S15" s="213"/>
    </row>
    <row r="16" spans="1:19" ht="17.25" customHeight="1" thickBot="1">
      <c r="A16" s="25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9" t="s">
        <v>37</v>
      </c>
      <c r="H16" s="190" t="s">
        <v>40</v>
      </c>
      <c r="I16" s="19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8"/>
      <c r="R16" s="218"/>
      <c r="S16" s="21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99.7</v>
      </c>
      <c r="C17" s="76">
        <f>IF(NOT(ISBLANK(_xlfn.IFNA(VLOOKUP($A17, $A$40:$O$199, 3, FALSE), ))), _xlfn.IFNA(VLOOKUP($A17, $A$40:$O$199, 3, FALSE), ), "")</f>
        <v>-3.2038835000000002E-2</v>
      </c>
      <c r="D17" s="13">
        <f>IF(NOT(ISBLANK(_xlfn.IFNA(VLOOKUP($A17, $A$40:$O$199, 4, FALSE), ))), _xlfn.IFNA(VLOOKUP($A17, $A$40:$O$199, 4, FALSE), ), "")</f>
        <v>85.8</v>
      </c>
      <c r="E17" s="14">
        <f>IF(NOT(ISBLANK(_xlfn.IFNA(VLOOKUP($A17, $A$40:$O$199, 5, FALSE), ))), _xlfn.IFNA(VLOOKUP($A17, $A$40:$O$199, 5, FALSE), ), "")</f>
        <v>-0.13941825476429293</v>
      </c>
      <c r="F17" s="16">
        <f>IF(NOT(ISBLANK(_xlfn.IFNA(VLOOKUP($A17, $A$40:$O$199, 6, FALSE), ))), _xlfn.IFNA(VLOOKUP($A17, $A$40:$O$199, 6, FALSE), ), "")</f>
        <v>-13941.825476429292</v>
      </c>
      <c r="G17" s="29">
        <f>IF(NOT(ISBLANK(_xlfn.IFNA(VLOOKUP($A17, $A$40:$O$199, 7, FALSE), ))), _xlfn.IFNA(VLOOKUP($A17, $A$40:$O$199, 7, FALSE), ), "")</f>
        <v>87</v>
      </c>
      <c r="H17" s="14">
        <f>IF(NOT(ISBLANK(_xlfn.IFNA(VLOOKUP($A17, $A$40:$O$199, 8, FALSE), ))), _xlfn.IFNA(VLOOKUP($A17, $A$40:$O$199, 8, FALSE), ), "")</f>
        <v>-0.12738214643931797</v>
      </c>
      <c r="I17" s="100">
        <f>IF(NOT(ISBLANK(_xlfn.IFNA(VLOOKUP($A17, $A$40:$O$199, 9, FALSE), ))), _xlfn.IFNA(VLOOKUP($A17, $A$40:$O$199, 9, FALSE), ), "")</f>
        <v>-12738.214643931797</v>
      </c>
      <c r="J17" s="13">
        <f>IF(NOT(ISBLANK(_xlfn.IFNA(VLOOKUP($A17, $A$40:$O$199, 10, FALSE), ))), _xlfn.IFNA(VLOOKUP($A17, $A$40:$O$199, 10, FALSE), ), "")</f>
        <v>86.5</v>
      </c>
      <c r="K17" s="14">
        <f>IF(NOT(ISBLANK(_xlfn.IFNA(VLOOKUP($A17, $A$40:$O$199, 11, FALSE), ))), _xlfn.IFNA(VLOOKUP($A17, $A$40:$O$199, 11, FALSE), ), "")</f>
        <v>-0.13239719157472421</v>
      </c>
      <c r="L17" s="16">
        <f>IF(NOT(ISBLANK(_xlfn.IFNA(VLOOKUP($A17, $A$40:$O$199, 12, FALSE), ))), _xlfn.IFNA(VLOOKUP($A17, $A$40:$O$199, 12, FALSE), ), "")</f>
        <v>-13239.71915747242</v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3"/>
      <c r="R17" s="213"/>
      <c r="S17" s="213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-5.0000000000000001E-3</v>
      </c>
      <c r="D18" s="15">
        <f t="shared" ref="D18:D36" si="2">IF(NOT(ISBLANK(_xlfn.IFNA(VLOOKUP($A18, $A$40:$O$199, 4, FALSE), ))), _xlfn.IFNA(VLOOKUP($A18, $A$40:$O$199, 4, FALSE), ), "")</f>
        <v>67</v>
      </c>
      <c r="E18" s="32">
        <f t="shared" ref="E18:E36" si="3">IF(NOT(ISBLANK(_xlfn.IFNA(VLOOKUP($A18, $A$40:$O$199, 5, FALSE), ))), _xlfn.IFNA(VLOOKUP($A18, $A$40:$O$199, 5, FALSE), ), "")</f>
        <v>-0.1582914572864321</v>
      </c>
      <c r="F18" s="18">
        <f t="shared" ref="F18:F36" si="4">IF(NOT(ISBLANK(_xlfn.IFNA(VLOOKUP($A18, $A$40:$O$199, 6, FALSE), ))), _xlfn.IFNA(VLOOKUP($A18, $A$40:$O$199, 6, FALSE), ), "")</f>
        <v>-15829.145728643211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-0.157035175879397</v>
      </c>
      <c r="I18" s="101">
        <f t="shared" ref="I18:I36" si="7">IF(NOT(ISBLANK(_xlfn.IFNA(VLOOKUP($A18, $A$40:$O$199, 9, FALSE), ))), _xlfn.IFNA(VLOOKUP($A18, $A$40:$O$199, 9, FALSE), ), "")</f>
        <v>-15703.517587939699</v>
      </c>
      <c r="J18" s="15">
        <f t="shared" ref="J18:J36" si="8">IF(NOT(ISBLANK(_xlfn.IFNA(VLOOKUP($A18, $A$40:$O$199, 10, FALSE), ))), _xlfn.IFNA(VLOOKUP($A18, $A$40:$O$199, 10, FALSE), ), "")</f>
        <v>67.2</v>
      </c>
      <c r="K18" s="32">
        <f t="shared" ref="K18:K36" si="9">IF(NOT(ISBLANK(_xlfn.IFNA(VLOOKUP($A18, $A$40:$O$199, 11, FALSE), ))), _xlfn.IFNA(VLOOKUP($A18, $A$40:$O$199, 11, FALSE), ), "")</f>
        <v>-0.15577889447236171</v>
      </c>
      <c r="L18" s="18">
        <f t="shared" ref="L18:L36" si="10">IF(NOT(ISBLANK(_xlfn.IFNA(VLOOKUP($A18, $A$40:$O$199, 12, FALSE), ))), _xlfn.IFNA(VLOOKUP($A18, $A$40:$O$199, 12, FALSE), ), "")</f>
        <v>-15577.88944723617</v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3"/>
      <c r="R18" s="213"/>
      <c r="S18" s="213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7.8125E-3</v>
      </c>
      <c r="D19" s="15">
        <f t="shared" si="2"/>
        <v>111</v>
      </c>
      <c r="E19" s="32">
        <f t="shared" si="3"/>
        <v>-0.13953488372093023</v>
      </c>
      <c r="F19" s="18">
        <f t="shared" si="4"/>
        <v>-13953.488372093023</v>
      </c>
      <c r="G19" s="31">
        <f t="shared" si="5"/>
        <v>108</v>
      </c>
      <c r="H19" s="32">
        <f t="shared" si="6"/>
        <v>-0.16279069767441862</v>
      </c>
      <c r="I19" s="101">
        <f t="shared" si="7"/>
        <v>-16279.069767441862</v>
      </c>
      <c r="J19" s="15">
        <f t="shared" si="8"/>
        <v>108</v>
      </c>
      <c r="K19" s="32">
        <f t="shared" si="9"/>
        <v>-0.16279069767441862</v>
      </c>
      <c r="L19" s="18">
        <f t="shared" si="10"/>
        <v>-16279.069767441862</v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8"/>
      <c r="R19" s="218"/>
      <c r="S19" s="218"/>
    </row>
    <row r="20" spans="1:19" ht="17.25" customHeight="1" thickBot="1">
      <c r="A20" s="162" t="s">
        <v>120</v>
      </c>
      <c r="B20" s="126">
        <f t="shared" si="0"/>
        <v>145</v>
      </c>
      <c r="C20" s="77">
        <f t="shared" si="1"/>
        <v>6.9444444000000003E-3</v>
      </c>
      <c r="D20" s="15">
        <f t="shared" si="2"/>
        <v>130</v>
      </c>
      <c r="E20" s="32">
        <f t="shared" si="3"/>
        <v>-0.10344827586206896</v>
      </c>
      <c r="F20" s="18">
        <f t="shared" si="4"/>
        <v>-10344.827586206897</v>
      </c>
      <c r="G20" s="31">
        <f t="shared" si="5"/>
        <v>131</v>
      </c>
      <c r="H20" s="32">
        <f t="shared" si="6"/>
        <v>-9.6551724137931033E-2</v>
      </c>
      <c r="I20" s="101">
        <f t="shared" si="7"/>
        <v>-9655.1724137931033</v>
      </c>
      <c r="J20" s="15">
        <f t="shared" si="8"/>
        <v>133</v>
      </c>
      <c r="K20" s="32">
        <f t="shared" si="9"/>
        <v>-8.2758620689655171E-2</v>
      </c>
      <c r="L20" s="18">
        <f t="shared" si="10"/>
        <v>-8275.8620689655163</v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8"/>
      <c r="R20" s="218"/>
      <c r="S20" s="218"/>
    </row>
    <row r="21" spans="1:19" ht="17.25" customHeight="1" thickBot="1">
      <c r="A21" s="163" t="s">
        <v>246</v>
      </c>
      <c r="B21" s="128">
        <f t="shared" si="0"/>
        <v>315</v>
      </c>
      <c r="C21" s="78">
        <f t="shared" si="1"/>
        <v>-3.1645570000000001E-3</v>
      </c>
      <c r="D21" s="20">
        <f t="shared" si="2"/>
        <v>270</v>
      </c>
      <c r="E21" s="21">
        <f t="shared" si="3"/>
        <v>-0.14285714285714285</v>
      </c>
      <c r="F21" s="22">
        <f t="shared" si="4"/>
        <v>-14285.714285714284</v>
      </c>
      <c r="G21" s="30">
        <f t="shared" si="5"/>
        <v>272</v>
      </c>
      <c r="H21" s="21">
        <f t="shared" si="6"/>
        <v>-0.13650793650793649</v>
      </c>
      <c r="I21" s="105">
        <f t="shared" si="7"/>
        <v>-13650.79365079365</v>
      </c>
      <c r="J21" s="20">
        <f t="shared" si="8"/>
        <v>274</v>
      </c>
      <c r="K21" s="21">
        <f t="shared" si="9"/>
        <v>-0.13015873015873017</v>
      </c>
      <c r="L21" s="22">
        <f t="shared" si="10"/>
        <v>-13015.873015873018</v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8"/>
      <c r="R21" s="218"/>
      <c r="S21" s="218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8"/>
      <c r="R22" s="218"/>
      <c r="S22" s="218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8"/>
      <c r="R23" s="218"/>
      <c r="S23" s="218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8"/>
      <c r="R24" s="218"/>
      <c r="S24" s="218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7"/>
      <c r="R26" s="228"/>
      <c r="S26" s="229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0"/>
      <c r="R27" s="231"/>
      <c r="S27" s="232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3"/>
      <c r="R28" s="234"/>
      <c r="S28" s="235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8"/>
      <c r="R29" s="218"/>
      <c r="S29" s="218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3"/>
      <c r="R30" s="213"/>
      <c r="S30" s="21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3"/>
      <c r="R31" s="213"/>
      <c r="S31" s="21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8"/>
      <c r="R32" s="218"/>
      <c r="S32" s="21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8"/>
      <c r="R33" s="218"/>
      <c r="S33" s="21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8"/>
      <c r="R34" s="218"/>
      <c r="S34" s="21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0"/>
      <c r="R35" s="241"/>
      <c r="S35" s="24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3"/>
      <c r="R36" s="244"/>
      <c r="S36" s="245"/>
    </row>
    <row r="37" spans="1:19" ht="17.25" customHeight="1" thickBot="1">
      <c r="A37" s="132" t="s">
        <v>42</v>
      </c>
      <c r="B37" s="251">
        <v>100000</v>
      </c>
      <c r="C37" s="252"/>
      <c r="D37" s="26" t="s">
        <v>43</v>
      </c>
      <c r="E37" s="27">
        <f>IF(COUNT(E17:E36), SUM(E17:E36) / COUNT(E17:E36), 0)</f>
        <v>-0.13671000289817342</v>
      </c>
      <c r="F37" s="28">
        <f>SUM(F17:F36)</f>
        <v>-68355.001449086718</v>
      </c>
      <c r="G37" s="26" t="s">
        <v>43</v>
      </c>
      <c r="H37" s="27">
        <f>IF(COUNT(H17:H36), SUM(H17:H36) / COUNT(H17:H36), 0)</f>
        <v>-0.13605353612780022</v>
      </c>
      <c r="I37" s="28">
        <f>SUM(I17:I36)</f>
        <v>-68026.768063900105</v>
      </c>
      <c r="J37" s="26" t="s">
        <v>43</v>
      </c>
      <c r="K37" s="27">
        <f>IF(COUNT(K17:K36), SUM(K17:K36) / COUNT(K17:K36), 0)</f>
        <v>-0.13277682691397796</v>
      </c>
      <c r="L37" s="28">
        <f>SUM(L17:L36)</f>
        <v>-66388.413456988987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6"/>
      <c r="R37" s="247"/>
      <c r="S37" s="248"/>
    </row>
    <row r="38" spans="1:19" ht="17.25" customHeight="1"/>
    <row r="39" spans="1:19" ht="17.25" customHeight="1" thickBot="1"/>
    <row r="40" spans="1:19" ht="17.25" customHeight="1" thickBot="1">
      <c r="A40" s="192" t="s">
        <v>44</v>
      </c>
      <c r="B40" s="193"/>
      <c r="C40" s="193"/>
      <c r="D40" s="193"/>
      <c r="E40" s="193"/>
      <c r="F40" s="193"/>
      <c r="G40" s="193"/>
      <c r="H40" s="193"/>
      <c r="I40" s="193"/>
      <c r="J40" s="193"/>
      <c r="K40" s="193"/>
      <c r="L40" s="193"/>
      <c r="M40" s="193"/>
      <c r="N40" s="193"/>
      <c r="O40" s="194"/>
      <c r="Q40" s="213"/>
      <c r="R40" s="213"/>
      <c r="S40" s="213"/>
    </row>
    <row r="41" spans="1:19" ht="17.25" customHeight="1" thickBot="1">
      <c r="A41" s="188" t="s">
        <v>297</v>
      </c>
      <c r="B41" s="192" t="s">
        <v>49</v>
      </c>
      <c r="C41" s="194"/>
      <c r="D41" s="192" t="s">
        <v>58</v>
      </c>
      <c r="E41" s="193"/>
      <c r="F41" s="194"/>
      <c r="G41" s="219">
        <f>_xlfn.IFNA(VLOOKUP(B41, 현재가테이블!$B$2:$D$200, 2, FALSE), "-")</f>
        <v>38300000</v>
      </c>
      <c r="H41" s="220"/>
      <c r="I41" s="221"/>
      <c r="J41" s="192" t="s">
        <v>59</v>
      </c>
      <c r="K41" s="193"/>
      <c r="L41" s="194"/>
      <c r="M41" s="222">
        <f>_xlfn.IFNA(VLOOKUP(B41, 현재가테이블!$B$2:$D$200, 3, FALSE), "-")</f>
        <v>-1.9557649E-2</v>
      </c>
      <c r="N41" s="223"/>
      <c r="O41" s="224"/>
      <c r="Q41" s="213"/>
      <c r="R41" s="213"/>
      <c r="S41" s="213"/>
    </row>
    <row r="42" spans="1:19" ht="17.25" customHeight="1" thickBot="1">
      <c r="A42" s="253" t="s">
        <v>55</v>
      </c>
      <c r="B42" s="255" t="str">
        <f>TEXT($G$1, "[$-ko-KR]yyyy-mm-dd(ddd) ") &amp; "오전 00:00"</f>
        <v>2021-06-08(화) 오전 00:00</v>
      </c>
      <c r="C42" s="256"/>
      <c r="D42" s="215" t="str">
        <f>TEXT($G$1, "[$-ko-KR]yyyy-mm-dd(ddd) ") &amp; "오후 14:00"</f>
        <v>2021-06-08(화) 오후 14:00</v>
      </c>
      <c r="E42" s="216"/>
      <c r="F42" s="217"/>
      <c r="G42" s="215" t="str">
        <f>TEXT($G$1, "[$-ko-KR]yyyy-mm-dd(ddd) ") &amp; "오후 19:00"</f>
        <v>2021-06-08(화) 오후 19:00</v>
      </c>
      <c r="H42" s="216"/>
      <c r="I42" s="217"/>
      <c r="J42" s="215" t="str">
        <f>TEXT($G$1, "[$-ko-KR]yyyy-mm-dd(ddd) ") &amp; "오후 21:00"</f>
        <v>2021-06-08(화) 오후 21:00</v>
      </c>
      <c r="K42" s="216"/>
      <c r="L42" s="217"/>
      <c r="M42" s="215" t="str">
        <f>TEXT($G$1+1, "[$-ko-KR]yyyy-mm-dd(ddd) ") &amp; "오전 00:00"</f>
        <v>2021-06-09(수) 오전 00:00</v>
      </c>
      <c r="N42" s="216"/>
      <c r="O42" s="217"/>
      <c r="Q42" s="213"/>
      <c r="R42" s="213"/>
      <c r="S42" s="213"/>
    </row>
    <row r="43" spans="1:19" ht="17.25" customHeight="1" thickBot="1">
      <c r="A43" s="25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9" t="s">
        <v>58</v>
      </c>
      <c r="H43" s="190" t="s">
        <v>298</v>
      </c>
      <c r="I43" s="19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8"/>
      <c r="R43" s="218"/>
      <c r="S43" s="218"/>
    </row>
    <row r="44" spans="1:19" ht="17.25" customHeight="1" thickBot="1">
      <c r="A44" s="161" t="s">
        <v>220</v>
      </c>
      <c r="B44" s="124">
        <v>13</v>
      </c>
      <c r="C44" s="76">
        <v>8.3333333300000006E-2</v>
      </c>
      <c r="D44" s="13">
        <v>10.9</v>
      </c>
      <c r="E44" s="14">
        <f>IF(ISNUMBER(D44), (D44 - $B44) / $B44, "")</f>
        <v>-0.16153846153846152</v>
      </c>
      <c r="F44" s="16">
        <f>IF(ISNUMBER(D44), $B64 * E44, "")</f>
        <v>-16153.846153846152</v>
      </c>
      <c r="G44" s="29">
        <v>11.1</v>
      </c>
      <c r="H44" s="14">
        <f>IF(ISNUMBER(G44), (G44 - $B44) / $B44, "")</f>
        <v>-0.14615384615384619</v>
      </c>
      <c r="I44" s="100">
        <f>IF(ISNUMBER(G44), $B64 * H44, "")</f>
        <v>-14615.384615384619</v>
      </c>
      <c r="J44" s="13">
        <v>11</v>
      </c>
      <c r="K44" s="14">
        <f>IF(ISNUMBER(J44), (J44 - $B44) / $B44, "")</f>
        <v>-0.15384615384615385</v>
      </c>
      <c r="L44" s="16">
        <f>IF(ISNUMBER(J44), $B64 * K44, "")</f>
        <v>-15384.615384615385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3"/>
      <c r="R44" s="213"/>
      <c r="S44" s="213"/>
    </row>
    <row r="45" spans="1:19" ht="17.25" customHeight="1" thickBot="1">
      <c r="A45" s="162" t="s">
        <v>236</v>
      </c>
      <c r="B45" s="126">
        <v>55.9</v>
      </c>
      <c r="C45" s="77">
        <v>3.3271718999999998E-2</v>
      </c>
      <c r="D45" s="15">
        <v>52.2</v>
      </c>
      <c r="E45" s="32">
        <f t="shared" ref="E45:E48" si="14">IF(ISNUMBER(D45), (D45 - $B45) / $B45, "")</f>
        <v>-6.6189624329159133E-2</v>
      </c>
      <c r="F45" s="18">
        <f>IF(ISNUMBER(D45), $B64 * E45, "")</f>
        <v>-6618.9624329159133</v>
      </c>
      <c r="G45" s="31">
        <v>54.2</v>
      </c>
      <c r="H45" s="32">
        <f t="shared" ref="H45:H48" si="15">IF(ISNUMBER(G45), (G45 - $B45) / $B45, "")</f>
        <v>-3.0411449016100104E-2</v>
      </c>
      <c r="I45" s="101">
        <f>IF(ISNUMBER(G45), $B64 * H45, "")</f>
        <v>-3041.1449016100105</v>
      </c>
      <c r="J45" s="15">
        <v>54.5</v>
      </c>
      <c r="K45" s="32">
        <f t="shared" ref="K45:K48" si="16">IF(ISNUMBER(J45), (J45 - $B45) / $B45, "")</f>
        <v>-2.50447227191413E-2</v>
      </c>
      <c r="L45" s="18">
        <f>IF(ISNUMBER(J45), $B64 * K45, "")</f>
        <v>-2504.47227191413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3"/>
      <c r="R45" s="213"/>
      <c r="S45" s="213"/>
    </row>
    <row r="46" spans="1:19" ht="17.25" customHeight="1" thickBot="1">
      <c r="A46" s="162" t="s">
        <v>72</v>
      </c>
      <c r="B46" s="126">
        <v>22.9</v>
      </c>
      <c r="C46" s="77">
        <v>2.2321428599999998E-2</v>
      </c>
      <c r="D46" s="15">
        <v>19.3</v>
      </c>
      <c r="E46" s="32">
        <f t="shared" si="14"/>
        <v>-0.15720524017467241</v>
      </c>
      <c r="F46" s="18">
        <f>IF(ISNUMBER(D46), $B64 * E46, "")</f>
        <v>-15720.524017467242</v>
      </c>
      <c r="G46" s="31">
        <v>19</v>
      </c>
      <c r="H46" s="32">
        <f t="shared" si="15"/>
        <v>-0.17030567685589515</v>
      </c>
      <c r="I46" s="101">
        <f>IF(ISNUMBER(G46), $B64 * H46, "")</f>
        <v>-17030.567685589514</v>
      </c>
      <c r="J46" s="15">
        <v>18.899999999999999</v>
      </c>
      <c r="K46" s="32">
        <f t="shared" si="16"/>
        <v>-0.17467248908296945</v>
      </c>
      <c r="L46" s="18">
        <f>IF(ISNUMBER(J46), $B64 * K46, "")</f>
        <v>-17467.248908296944</v>
      </c>
      <c r="M46" s="31"/>
      <c r="N46" s="32" t="str">
        <f t="shared" si="17"/>
        <v/>
      </c>
      <c r="O46" s="18" t="str">
        <f>IF(ISNUMBER(M46), $B64 * N46, "")</f>
        <v/>
      </c>
      <c r="Q46" s="218"/>
      <c r="R46" s="218"/>
      <c r="S46" s="218"/>
    </row>
    <row r="47" spans="1:19" ht="17.25" customHeight="1" thickBot="1">
      <c r="A47" s="162" t="s">
        <v>228</v>
      </c>
      <c r="B47" s="126">
        <v>11.4</v>
      </c>
      <c r="C47" s="77">
        <v>1.7857142900000001E-2</v>
      </c>
      <c r="D47" s="15">
        <v>9.99</v>
      </c>
      <c r="E47" s="32">
        <f t="shared" si="14"/>
        <v>-0.1236842105263158</v>
      </c>
      <c r="F47" s="18">
        <f>IF(ISNUMBER(D47), $B64 * E47, "")</f>
        <v>-12368.42105263158</v>
      </c>
      <c r="G47" s="31">
        <v>9.7100000000000009</v>
      </c>
      <c r="H47" s="32">
        <f t="shared" si="15"/>
        <v>-0.14824561403508768</v>
      </c>
      <c r="I47" s="101">
        <f>IF(ISNUMBER(G47), $B64 * H47, "")</f>
        <v>-14824.561403508767</v>
      </c>
      <c r="J47" s="15">
        <v>9.84</v>
      </c>
      <c r="K47" s="32">
        <f t="shared" si="16"/>
        <v>-0.13684210526315793</v>
      </c>
      <c r="L47" s="18">
        <f>IF(ISNUMBER(J47), $B64 * K47, "")</f>
        <v>-13684.210526315794</v>
      </c>
      <c r="M47" s="31"/>
      <c r="N47" s="32" t="str">
        <f t="shared" si="17"/>
        <v/>
      </c>
      <c r="O47" s="18" t="str">
        <f>IF(ISNUMBER(M47), $B64 * N47, "")</f>
        <v/>
      </c>
      <c r="Q47" s="218"/>
      <c r="R47" s="218"/>
      <c r="S47" s="218"/>
    </row>
    <row r="48" spans="1:19" ht="17.25" customHeight="1" thickBot="1">
      <c r="A48" s="163" t="s">
        <v>196</v>
      </c>
      <c r="B48" s="128">
        <v>12.3</v>
      </c>
      <c r="C48" s="78">
        <v>1.6528925600000001E-2</v>
      </c>
      <c r="D48" s="20">
        <v>10.9</v>
      </c>
      <c r="E48" s="21">
        <f t="shared" si="14"/>
        <v>-0.11382113821138214</v>
      </c>
      <c r="F48" s="22">
        <f>IF(ISNUMBER(D48), $B64 * E48, "")</f>
        <v>-11382.113821138213</v>
      </c>
      <c r="G48" s="30">
        <v>11.3</v>
      </c>
      <c r="H48" s="21">
        <f t="shared" si="15"/>
        <v>-8.1300813008130079E-2</v>
      </c>
      <c r="I48" s="105">
        <f>IF(ISNUMBER(G48), $B64 * H48, "")</f>
        <v>-8130.0813008130081</v>
      </c>
      <c r="J48" s="20">
        <v>11.6</v>
      </c>
      <c r="K48" s="21">
        <f t="shared" si="16"/>
        <v>-5.6910569105691138E-2</v>
      </c>
      <c r="L48" s="22">
        <f>IF(ISNUMBER(J48), $B64 * K48, "")</f>
        <v>-5691.0569105691138</v>
      </c>
      <c r="M48" s="30"/>
      <c r="N48" s="21" t="str">
        <f t="shared" si="17"/>
        <v/>
      </c>
      <c r="O48" s="22" t="str">
        <f>IF(ISNUMBER(M48), $B64 * N48, "")</f>
        <v/>
      </c>
      <c r="Q48" s="218"/>
      <c r="R48" s="218"/>
      <c r="S48" s="218"/>
    </row>
    <row r="49" spans="1:19" ht="17.25" customHeight="1" thickBot="1">
      <c r="A49" s="162" t="s">
        <v>266</v>
      </c>
      <c r="B49" s="129">
        <v>59.9</v>
      </c>
      <c r="C49" s="80">
        <v>1.5254237299999999E-2</v>
      </c>
      <c r="D49" s="106">
        <v>52.2</v>
      </c>
      <c r="E49" s="107">
        <f>IF(ISNUMBER(D49), (D49 - $B49) / $B49, "")</f>
        <v>-0.12854757929883132</v>
      </c>
      <c r="F49" s="108">
        <f>IF(ISNUMBER(D49), $B64 * E49, "")</f>
        <v>-12854.757929883132</v>
      </c>
      <c r="G49" s="109">
        <v>51.2</v>
      </c>
      <c r="H49" s="107">
        <f>IF(ISNUMBER(G49), (G49 - $B49) / $B49, "")</f>
        <v>-0.14524207011686135</v>
      </c>
      <c r="I49" s="110">
        <f>IF(ISNUMBER(G49), $B64 * H49, "")</f>
        <v>-14524.207011686136</v>
      </c>
      <c r="J49" s="106">
        <v>51.9</v>
      </c>
      <c r="K49" s="107">
        <f>IF(ISNUMBER(J49), (J49 - $B49) / $B49, "")</f>
        <v>-0.13355592654424039</v>
      </c>
      <c r="L49" s="108">
        <f>IF(ISNUMBER(J49), $B64 * K49, "")</f>
        <v>-13355.592654424039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8"/>
      <c r="R49" s="218"/>
      <c r="S49" s="218"/>
    </row>
    <row r="50" spans="1:19" ht="17.25" customHeight="1" thickBot="1">
      <c r="A50" s="162" t="s">
        <v>264</v>
      </c>
      <c r="B50" s="126">
        <v>90.2</v>
      </c>
      <c r="C50" s="77">
        <v>1.2345679E-2</v>
      </c>
      <c r="D50" s="15">
        <v>76.900000000000006</v>
      </c>
      <c r="E50" s="32">
        <f t="shared" ref="E50:E53" si="18">IF(ISNUMBER(D50), (D50 - $B50) / $B50, "")</f>
        <v>-0.14745011086474497</v>
      </c>
      <c r="F50" s="18">
        <f>IF(ISNUMBER(D50), $B64 * E50, "")</f>
        <v>-14745.011086474497</v>
      </c>
      <c r="G50" s="31">
        <v>76.099999999999994</v>
      </c>
      <c r="H50" s="32">
        <f t="shared" ref="H50:H53" si="19">IF(ISNUMBER(G50), (G50 - $B50) / $B50, "")</f>
        <v>-0.156319290465632</v>
      </c>
      <c r="I50" s="101">
        <f>IF(ISNUMBER(G50), $B64 * H50, "")</f>
        <v>-15631.9290465632</v>
      </c>
      <c r="J50" s="15">
        <v>76.8</v>
      </c>
      <c r="K50" s="32">
        <f t="shared" ref="K50:K53" si="20">IF(ISNUMBER(J50), (J50 - $B50) / $B50, "")</f>
        <v>-0.14855875831485593</v>
      </c>
      <c r="L50" s="18">
        <f>IF(ISNUMBER(J50), $B64 * K50, "")</f>
        <v>-14855.875831485593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8"/>
      <c r="R50" s="218"/>
      <c r="S50" s="218"/>
    </row>
    <row r="51" spans="1:19" ht="17.25" customHeight="1" thickBot="1">
      <c r="A51" s="162" t="s">
        <v>222</v>
      </c>
      <c r="B51" s="126">
        <v>12.1</v>
      </c>
      <c r="C51" s="77">
        <v>8.3333333000000006E-3</v>
      </c>
      <c r="D51" s="15">
        <v>10.4</v>
      </c>
      <c r="E51" s="32">
        <f t="shared" si="18"/>
        <v>-0.14049586776859499</v>
      </c>
      <c r="F51" s="18">
        <f>IF(ISNUMBER(D51), $B64 * E51, "")</f>
        <v>-14049.5867768595</v>
      </c>
      <c r="G51" s="31">
        <v>10.4</v>
      </c>
      <c r="H51" s="32">
        <f t="shared" si="19"/>
        <v>-0.14049586776859499</v>
      </c>
      <c r="I51" s="101">
        <f>IF(ISNUMBER(G51), $B64 * H51, "")</f>
        <v>-14049.5867768595</v>
      </c>
      <c r="J51" s="15">
        <v>10.6</v>
      </c>
      <c r="K51" s="32">
        <f t="shared" si="20"/>
        <v>-0.12396694214876033</v>
      </c>
      <c r="L51" s="18">
        <f>IF(ISNUMBER(J51), $B64 * K51, "")</f>
        <v>-12396.694214876034</v>
      </c>
      <c r="M51" s="31"/>
      <c r="N51" s="32" t="str">
        <f t="shared" si="21"/>
        <v/>
      </c>
      <c r="O51" s="18" t="str">
        <f>IF(ISNUMBER(M51), $B64 * N51, "")</f>
        <v/>
      </c>
      <c r="Q51" s="218"/>
      <c r="R51" s="218"/>
      <c r="S51" s="218"/>
    </row>
    <row r="52" spans="1:19" ht="17.25" customHeight="1" thickBot="1">
      <c r="A52" s="162" t="s">
        <v>214</v>
      </c>
      <c r="B52" s="126">
        <v>14.4</v>
      </c>
      <c r="C52" s="77">
        <v>6.9930069999999999E-3</v>
      </c>
      <c r="D52" s="15">
        <v>12.4</v>
      </c>
      <c r="E52" s="32">
        <f t="shared" si="18"/>
        <v>-0.1388888888888889</v>
      </c>
      <c r="F52" s="18">
        <f>IF(ISNUMBER(D52), $B64 * E52, "")</f>
        <v>-13888.888888888889</v>
      </c>
      <c r="G52" s="31">
        <v>12.4</v>
      </c>
      <c r="H52" s="32">
        <f t="shared" si="19"/>
        <v>-0.1388888888888889</v>
      </c>
      <c r="I52" s="101">
        <f>IF(ISNUMBER(G52), $B64 * H52, "")</f>
        <v>-13888.888888888889</v>
      </c>
      <c r="J52" s="15">
        <v>12.5</v>
      </c>
      <c r="K52" s="32">
        <f t="shared" si="20"/>
        <v>-0.13194444444444448</v>
      </c>
      <c r="L52" s="18">
        <f>IF(ISNUMBER(J52), $B64 * K52, "")</f>
        <v>-13194.444444444447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126</v>
      </c>
      <c r="B53" s="131">
        <v>30.4</v>
      </c>
      <c r="C53" s="79">
        <v>6.6225166000000004E-3</v>
      </c>
      <c r="D53" s="24">
        <v>25.9</v>
      </c>
      <c r="E53" s="25">
        <f t="shared" si="18"/>
        <v>-0.1480263157894737</v>
      </c>
      <c r="F53" s="104">
        <f>IF(ISNUMBER(D53), $B64 * E53, "")</f>
        <v>-14802.63157894737</v>
      </c>
      <c r="G53" s="102">
        <v>25.6</v>
      </c>
      <c r="H53" s="25">
        <f t="shared" si="19"/>
        <v>-0.15789473684210517</v>
      </c>
      <c r="I53" s="103">
        <f>IF(ISNUMBER(G53), $B64 * H53, "")</f>
        <v>-15789.473684210518</v>
      </c>
      <c r="J53" s="24">
        <v>25.7</v>
      </c>
      <c r="K53" s="25">
        <f t="shared" si="20"/>
        <v>-0.15460526315789472</v>
      </c>
      <c r="L53" s="104">
        <f>IF(ISNUMBER(J53), $B64 * K53, "")</f>
        <v>-15460.526315789471</v>
      </c>
      <c r="M53" s="102"/>
      <c r="N53" s="25" t="str">
        <f t="shared" si="21"/>
        <v/>
      </c>
      <c r="O53" s="104" t="str">
        <f>IF(ISNUMBER(M53), $B64 * N53, "")</f>
        <v/>
      </c>
      <c r="Q53" s="227"/>
      <c r="R53" s="228"/>
      <c r="S53" s="229"/>
    </row>
    <row r="54" spans="1:19" ht="17.25" customHeight="1">
      <c r="A54" s="161" t="s">
        <v>254</v>
      </c>
      <c r="B54" s="124">
        <v>52.5</v>
      </c>
      <c r="C54" s="76">
        <v>5.7471264000000001E-3</v>
      </c>
      <c r="D54" s="13">
        <v>44.8</v>
      </c>
      <c r="E54" s="14">
        <f>IF(ISNUMBER(D54), (D54 - $B54) / $B54, "")</f>
        <v>-0.14666666666666672</v>
      </c>
      <c r="F54" s="16">
        <f>IF(ISNUMBER(D54), $B64 * E54, "")</f>
        <v>-14666.666666666672</v>
      </c>
      <c r="G54" s="29">
        <v>44.5</v>
      </c>
      <c r="H54" s="14">
        <f>IF(ISNUMBER(G54), (G54 - $B54) / $B54, "")</f>
        <v>-0.15238095238095239</v>
      </c>
      <c r="I54" s="100">
        <f>IF(ISNUMBER(G54), $B64 * H54, "")</f>
        <v>-15238.09523809524</v>
      </c>
      <c r="J54" s="13">
        <v>44.8</v>
      </c>
      <c r="K54" s="14">
        <f>IF(ISNUMBER(J54), (J54 - $B54) / $B54, "")</f>
        <v>-0.14666666666666672</v>
      </c>
      <c r="L54" s="16">
        <f>IF(ISNUMBER(J54), $B64 * K54, "")</f>
        <v>-14666.666666666672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0"/>
      <c r="R54" s="231"/>
      <c r="S54" s="232"/>
    </row>
    <row r="55" spans="1:19" ht="17.25" customHeight="1" thickBot="1">
      <c r="A55" s="162" t="s">
        <v>172</v>
      </c>
      <c r="B55" s="126">
        <v>15.5</v>
      </c>
      <c r="C55" s="77">
        <v>0</v>
      </c>
      <c r="D55" s="15">
        <v>14.5</v>
      </c>
      <c r="E55" s="32">
        <f t="shared" ref="E55:E58" si="22">IF(ISNUMBER(D55), (D55 - $B55) / $B55, "")</f>
        <v>-6.4516129032258063E-2</v>
      </c>
      <c r="F55" s="18">
        <f>IF(ISNUMBER(D55), $B64 * E55, "")</f>
        <v>-6451.6129032258059</v>
      </c>
      <c r="G55" s="31">
        <v>14.7</v>
      </c>
      <c r="H55" s="32">
        <f t="shared" ref="H55:H58" si="23">IF(ISNUMBER(G55), (G55 - $B55) / $B55, "")</f>
        <v>-5.16129032258065E-2</v>
      </c>
      <c r="I55" s="101">
        <f>IF(ISNUMBER(G55), $B64 * H55, "")</f>
        <v>-5161.2903225806504</v>
      </c>
      <c r="J55" s="15">
        <v>14.8</v>
      </c>
      <c r="K55" s="32">
        <f t="shared" ref="K55:K58" si="24">IF(ISNUMBER(J55), (J55 - $B55) / $B55, "")</f>
        <v>-4.5161290322580601E-2</v>
      </c>
      <c r="L55" s="18">
        <f>IF(ISNUMBER(J55), $B64 * K55, "")</f>
        <v>-4516.1290322580599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3"/>
      <c r="R55" s="234"/>
      <c r="S55" s="235"/>
    </row>
    <row r="56" spans="1:19" ht="17.25" customHeight="1" thickBot="1">
      <c r="A56" s="162" t="s">
        <v>268</v>
      </c>
      <c r="B56" s="126">
        <v>54.3</v>
      </c>
      <c r="C56" s="77">
        <v>0</v>
      </c>
      <c r="D56" s="15">
        <v>46.7</v>
      </c>
      <c r="E56" s="32">
        <f t="shared" si="22"/>
        <v>-0.13996316758747687</v>
      </c>
      <c r="F56" s="18">
        <f>IF(ISNUMBER(D56), $B64 * E56, "")</f>
        <v>-13996.316758747687</v>
      </c>
      <c r="G56" s="31">
        <v>47.1</v>
      </c>
      <c r="H56" s="32">
        <f t="shared" si="23"/>
        <v>-0.13259668508287287</v>
      </c>
      <c r="I56" s="101">
        <f>IF(ISNUMBER(G56), $B64 * H56, "")</f>
        <v>-13259.668508287286</v>
      </c>
      <c r="J56" s="15">
        <v>46.7</v>
      </c>
      <c r="K56" s="32">
        <f t="shared" si="24"/>
        <v>-0.13996316758747687</v>
      </c>
      <c r="L56" s="18">
        <f>IF(ISNUMBER(J56), $B64 * K56, "")</f>
        <v>-13996.316758747687</v>
      </c>
      <c r="M56" s="31"/>
      <c r="N56" s="32" t="str">
        <f t="shared" si="25"/>
        <v/>
      </c>
      <c r="O56" s="18" t="str">
        <f>IF(ISNUMBER(M56), $B64 * N56, "")</f>
        <v/>
      </c>
      <c r="Q56" s="218"/>
      <c r="R56" s="218"/>
      <c r="S56" s="218"/>
    </row>
    <row r="57" spans="1:19" ht="17.25" customHeight="1" thickBot="1">
      <c r="A57" s="162" t="s">
        <v>198</v>
      </c>
      <c r="B57" s="126">
        <v>17</v>
      </c>
      <c r="C57" s="77">
        <v>0</v>
      </c>
      <c r="D57" s="15">
        <v>14.8</v>
      </c>
      <c r="E57" s="32">
        <f t="shared" si="22"/>
        <v>-0.12941176470588231</v>
      </c>
      <c r="F57" s="18">
        <f>IF(ISNUMBER(D57), $B64 * E57, "")</f>
        <v>-12941.176470588231</v>
      </c>
      <c r="G57" s="31">
        <v>14.7</v>
      </c>
      <c r="H57" s="32">
        <f t="shared" si="23"/>
        <v>-0.13529411764705887</v>
      </c>
      <c r="I57" s="101">
        <f>IF(ISNUMBER(G57), $B64 * H57, "")</f>
        <v>-13529.411764705887</v>
      </c>
      <c r="J57" s="15">
        <v>14.6</v>
      </c>
      <c r="K57" s="32">
        <f t="shared" si="24"/>
        <v>-0.14117647058823532</v>
      </c>
      <c r="L57" s="18">
        <f>IF(ISNUMBER(J57), $B64 * K57, "")</f>
        <v>-14117.647058823532</v>
      </c>
      <c r="M57" s="31"/>
      <c r="N57" s="32" t="str">
        <f t="shared" si="25"/>
        <v/>
      </c>
      <c r="O57" s="18" t="str">
        <f>IF(ISNUMBER(M57), $B64 * N57, "")</f>
        <v/>
      </c>
      <c r="Q57" s="213"/>
      <c r="R57" s="213"/>
      <c r="S57" s="213"/>
    </row>
    <row r="58" spans="1:19" ht="17.25" customHeight="1" thickBot="1">
      <c r="A58" s="163" t="s">
        <v>260</v>
      </c>
      <c r="B58" s="128">
        <v>76.599999999999994</v>
      </c>
      <c r="C58" s="78">
        <v>-3.9011703999999999E-3</v>
      </c>
      <c r="D58" s="20">
        <v>64.7</v>
      </c>
      <c r="E58" s="21">
        <f t="shared" si="22"/>
        <v>-0.15535248041775446</v>
      </c>
      <c r="F58" s="22">
        <f>IF(ISNUMBER(D58), $B64 * E58, "")</f>
        <v>-15535.248041775445</v>
      </c>
      <c r="G58" s="30">
        <v>63.9</v>
      </c>
      <c r="H58" s="21">
        <f t="shared" si="23"/>
        <v>-0.16579634464751955</v>
      </c>
      <c r="I58" s="105">
        <f>IF(ISNUMBER(G58), $B64 * H58, "")</f>
        <v>-16579.634464751955</v>
      </c>
      <c r="J58" s="20">
        <v>64.099999999999994</v>
      </c>
      <c r="K58" s="21">
        <f t="shared" si="24"/>
        <v>-0.16318537859007834</v>
      </c>
      <c r="L58" s="22">
        <f>IF(ISNUMBER(J58), $B64 * K58, "")</f>
        <v>-16318.537859007834</v>
      </c>
      <c r="M58" s="30"/>
      <c r="N58" s="21" t="str">
        <f t="shared" si="25"/>
        <v/>
      </c>
      <c r="O58" s="22" t="str">
        <f>IF(ISNUMBER(M58), $B64 * N58, "")</f>
        <v/>
      </c>
      <c r="Q58" s="213"/>
      <c r="R58" s="213"/>
      <c r="S58" s="213"/>
    </row>
    <row r="59" spans="1:19" ht="17.25" customHeight="1" thickBot="1">
      <c r="A59" s="162" t="s">
        <v>212</v>
      </c>
      <c r="B59" s="129">
        <v>79.599999999999994</v>
      </c>
      <c r="C59" s="80">
        <v>-5.0000000000000001E-3</v>
      </c>
      <c r="D59" s="106">
        <v>67</v>
      </c>
      <c r="E59" s="107">
        <f>IF(ISNUMBER(D59), (D59 - $B59) / $B59, "")</f>
        <v>-0.1582914572864321</v>
      </c>
      <c r="F59" s="108">
        <f>IF(ISNUMBER(D59), $B64 * E59, "")</f>
        <v>-15829.145728643211</v>
      </c>
      <c r="G59" s="109">
        <v>67.099999999999994</v>
      </c>
      <c r="H59" s="107">
        <f>IF(ISNUMBER(G59), (G59 - $B59) / $B59, "")</f>
        <v>-0.157035175879397</v>
      </c>
      <c r="I59" s="110">
        <f>IF(ISNUMBER(G59), $B64 * H59, "")</f>
        <v>-15703.517587939699</v>
      </c>
      <c r="J59" s="106">
        <v>67.2</v>
      </c>
      <c r="K59" s="107">
        <f>IF(ISNUMBER(J59), (J59 - $B59) / $B59, "")</f>
        <v>-0.15577889447236171</v>
      </c>
      <c r="L59" s="108">
        <f>IF(ISNUMBER(J59), $B64 * K59, "")</f>
        <v>-15577.88944723617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8"/>
      <c r="R59" s="218"/>
      <c r="S59" s="218"/>
    </row>
    <row r="60" spans="1:19" ht="17.25" customHeight="1" thickBot="1">
      <c r="A60" s="162" t="s">
        <v>156</v>
      </c>
      <c r="B60" s="126">
        <v>89.9</v>
      </c>
      <c r="C60" s="77">
        <v>-5.5309735000000004E-3</v>
      </c>
      <c r="D60" s="15">
        <v>81.3</v>
      </c>
      <c r="E60" s="32">
        <f t="shared" ref="E60:E63" si="26">IF(ISNUMBER(D60), (D60 - $B60) / $B60, "")</f>
        <v>-9.5661846496106873E-2</v>
      </c>
      <c r="F60" s="18">
        <f>IF(ISNUMBER(D60), $B64 * E60, "")</f>
        <v>-9566.1846496106864</v>
      </c>
      <c r="G60" s="31">
        <v>82.3</v>
      </c>
      <c r="H60" s="32">
        <f t="shared" ref="H60:H63" si="27">IF(ISNUMBER(G60), (G60 - $B60) / $B60, "")</f>
        <v>-8.4538375973303756E-2</v>
      </c>
      <c r="I60" s="101">
        <f>IF(ISNUMBER(G60), $B64 * H60, "")</f>
        <v>-8453.8375973303755</v>
      </c>
      <c r="J60" s="15">
        <v>82.9</v>
      </c>
      <c r="K60" s="32">
        <f t="shared" ref="K60:K63" si="28">IF(ISNUMBER(J60), (J60 - $B60) / $B60, "")</f>
        <v>-7.7864293659621803E-2</v>
      </c>
      <c r="L60" s="18">
        <f>IF(ISNUMBER(J60), $B64 * K60, "")</f>
        <v>-7786.4293659621799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8"/>
      <c r="R60" s="218"/>
      <c r="S60" s="218"/>
    </row>
    <row r="61" spans="1:19" ht="17.25" customHeight="1" thickBot="1">
      <c r="A61" s="162" t="s">
        <v>278</v>
      </c>
      <c r="B61" s="126">
        <v>81.900000000000006</v>
      </c>
      <c r="C61" s="77">
        <v>-8.4745762999999998E-3</v>
      </c>
      <c r="D61" s="15">
        <v>72.3</v>
      </c>
      <c r="E61" s="32">
        <f t="shared" si="26"/>
        <v>-0.11721611721611731</v>
      </c>
      <c r="F61" s="18">
        <f>IF(ISNUMBER(D61), $B64 * E61, "")</f>
        <v>-11721.611721611731</v>
      </c>
      <c r="G61" s="31">
        <v>74.2</v>
      </c>
      <c r="H61" s="32">
        <f t="shared" si="27"/>
        <v>-9.4017094017094044E-2</v>
      </c>
      <c r="I61" s="101">
        <f>IF(ISNUMBER(G61), $B64 * H61, "")</f>
        <v>-9401.7094017094041</v>
      </c>
      <c r="J61" s="15">
        <v>74.2</v>
      </c>
      <c r="K61" s="32">
        <f t="shared" si="28"/>
        <v>-9.4017094017094044E-2</v>
      </c>
      <c r="L61" s="18">
        <f>IF(ISNUMBER(J61), $B64 * K61, "")</f>
        <v>-9401.7094017094041</v>
      </c>
      <c r="M61" s="31"/>
      <c r="N61" s="32" t="str">
        <f t="shared" si="29"/>
        <v/>
      </c>
      <c r="O61" s="18" t="str">
        <f>IF(ISNUMBER(M61), $B64 * N61, "")</f>
        <v/>
      </c>
      <c r="Q61" s="218"/>
      <c r="R61" s="218"/>
      <c r="S61" s="218"/>
    </row>
    <row r="62" spans="1:19" ht="17.25" customHeight="1">
      <c r="A62" s="162" t="s">
        <v>154</v>
      </c>
      <c r="B62" s="126">
        <v>11.6</v>
      </c>
      <c r="C62" s="77">
        <v>-8.5470084999999998E-3</v>
      </c>
      <c r="D62" s="15">
        <v>10.199999999999999</v>
      </c>
      <c r="E62" s="32">
        <f t="shared" si="26"/>
        <v>-0.12068965517241383</v>
      </c>
      <c r="F62" s="18">
        <f>IF(ISNUMBER(D62), $B64 * E62, "")</f>
        <v>-12068.965517241382</v>
      </c>
      <c r="G62" s="31">
        <v>10.199999999999999</v>
      </c>
      <c r="H62" s="32">
        <f t="shared" si="27"/>
        <v>-0.12068965517241383</v>
      </c>
      <c r="I62" s="101">
        <f>IF(ISNUMBER(G62), $B64 * H62, "")</f>
        <v>-12068.965517241382</v>
      </c>
      <c r="J62" s="15">
        <v>10.5</v>
      </c>
      <c r="K62" s="32">
        <f t="shared" si="28"/>
        <v>-9.4827586206896519E-2</v>
      </c>
      <c r="L62" s="18">
        <f>IF(ISNUMBER(J62), $B64 * K62, "")</f>
        <v>-9482.7586206896522</v>
      </c>
      <c r="M62" s="31"/>
      <c r="N62" s="32" t="str">
        <f t="shared" si="29"/>
        <v/>
      </c>
      <c r="O62" s="18" t="str">
        <f>IF(ISNUMBER(M62), $B64 * N62, "")</f>
        <v/>
      </c>
      <c r="Q62" s="240"/>
      <c r="R62" s="241"/>
      <c r="S62" s="242"/>
    </row>
    <row r="63" spans="1:19" ht="17.25" customHeight="1" thickBot="1">
      <c r="A63" s="130" t="s">
        <v>152</v>
      </c>
      <c r="B63" s="131">
        <v>21.7</v>
      </c>
      <c r="C63" s="79">
        <v>-9.1324201000000001E-3</v>
      </c>
      <c r="D63" s="24">
        <v>18.399999999999999</v>
      </c>
      <c r="E63" s="25">
        <f t="shared" si="26"/>
        <v>-0.15207373271889404</v>
      </c>
      <c r="F63" s="104">
        <f>IF(ISNUMBER(D63), $B64 * E63, "")</f>
        <v>-15207.373271889404</v>
      </c>
      <c r="G63" s="102">
        <v>18.7</v>
      </c>
      <c r="H63" s="25">
        <f t="shared" si="27"/>
        <v>-0.13824884792626729</v>
      </c>
      <c r="I63" s="103">
        <f>IF(ISNUMBER(G63), $B64 * H63, "")</f>
        <v>-13824.88479262673</v>
      </c>
      <c r="J63" s="24">
        <v>18.600000000000001</v>
      </c>
      <c r="K63" s="25">
        <f t="shared" si="28"/>
        <v>-0.14285714285714277</v>
      </c>
      <c r="L63" s="104">
        <f>IF(ISNUMBER(J63), $B64 * K63, "")</f>
        <v>-14285.714285714277</v>
      </c>
      <c r="M63" s="102"/>
      <c r="N63" s="25" t="str">
        <f t="shared" si="29"/>
        <v/>
      </c>
      <c r="O63" s="104" t="str">
        <f>IF(ISNUMBER(M63), $B64 * N63, "")</f>
        <v/>
      </c>
      <c r="Q63" s="243"/>
      <c r="R63" s="244"/>
      <c r="S63" s="245"/>
    </row>
    <row r="64" spans="1:19" ht="17.25" customHeight="1" thickBot="1">
      <c r="A64" s="132" t="s">
        <v>300</v>
      </c>
      <c r="B64" s="251">
        <f>$B$37</f>
        <v>100000</v>
      </c>
      <c r="C64" s="252"/>
      <c r="D64" s="26" t="s">
        <v>301</v>
      </c>
      <c r="E64" s="27">
        <f>IF(COUNT(E44:E63), SUM(E44:E63) / COUNT(E44:E63), 0)</f>
        <v>-0.13028452273452634</v>
      </c>
      <c r="F64" s="28">
        <f>SUM(F44:F63)</f>
        <v>-260569.04546905271</v>
      </c>
      <c r="G64" s="26" t="s">
        <v>301</v>
      </c>
      <c r="H64" s="27">
        <f>IF(COUNT(H44:H63), SUM(H44:H63) / COUNT(H44:H63), 0)</f>
        <v>-0.12737342025519136</v>
      </c>
      <c r="I64" s="28">
        <f>SUM(I44:I63)</f>
        <v>-254746.84051038272</v>
      </c>
      <c r="J64" s="26" t="s">
        <v>301</v>
      </c>
      <c r="K64" s="27">
        <f>IF(COUNT(K44:K63), SUM(K44:K63) / COUNT(K44:K63), 0)</f>
        <v>-0.12207226797977319</v>
      </c>
      <c r="L64" s="28">
        <f>SUM(L44:L63)</f>
        <v>-244144.53595954643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46"/>
      <c r="R64" s="247"/>
      <c r="S64" s="248"/>
    </row>
    <row r="65" spans="1:19" ht="17.25" customHeight="1"/>
    <row r="66" spans="1:19" ht="17.25" customHeight="1" thickBot="1"/>
    <row r="67" spans="1:19" ht="17.25" thickBot="1">
      <c r="A67" s="192" t="s">
        <v>45</v>
      </c>
      <c r="B67" s="193"/>
      <c r="C67" s="193"/>
      <c r="D67" s="193"/>
      <c r="E67" s="193"/>
      <c r="F67" s="193"/>
      <c r="G67" s="193"/>
      <c r="H67" s="193"/>
      <c r="I67" s="193"/>
      <c r="J67" s="193"/>
      <c r="K67" s="193"/>
      <c r="L67" s="193"/>
      <c r="M67" s="193"/>
      <c r="N67" s="193"/>
      <c r="O67" s="194"/>
      <c r="Q67" s="213"/>
      <c r="R67" s="213"/>
      <c r="S67" s="213"/>
    </row>
    <row r="68" spans="1:19" ht="17.25" thickBot="1">
      <c r="A68" s="188" t="s">
        <v>297</v>
      </c>
      <c r="B68" s="192" t="s">
        <v>49</v>
      </c>
      <c r="C68" s="194"/>
      <c r="D68" s="192" t="s">
        <v>58</v>
      </c>
      <c r="E68" s="193"/>
      <c r="F68" s="194"/>
      <c r="G68" s="219">
        <f>_xlfn.IFNA(VLOOKUP(B68, 현재가테이블!$B$2:$D$200, 2, FALSE), "-")</f>
        <v>38300000</v>
      </c>
      <c r="H68" s="220"/>
      <c r="I68" s="221"/>
      <c r="J68" s="192" t="s">
        <v>59</v>
      </c>
      <c r="K68" s="193"/>
      <c r="L68" s="194"/>
      <c r="M68" s="222">
        <f>_xlfn.IFNA(VLOOKUP(B68, 현재가테이블!$B$2:$D$200, 3, FALSE), "-")</f>
        <v>-1.9557649E-2</v>
      </c>
      <c r="N68" s="223"/>
      <c r="O68" s="224"/>
      <c r="Q68" s="213"/>
      <c r="R68" s="213"/>
      <c r="S68" s="213"/>
    </row>
    <row r="69" spans="1:19" ht="17.25" thickBot="1">
      <c r="A69" s="253" t="s">
        <v>55</v>
      </c>
      <c r="B69" s="255" t="str">
        <f>TEXT($G$1, "[$-ko-KR]yyyy-mm-dd(ddd) ") &amp; "오전 00:00"</f>
        <v>2021-06-08(화) 오전 00:00</v>
      </c>
      <c r="C69" s="256"/>
      <c r="D69" s="215" t="str">
        <f>TEXT($G$1, "[$-ko-KR]yyyy-mm-dd(ddd) ") &amp; "오후 14:00"</f>
        <v>2021-06-08(화) 오후 14:00</v>
      </c>
      <c r="E69" s="216"/>
      <c r="F69" s="217"/>
      <c r="G69" s="215" t="str">
        <f>TEXT($G$1, "[$-ko-KR]yyyy-mm-dd(ddd) ") &amp; "오후 19:00"</f>
        <v>2021-06-08(화) 오후 19:00</v>
      </c>
      <c r="H69" s="216"/>
      <c r="I69" s="217"/>
      <c r="J69" s="215" t="str">
        <f>TEXT($G$1, "[$-ko-KR]yyyy-mm-dd(ddd) ") &amp; "오후 21:00"</f>
        <v>2021-06-08(화) 오후 21:00</v>
      </c>
      <c r="K69" s="216"/>
      <c r="L69" s="217"/>
      <c r="M69" s="215" t="str">
        <f>TEXT($G$1+1, "[$-ko-KR]yyyy-mm-dd(ddd) ") &amp; "오전 00:00"</f>
        <v>2021-06-09(수) 오전 00:00</v>
      </c>
      <c r="N69" s="216"/>
      <c r="O69" s="217"/>
      <c r="Q69" s="213"/>
      <c r="R69" s="213"/>
      <c r="S69" s="213"/>
    </row>
    <row r="70" spans="1:19" ht="17.25" thickBot="1">
      <c r="A70" s="25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9" t="s">
        <v>58</v>
      </c>
      <c r="H70" s="190" t="s">
        <v>298</v>
      </c>
      <c r="I70" s="19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8"/>
      <c r="R70" s="218"/>
      <c r="S70" s="218"/>
    </row>
    <row r="71" spans="1:19" ht="17.25" thickBot="1">
      <c r="A71" s="161" t="s">
        <v>142</v>
      </c>
      <c r="B71" s="124">
        <v>567</v>
      </c>
      <c r="C71" s="76">
        <v>0.107421875</v>
      </c>
      <c r="D71" s="13">
        <v>591</v>
      </c>
      <c r="E71" s="14">
        <f>IF(ISNUMBER(D71), (D71 - $B71) / $B71, "")</f>
        <v>4.2328042328042326E-2</v>
      </c>
      <c r="F71" s="16">
        <f>IF(ISNUMBER(D71), $B91 * E71, "")</f>
        <v>4232.8042328042329</v>
      </c>
      <c r="G71" s="29">
        <v>690</v>
      </c>
      <c r="H71" s="14">
        <f>IF(ISNUMBER(G71), (G71 - $B71) / $B71, "")</f>
        <v>0.21693121693121692</v>
      </c>
      <c r="I71" s="100">
        <f>IF(ISNUMBER(G71), $B91 * H71, "")</f>
        <v>21693.121693121691</v>
      </c>
      <c r="J71" s="13">
        <v>673</v>
      </c>
      <c r="K71" s="14">
        <f>IF(ISNUMBER(J71), (J71 - $B71) / $B71, "")</f>
        <v>0.18694885361552027</v>
      </c>
      <c r="L71" s="16">
        <f>IF(ISNUMBER(J71), $B91 * K71, "")</f>
        <v>18694.885361552027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3"/>
      <c r="R71" s="213"/>
      <c r="S71" s="213"/>
    </row>
    <row r="72" spans="1:19" ht="17.25" thickBot="1">
      <c r="A72" s="162" t="s">
        <v>282</v>
      </c>
      <c r="B72" s="126">
        <v>122</v>
      </c>
      <c r="C72" s="77">
        <v>8.9285714299999999E-2</v>
      </c>
      <c r="D72" s="15">
        <v>108</v>
      </c>
      <c r="E72" s="32">
        <f t="shared" ref="E72:E75" si="30">IF(ISNUMBER(D72), (D72 - $B72) / $B72, "")</f>
        <v>-0.11475409836065574</v>
      </c>
      <c r="F72" s="18">
        <f>IF(ISNUMBER(D72), $B91 * E72, "")</f>
        <v>-11475.409836065573</v>
      </c>
      <c r="G72" s="31">
        <v>108</v>
      </c>
      <c r="H72" s="32">
        <f t="shared" ref="H72:H75" si="31">IF(ISNUMBER(G72), (G72 - $B72) / $B72, "")</f>
        <v>-0.11475409836065574</v>
      </c>
      <c r="I72" s="101">
        <f>IF(ISNUMBER(G72), $B91 * H72, "")</f>
        <v>-11475.409836065573</v>
      </c>
      <c r="J72" s="15">
        <v>107</v>
      </c>
      <c r="K72" s="32">
        <f t="shared" ref="K72:K75" si="32">IF(ISNUMBER(J72), (J72 - $B72) / $B72, "")</f>
        <v>-0.12295081967213115</v>
      </c>
      <c r="L72" s="18">
        <f>IF(ISNUMBER(J72), $B91 * K72, "")</f>
        <v>-12295.081967213115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3"/>
      <c r="R72" s="213"/>
      <c r="S72" s="213"/>
    </row>
    <row r="73" spans="1:19" ht="17.25" thickBot="1">
      <c r="A73" s="162" t="s">
        <v>230</v>
      </c>
      <c r="B73" s="126">
        <v>124</v>
      </c>
      <c r="C73" s="77">
        <v>8.7719298200000004E-2</v>
      </c>
      <c r="D73" s="15">
        <v>109</v>
      </c>
      <c r="E73" s="32">
        <f t="shared" si="30"/>
        <v>-0.12096774193548387</v>
      </c>
      <c r="F73" s="18">
        <f>IF(ISNUMBER(D73), $B91 * E73, "")</f>
        <v>-12096.774193548388</v>
      </c>
      <c r="G73" s="31">
        <v>108</v>
      </c>
      <c r="H73" s="32">
        <f t="shared" si="31"/>
        <v>-0.12903225806451613</v>
      </c>
      <c r="I73" s="101">
        <f>IF(ISNUMBER(G73), $B91 * H73, "")</f>
        <v>-12903.225806451612</v>
      </c>
      <c r="J73" s="15">
        <v>109</v>
      </c>
      <c r="K73" s="32">
        <f t="shared" si="32"/>
        <v>-0.12096774193548387</v>
      </c>
      <c r="L73" s="18">
        <f>IF(ISNUMBER(J73), $B91 * K73, "")</f>
        <v>-12096.774193548388</v>
      </c>
      <c r="M73" s="31"/>
      <c r="N73" s="32" t="str">
        <f t="shared" si="33"/>
        <v/>
      </c>
      <c r="O73" s="18" t="str">
        <f>IF(ISNUMBER(M73), $B91 * N73, "")</f>
        <v/>
      </c>
      <c r="Q73" s="218"/>
      <c r="R73" s="218"/>
      <c r="S73" s="218"/>
    </row>
    <row r="74" spans="1:19" ht="17.25" thickBot="1">
      <c r="A74" s="162" t="s">
        <v>250</v>
      </c>
      <c r="B74" s="126">
        <v>127</v>
      </c>
      <c r="C74" s="77">
        <v>4.9586776899999997E-2</v>
      </c>
      <c r="D74" s="15">
        <v>119</v>
      </c>
      <c r="E74" s="32">
        <f t="shared" si="30"/>
        <v>-6.2992125984251968E-2</v>
      </c>
      <c r="F74" s="18">
        <f>IF(ISNUMBER(D74), $B91 * E74, "")</f>
        <v>-6299.212598425197</v>
      </c>
      <c r="G74" s="31">
        <v>120</v>
      </c>
      <c r="H74" s="32">
        <f t="shared" si="31"/>
        <v>-5.5118110236220472E-2</v>
      </c>
      <c r="I74" s="101">
        <f>IF(ISNUMBER(G74), $B91 * H74, "")</f>
        <v>-5511.8110236220473</v>
      </c>
      <c r="J74" s="15">
        <v>120</v>
      </c>
      <c r="K74" s="32">
        <f t="shared" si="32"/>
        <v>-5.5118110236220472E-2</v>
      </c>
      <c r="L74" s="18">
        <f>IF(ISNUMBER(J74), $B91 * K74, "")</f>
        <v>-5511.8110236220473</v>
      </c>
      <c r="M74" s="31"/>
      <c r="N74" s="32" t="str">
        <f t="shared" si="33"/>
        <v/>
      </c>
      <c r="O74" s="18" t="str">
        <f>IF(ISNUMBER(M74), $B91 * N74, "")</f>
        <v/>
      </c>
      <c r="Q74" s="218"/>
      <c r="R74" s="218"/>
      <c r="S74" s="218"/>
    </row>
    <row r="75" spans="1:19" ht="17.25" thickBot="1">
      <c r="A75" s="163" t="s">
        <v>182</v>
      </c>
      <c r="B75" s="128">
        <v>308</v>
      </c>
      <c r="C75" s="78">
        <v>3.7037037000000002E-2</v>
      </c>
      <c r="D75" s="20">
        <v>281</v>
      </c>
      <c r="E75" s="21">
        <f t="shared" si="30"/>
        <v>-8.7662337662337664E-2</v>
      </c>
      <c r="F75" s="22">
        <f>IF(ISNUMBER(D75), $B91 * E75, "")</f>
        <v>-8766.2337662337668</v>
      </c>
      <c r="G75" s="30">
        <v>279</v>
      </c>
      <c r="H75" s="21">
        <f t="shared" si="31"/>
        <v>-9.4155844155844159E-2</v>
      </c>
      <c r="I75" s="105">
        <f>IF(ISNUMBER(G75), $B91 * H75, "")</f>
        <v>-9415.5844155844152</v>
      </c>
      <c r="J75" s="20">
        <v>279</v>
      </c>
      <c r="K75" s="21">
        <f t="shared" si="32"/>
        <v>-9.4155844155844159E-2</v>
      </c>
      <c r="L75" s="22">
        <f>IF(ISNUMBER(J75), $B91 * K75, "")</f>
        <v>-9415.5844155844152</v>
      </c>
      <c r="M75" s="30"/>
      <c r="N75" s="21" t="str">
        <f t="shared" si="33"/>
        <v/>
      </c>
      <c r="O75" s="22" t="str">
        <f>IF(ISNUMBER(M75), $B91 * N75, "")</f>
        <v/>
      </c>
      <c r="Q75" s="218"/>
      <c r="R75" s="218"/>
      <c r="S75" s="218"/>
    </row>
    <row r="76" spans="1:19" ht="17.25" thickBot="1">
      <c r="A76" s="162" t="s">
        <v>252</v>
      </c>
      <c r="B76" s="129">
        <v>331</v>
      </c>
      <c r="C76" s="80">
        <v>3.1152648000000002E-2</v>
      </c>
      <c r="D76" s="106">
        <v>292</v>
      </c>
      <c r="E76" s="107">
        <f>IF(ISNUMBER(D76), (D76 - $B76) / $B76, "")</f>
        <v>-0.11782477341389729</v>
      </c>
      <c r="F76" s="108">
        <f>IF(ISNUMBER(D76), $B91 * E76, "")</f>
        <v>-11782.477341389729</v>
      </c>
      <c r="G76" s="109">
        <v>290</v>
      </c>
      <c r="H76" s="107">
        <f>IF(ISNUMBER(G76), (G76 - $B76) / $B76, "")</f>
        <v>-0.12386706948640483</v>
      </c>
      <c r="I76" s="110">
        <f>IF(ISNUMBER(G76), $B91 * H76, "")</f>
        <v>-12386.706948640483</v>
      </c>
      <c r="J76" s="106">
        <v>291</v>
      </c>
      <c r="K76" s="107">
        <f>IF(ISNUMBER(J76), (J76 - $B76) / $B76, "")</f>
        <v>-0.12084592145015106</v>
      </c>
      <c r="L76" s="108">
        <f>IF(ISNUMBER(J76), $B91 * K76, "")</f>
        <v>-12084.592145015107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8"/>
      <c r="R76" s="218"/>
      <c r="S76" s="218"/>
    </row>
    <row r="77" spans="1:19" ht="17.25" thickBot="1">
      <c r="A77" s="162" t="s">
        <v>210</v>
      </c>
      <c r="B77" s="126">
        <v>135</v>
      </c>
      <c r="C77" s="77">
        <v>2.2727272699999999E-2</v>
      </c>
      <c r="D77" s="15">
        <v>115</v>
      </c>
      <c r="E77" s="32">
        <f t="shared" ref="E77:E80" si="34">IF(ISNUMBER(D77), (D77 - $B77) / $B77, "")</f>
        <v>-0.14814814814814814</v>
      </c>
      <c r="F77" s="18">
        <f>IF(ISNUMBER(D77), $B91 * E77, "")</f>
        <v>-14814.814814814814</v>
      </c>
      <c r="G77" s="31">
        <v>115</v>
      </c>
      <c r="H77" s="32">
        <f t="shared" ref="H77:H80" si="35">IF(ISNUMBER(G77), (G77 - $B77) / $B77, "")</f>
        <v>-0.14814814814814814</v>
      </c>
      <c r="I77" s="101">
        <f>IF(ISNUMBER(G77), $B91 * H77, "")</f>
        <v>-14814.814814814814</v>
      </c>
      <c r="J77" s="15">
        <v>115</v>
      </c>
      <c r="K77" s="32">
        <f t="shared" ref="K77:K80" si="36">IF(ISNUMBER(J77), (J77 - $B77) / $B77, "")</f>
        <v>-0.14814814814814814</v>
      </c>
      <c r="L77" s="18">
        <f>IF(ISNUMBER(J77), $B91 * K77, "")</f>
        <v>-14814.814814814814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8"/>
      <c r="R77" s="218"/>
      <c r="S77" s="218"/>
    </row>
    <row r="78" spans="1:19" ht="17.25" thickBot="1">
      <c r="A78" s="162" t="s">
        <v>226</v>
      </c>
      <c r="B78" s="126">
        <v>307</v>
      </c>
      <c r="C78" s="77">
        <v>1.9933554799999999E-2</v>
      </c>
      <c r="D78" s="15">
        <v>266</v>
      </c>
      <c r="E78" s="32">
        <f t="shared" si="34"/>
        <v>-0.13355048859934854</v>
      </c>
      <c r="F78" s="18">
        <f>IF(ISNUMBER(D78), $B91 * E78, "")</f>
        <v>-13355.048859934854</v>
      </c>
      <c r="G78" s="31">
        <v>270</v>
      </c>
      <c r="H78" s="32">
        <f t="shared" si="35"/>
        <v>-0.12052117263843648</v>
      </c>
      <c r="I78" s="101">
        <f>IF(ISNUMBER(G78), $B91 * H78, "")</f>
        <v>-12052.117263843647</v>
      </c>
      <c r="J78" s="15">
        <v>269</v>
      </c>
      <c r="K78" s="32">
        <f t="shared" si="36"/>
        <v>-0.12377850162866449</v>
      </c>
      <c r="L78" s="18">
        <f>IF(ISNUMBER(J78), $B91 * K78, "")</f>
        <v>-12377.850162866449</v>
      </c>
      <c r="M78" s="31"/>
      <c r="N78" s="32" t="str">
        <f t="shared" si="37"/>
        <v/>
      </c>
      <c r="O78" s="18" t="str">
        <f>IF(ISNUMBER(M78), $B91 * N78, "")</f>
        <v/>
      </c>
      <c r="Q78" s="218"/>
      <c r="R78" s="218"/>
      <c r="S78" s="218"/>
    </row>
    <row r="79" spans="1:19" ht="17.25" thickBot="1">
      <c r="A79" s="162" t="s">
        <v>234</v>
      </c>
      <c r="B79" s="126">
        <v>857</v>
      </c>
      <c r="C79" s="77">
        <v>1.66073547E-2</v>
      </c>
      <c r="D79" s="15">
        <v>729</v>
      </c>
      <c r="E79" s="32">
        <f t="shared" si="34"/>
        <v>-0.14935822637106183</v>
      </c>
      <c r="F79" s="18">
        <f>IF(ISNUMBER(D79), $B91 * E79, "")</f>
        <v>-14935.822637106183</v>
      </c>
      <c r="G79" s="31">
        <v>732</v>
      </c>
      <c r="H79" s="32">
        <f t="shared" si="35"/>
        <v>-0.14585764294049008</v>
      </c>
      <c r="I79" s="101">
        <f>IF(ISNUMBER(G79), $B91 * H79, "")</f>
        <v>-14585.764294049008</v>
      </c>
      <c r="J79" s="15">
        <v>733</v>
      </c>
      <c r="K79" s="32">
        <f t="shared" si="36"/>
        <v>-0.14469078179696615</v>
      </c>
      <c r="L79" s="18">
        <f>IF(ISNUMBER(J79), $B91 * K79, "")</f>
        <v>-14469.078179696615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284</v>
      </c>
      <c r="B80" s="131">
        <v>262</v>
      </c>
      <c r="C80" s="79">
        <v>1.5503876E-2</v>
      </c>
      <c r="D80" s="24">
        <v>223</v>
      </c>
      <c r="E80" s="25">
        <f t="shared" si="34"/>
        <v>-0.14885496183206107</v>
      </c>
      <c r="F80" s="104">
        <f>IF(ISNUMBER(D80), $B91 * E80, "")</f>
        <v>-14885.496183206107</v>
      </c>
      <c r="G80" s="102">
        <v>225</v>
      </c>
      <c r="H80" s="25">
        <f t="shared" si="35"/>
        <v>-0.14122137404580154</v>
      </c>
      <c r="I80" s="103">
        <f>IF(ISNUMBER(G80), $B91 * H80, "")</f>
        <v>-14122.137404580153</v>
      </c>
      <c r="J80" s="24">
        <v>227</v>
      </c>
      <c r="K80" s="25">
        <f t="shared" si="36"/>
        <v>-0.13358778625954199</v>
      </c>
      <c r="L80" s="104">
        <f>IF(ISNUMBER(J80), $B91 * K80, "")</f>
        <v>-13358.778625954199</v>
      </c>
      <c r="M80" s="102"/>
      <c r="N80" s="25" t="str">
        <f t="shared" si="37"/>
        <v/>
      </c>
      <c r="O80" s="104" t="str">
        <f>IF(ISNUMBER(M80), $B91 * N80, "")</f>
        <v/>
      </c>
      <c r="Q80" s="227"/>
      <c r="R80" s="228"/>
      <c r="S80" s="229"/>
    </row>
    <row r="81" spans="1:19">
      <c r="A81" s="161" t="s">
        <v>112</v>
      </c>
      <c r="B81" s="124">
        <v>202</v>
      </c>
      <c r="C81" s="76">
        <v>1.50753769E-2</v>
      </c>
      <c r="D81" s="13">
        <v>184</v>
      </c>
      <c r="E81" s="14">
        <f>IF(ISNUMBER(D81), (D81 - $B81) / $B81, "")</f>
        <v>-8.9108910891089105E-2</v>
      </c>
      <c r="F81" s="16">
        <f>IF(ISNUMBER(D81), $B91 * E81, "")</f>
        <v>-8910.8910891089108</v>
      </c>
      <c r="G81" s="29">
        <v>181</v>
      </c>
      <c r="H81" s="14">
        <f>IF(ISNUMBER(G81), (G81 - $B81) / $B81, "")</f>
        <v>-0.10396039603960396</v>
      </c>
      <c r="I81" s="100">
        <f>IF(ISNUMBER(G81), $B91 * H81, "")</f>
        <v>-10396.039603960395</v>
      </c>
      <c r="J81" s="13">
        <v>181</v>
      </c>
      <c r="K81" s="14">
        <f>IF(ISNUMBER(J81), (J81 - $B81) / $B81, "")</f>
        <v>-0.10396039603960396</v>
      </c>
      <c r="L81" s="16">
        <f>IF(ISNUMBER(J81), $B91 * K81, "")</f>
        <v>-10396.039603960395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0"/>
      <c r="R81" s="231"/>
      <c r="S81" s="232"/>
    </row>
    <row r="82" spans="1:19" ht="17.25" thickBot="1">
      <c r="A82" s="162" t="s">
        <v>262</v>
      </c>
      <c r="B82" s="126">
        <v>657</v>
      </c>
      <c r="C82" s="77">
        <v>1.38888889E-2</v>
      </c>
      <c r="D82" s="15">
        <v>568</v>
      </c>
      <c r="E82" s="32">
        <f t="shared" ref="E82:E85" si="38">IF(ISNUMBER(D82), (D82 - $B82) / $B82, "")</f>
        <v>-0.13546423135464231</v>
      </c>
      <c r="F82" s="18">
        <f>IF(ISNUMBER(D82), $B91 * E82, "")</f>
        <v>-13546.423135464231</v>
      </c>
      <c r="G82" s="31">
        <v>570</v>
      </c>
      <c r="H82" s="32">
        <f t="shared" ref="H82:H85" si="39">IF(ISNUMBER(G82), (G82 - $B82) / $B82, "")</f>
        <v>-0.13242009132420091</v>
      </c>
      <c r="I82" s="101">
        <f>IF(ISNUMBER(G82), $B91 * H82, "")</f>
        <v>-13242.009132420091</v>
      </c>
      <c r="J82" s="15">
        <v>569</v>
      </c>
      <c r="K82" s="32">
        <f t="shared" ref="K82:K85" si="40">IF(ISNUMBER(J82), (J82 - $B82) / $B82, "")</f>
        <v>-0.13394216133942161</v>
      </c>
      <c r="L82" s="18">
        <f>IF(ISNUMBER(J82), $B91 * K82, "")</f>
        <v>-13394.21613394216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3"/>
      <c r="R82" s="234"/>
      <c r="S82" s="235"/>
    </row>
    <row r="83" spans="1:19" ht="17.25" thickBot="1">
      <c r="A83" s="162" t="s">
        <v>238</v>
      </c>
      <c r="B83" s="126">
        <v>190</v>
      </c>
      <c r="C83" s="77">
        <v>1.06382979E-2</v>
      </c>
      <c r="D83" s="15">
        <v>166</v>
      </c>
      <c r="E83" s="32">
        <f t="shared" si="38"/>
        <v>-0.12631578947368421</v>
      </c>
      <c r="F83" s="18">
        <f>IF(ISNUMBER(D83), $B91 * E83, "")</f>
        <v>-12631.578947368422</v>
      </c>
      <c r="G83" s="31">
        <v>169</v>
      </c>
      <c r="H83" s="32">
        <f t="shared" si="39"/>
        <v>-0.11052631578947368</v>
      </c>
      <c r="I83" s="101">
        <f>IF(ISNUMBER(G83), $B91 * H83, "")</f>
        <v>-11052.631578947368</v>
      </c>
      <c r="J83" s="15">
        <v>165</v>
      </c>
      <c r="K83" s="32">
        <f t="shared" si="40"/>
        <v>-0.13157894736842105</v>
      </c>
      <c r="L83" s="18">
        <f>IF(ISNUMBER(J83), $B91 * K83, "")</f>
        <v>-13157.894736842105</v>
      </c>
      <c r="M83" s="31"/>
      <c r="N83" s="32" t="str">
        <f t="shared" si="41"/>
        <v/>
      </c>
      <c r="O83" s="18" t="str">
        <f>IF(ISNUMBER(M83), $B91 * N83, "")</f>
        <v/>
      </c>
      <c r="Q83" s="218"/>
      <c r="R83" s="218"/>
      <c r="S83" s="218"/>
    </row>
    <row r="84" spans="1:19" ht="17.25" thickBot="1">
      <c r="A84" s="162" t="s">
        <v>200</v>
      </c>
      <c r="B84" s="126">
        <v>225</v>
      </c>
      <c r="C84" s="77">
        <v>8.9686099000000005E-3</v>
      </c>
      <c r="D84" s="15">
        <v>189</v>
      </c>
      <c r="E84" s="32">
        <f t="shared" si="38"/>
        <v>-0.16</v>
      </c>
      <c r="F84" s="18">
        <f>IF(ISNUMBER(D84), $B91 * E84, "")</f>
        <v>-16000</v>
      </c>
      <c r="G84" s="31">
        <v>190</v>
      </c>
      <c r="H84" s="32">
        <f t="shared" si="39"/>
        <v>-0.15555555555555556</v>
      </c>
      <c r="I84" s="101">
        <f>IF(ISNUMBER(G84), $B91 * H84, "")</f>
        <v>-15555.555555555557</v>
      </c>
      <c r="J84" s="15">
        <v>192</v>
      </c>
      <c r="K84" s="32">
        <f t="shared" si="40"/>
        <v>-0.14666666666666667</v>
      </c>
      <c r="L84" s="18">
        <f>IF(ISNUMBER(J84), $B91 * K84, "")</f>
        <v>-14666.666666666666</v>
      </c>
      <c r="M84" s="31"/>
      <c r="N84" s="32" t="str">
        <f t="shared" si="41"/>
        <v/>
      </c>
      <c r="O84" s="18" t="str">
        <f>IF(ISNUMBER(M84), $B91 * N84, "")</f>
        <v/>
      </c>
      <c r="Q84" s="213"/>
      <c r="R84" s="213"/>
      <c r="S84" s="213"/>
    </row>
    <row r="85" spans="1:19" ht="17.25" thickBot="1">
      <c r="A85" s="163" t="s">
        <v>202</v>
      </c>
      <c r="B85" s="128">
        <v>129</v>
      </c>
      <c r="C85" s="78">
        <v>7.8125E-3</v>
      </c>
      <c r="D85" s="20">
        <v>111</v>
      </c>
      <c r="E85" s="21">
        <f t="shared" si="38"/>
        <v>-0.13953488372093023</v>
      </c>
      <c r="F85" s="22">
        <f>IF(ISNUMBER(D85), $B91 * E85, "")</f>
        <v>-13953.488372093023</v>
      </c>
      <c r="G85" s="30">
        <v>108</v>
      </c>
      <c r="H85" s="21">
        <f t="shared" si="39"/>
        <v>-0.16279069767441862</v>
      </c>
      <c r="I85" s="105">
        <f>IF(ISNUMBER(G85), $B91 * H85, "")</f>
        <v>-16279.069767441862</v>
      </c>
      <c r="J85" s="20">
        <v>108</v>
      </c>
      <c r="K85" s="21">
        <f t="shared" si="40"/>
        <v>-0.16279069767441862</v>
      </c>
      <c r="L85" s="22">
        <f>IF(ISNUMBER(J85), $B91 * K85, "")</f>
        <v>-16279.069767441862</v>
      </c>
      <c r="M85" s="30"/>
      <c r="N85" s="21" t="str">
        <f t="shared" si="41"/>
        <v/>
      </c>
      <c r="O85" s="22" t="str">
        <f>IF(ISNUMBER(M85), $B91 * N85, "")</f>
        <v/>
      </c>
      <c r="Q85" s="213"/>
      <c r="R85" s="213"/>
      <c r="S85" s="213"/>
    </row>
    <row r="86" spans="1:19" ht="17.25" thickBot="1">
      <c r="A86" s="162" t="s">
        <v>120</v>
      </c>
      <c r="B86" s="129">
        <v>145</v>
      </c>
      <c r="C86" s="80">
        <v>6.9444444000000003E-3</v>
      </c>
      <c r="D86" s="106">
        <v>130</v>
      </c>
      <c r="E86" s="107">
        <f>IF(ISNUMBER(D86), (D86 - $B86) / $B86, "")</f>
        <v>-0.10344827586206896</v>
      </c>
      <c r="F86" s="108">
        <f>IF(ISNUMBER(D86), $B91 * E86, "")</f>
        <v>-10344.827586206897</v>
      </c>
      <c r="G86" s="109">
        <v>131</v>
      </c>
      <c r="H86" s="107">
        <f>IF(ISNUMBER(G86), (G86 - $B86) / $B86, "")</f>
        <v>-9.6551724137931033E-2</v>
      </c>
      <c r="I86" s="110">
        <f>IF(ISNUMBER(G86), $B91 * H86, "")</f>
        <v>-9655.1724137931033</v>
      </c>
      <c r="J86" s="106">
        <v>133</v>
      </c>
      <c r="K86" s="107">
        <f>IF(ISNUMBER(J86), (J86 - $B86) / $B86, "")</f>
        <v>-8.2758620689655171E-2</v>
      </c>
      <c r="L86" s="108">
        <f>IF(ISNUMBER(J86), $B91 * K86, "")</f>
        <v>-8275.8620689655163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8"/>
      <c r="R86" s="218"/>
      <c r="S86" s="218"/>
    </row>
    <row r="87" spans="1:19" ht="17.25" thickBot="1">
      <c r="A87" s="162" t="s">
        <v>136</v>
      </c>
      <c r="B87" s="126">
        <v>146</v>
      </c>
      <c r="C87" s="77">
        <v>6.8965516999999997E-3</v>
      </c>
      <c r="D87" s="15">
        <v>125</v>
      </c>
      <c r="E87" s="32">
        <f t="shared" ref="E87:E90" si="42">IF(ISNUMBER(D87), (D87 - $B87) / $B87, "")</f>
        <v>-0.14383561643835616</v>
      </c>
      <c r="F87" s="18">
        <f>IF(ISNUMBER(D87), $B91 * E87, "")</f>
        <v>-14383.561643835616</v>
      </c>
      <c r="G87" s="31">
        <v>124</v>
      </c>
      <c r="H87" s="32">
        <f t="shared" ref="H87:H90" si="43">IF(ISNUMBER(G87), (G87 - $B87) / $B87, "")</f>
        <v>-0.15068493150684931</v>
      </c>
      <c r="I87" s="101">
        <f>IF(ISNUMBER(G87), $B91 * H87, "")</f>
        <v>-15068.49315068493</v>
      </c>
      <c r="J87" s="15">
        <v>126</v>
      </c>
      <c r="K87" s="32">
        <f t="shared" ref="K87:K90" si="44">IF(ISNUMBER(J87), (J87 - $B87) / $B87, "")</f>
        <v>-0.13698630136986301</v>
      </c>
      <c r="L87" s="18">
        <f>IF(ISNUMBER(J87), $B91 * K87, "")</f>
        <v>-13698.630136986301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8"/>
      <c r="R87" s="218"/>
      <c r="S87" s="218"/>
    </row>
    <row r="88" spans="1:19" ht="17.25" thickBot="1">
      <c r="A88" s="162" t="s">
        <v>256</v>
      </c>
      <c r="B88" s="126">
        <v>181</v>
      </c>
      <c r="C88" s="77">
        <v>5.5555556000000004E-3</v>
      </c>
      <c r="D88" s="15">
        <v>155</v>
      </c>
      <c r="E88" s="32">
        <f t="shared" si="42"/>
        <v>-0.143646408839779</v>
      </c>
      <c r="F88" s="18">
        <f>IF(ISNUMBER(D88), $B91 * E88, "")</f>
        <v>-14364.6408839779</v>
      </c>
      <c r="G88" s="31">
        <v>156</v>
      </c>
      <c r="H88" s="32">
        <f t="shared" si="43"/>
        <v>-0.13812154696132597</v>
      </c>
      <c r="I88" s="101">
        <f>IF(ISNUMBER(G88), $B91 * H88, "")</f>
        <v>-13812.154696132597</v>
      </c>
      <c r="J88" s="15">
        <v>158</v>
      </c>
      <c r="K88" s="32">
        <f t="shared" si="44"/>
        <v>-0.1270718232044199</v>
      </c>
      <c r="L88" s="18">
        <f>IF(ISNUMBER(J88), $B91 * K88, "")</f>
        <v>-12707.182320441991</v>
      </c>
      <c r="M88" s="31"/>
      <c r="N88" s="32" t="str">
        <f t="shared" si="45"/>
        <v/>
      </c>
      <c r="O88" s="18" t="str">
        <f>IF(ISNUMBER(M88), $B91 * N88, "")</f>
        <v/>
      </c>
      <c r="Q88" s="218"/>
      <c r="R88" s="218"/>
      <c r="S88" s="218"/>
    </row>
    <row r="89" spans="1:19">
      <c r="A89" s="162" t="s">
        <v>80</v>
      </c>
      <c r="B89" s="126">
        <v>893</v>
      </c>
      <c r="C89" s="77">
        <v>4.4994376000000004E-3</v>
      </c>
      <c r="D89" s="15">
        <v>782</v>
      </c>
      <c r="E89" s="32">
        <f t="shared" si="42"/>
        <v>-0.12430011198208286</v>
      </c>
      <c r="F89" s="18">
        <f>IF(ISNUMBER(D89), $B91 * E89, "")</f>
        <v>-12430.011198208287</v>
      </c>
      <c r="G89" s="31">
        <v>781</v>
      </c>
      <c r="H89" s="32">
        <f t="shared" si="43"/>
        <v>-0.12541993281075028</v>
      </c>
      <c r="I89" s="101">
        <f>IF(ISNUMBER(G89), $B91 * H89, "")</f>
        <v>-12541.993281075029</v>
      </c>
      <c r="J89" s="15">
        <v>790</v>
      </c>
      <c r="K89" s="32">
        <f t="shared" si="44"/>
        <v>-0.11534154535274356</v>
      </c>
      <c r="L89" s="18">
        <f>IF(ISNUMBER(J89), $B91 * K89, "")</f>
        <v>-11534.154535274356</v>
      </c>
      <c r="M89" s="31"/>
      <c r="N89" s="32" t="str">
        <f t="shared" si="45"/>
        <v/>
      </c>
      <c r="O89" s="18" t="str">
        <f>IF(ISNUMBER(M89), $B91 * N89, "")</f>
        <v/>
      </c>
      <c r="Q89" s="240"/>
      <c r="R89" s="241"/>
      <c r="S89" s="242"/>
    </row>
    <row r="90" spans="1:19" ht="17.25" thickBot="1">
      <c r="A90" s="130" t="s">
        <v>168</v>
      </c>
      <c r="B90" s="131">
        <v>109</v>
      </c>
      <c r="C90" s="79">
        <v>0</v>
      </c>
      <c r="D90" s="24">
        <v>93.3</v>
      </c>
      <c r="E90" s="25">
        <f t="shared" si="42"/>
        <v>-0.14403669724770646</v>
      </c>
      <c r="F90" s="104">
        <f>IF(ISNUMBER(D90), $B91 * E90, "")</f>
        <v>-14403.669724770645</v>
      </c>
      <c r="G90" s="102">
        <v>93.3</v>
      </c>
      <c r="H90" s="25">
        <f t="shared" si="43"/>
        <v>-0.14403669724770646</v>
      </c>
      <c r="I90" s="103">
        <f>IF(ISNUMBER(G90), $B91 * H90, "")</f>
        <v>-14403.669724770645</v>
      </c>
      <c r="J90" s="24">
        <v>94</v>
      </c>
      <c r="K90" s="25">
        <f t="shared" si="44"/>
        <v>-0.13761467889908258</v>
      </c>
      <c r="L90" s="104">
        <f>IF(ISNUMBER(J90), $B91 * K90, "")</f>
        <v>-13761.467889908257</v>
      </c>
      <c r="M90" s="102"/>
      <c r="N90" s="25" t="str">
        <f t="shared" si="45"/>
        <v/>
      </c>
      <c r="O90" s="104" t="str">
        <f>IF(ISNUMBER(M90), $B91 * N90, "")</f>
        <v/>
      </c>
      <c r="Q90" s="243"/>
      <c r="R90" s="244"/>
      <c r="S90" s="245"/>
    </row>
    <row r="91" spans="1:19" ht="17.25" thickBot="1">
      <c r="A91" s="132" t="s">
        <v>300</v>
      </c>
      <c r="B91" s="251">
        <f>$B$37</f>
        <v>100000</v>
      </c>
      <c r="C91" s="252"/>
      <c r="D91" s="26" t="s">
        <v>301</v>
      </c>
      <c r="E91" s="27">
        <f>IF(COUNT(E71:E90), SUM(E71:E90) / COUNT(E71:E90), 0)</f>
        <v>-0.11757378928947718</v>
      </c>
      <c r="F91" s="28">
        <f>SUM(F71:F90)</f>
        <v>-235147.57857895433</v>
      </c>
      <c r="G91" s="26" t="s">
        <v>301</v>
      </c>
      <c r="H91" s="27">
        <f>IF(COUNT(H71:H90), SUM(H71:H90) / COUNT(H71:H90), 0)</f>
        <v>-0.10879061950965581</v>
      </c>
      <c r="I91" s="28">
        <f>SUM(I71:I90)</f>
        <v>-217581.23901931164</v>
      </c>
      <c r="J91" s="26" t="s">
        <v>301</v>
      </c>
      <c r="K91" s="27">
        <f>IF(COUNT(K71:K90), SUM(K71:K90) / COUNT(K71:K90), 0)</f>
        <v>-0.10780033201359636</v>
      </c>
      <c r="L91" s="28">
        <f>SUM(L71:L90)</f>
        <v>-215600.66402719272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46"/>
      <c r="R91" s="247"/>
      <c r="S91" s="248"/>
    </row>
    <row r="93" spans="1:19" ht="17.25" thickBot="1"/>
    <row r="94" spans="1:19" ht="17.25" thickBot="1">
      <c r="A94" s="192" t="s">
        <v>46</v>
      </c>
      <c r="B94" s="193"/>
      <c r="C94" s="193"/>
      <c r="D94" s="193"/>
      <c r="E94" s="193"/>
      <c r="F94" s="193"/>
      <c r="G94" s="193"/>
      <c r="H94" s="193"/>
      <c r="I94" s="193"/>
      <c r="J94" s="193"/>
      <c r="K94" s="193"/>
      <c r="L94" s="193"/>
      <c r="M94" s="193"/>
      <c r="N94" s="193"/>
      <c r="O94" s="194"/>
      <c r="Q94" s="213"/>
      <c r="R94" s="213"/>
      <c r="S94" s="213"/>
    </row>
    <row r="95" spans="1:19" ht="17.25" thickBot="1">
      <c r="A95" s="188" t="s">
        <v>297</v>
      </c>
      <c r="B95" s="192" t="s">
        <v>49</v>
      </c>
      <c r="C95" s="194"/>
      <c r="D95" s="192" t="s">
        <v>58</v>
      </c>
      <c r="E95" s="193"/>
      <c r="F95" s="194"/>
      <c r="G95" s="219">
        <f>_xlfn.IFNA(VLOOKUP(B95, 현재가테이블!$B$2:$D$200, 2, FALSE), "-")</f>
        <v>38300000</v>
      </c>
      <c r="H95" s="220"/>
      <c r="I95" s="221"/>
      <c r="J95" s="192" t="s">
        <v>59</v>
      </c>
      <c r="K95" s="193"/>
      <c r="L95" s="194"/>
      <c r="M95" s="222">
        <f>_xlfn.IFNA(VLOOKUP(B95, 현재가테이블!$B$2:$D$200, 3, FALSE), "-")</f>
        <v>-1.9557649E-2</v>
      </c>
      <c r="N95" s="223"/>
      <c r="O95" s="224"/>
      <c r="Q95" s="213"/>
      <c r="R95" s="213"/>
      <c r="S95" s="213"/>
    </row>
    <row r="96" spans="1:19" ht="17.25" thickBot="1">
      <c r="A96" s="253" t="s">
        <v>55</v>
      </c>
      <c r="B96" s="255" t="str">
        <f>TEXT($G$1, "[$-ko-KR]yyyy-mm-dd(ddd) ") &amp; "오전 00:00"</f>
        <v>2021-06-08(화) 오전 00:00</v>
      </c>
      <c r="C96" s="256"/>
      <c r="D96" s="215" t="str">
        <f>TEXT($G$1, "[$-ko-KR]yyyy-mm-dd(ddd) ") &amp; "오후 14:00"</f>
        <v>2021-06-08(화) 오후 14:00</v>
      </c>
      <c r="E96" s="216"/>
      <c r="F96" s="217"/>
      <c r="G96" s="215" t="str">
        <f>TEXT($G$1, "[$-ko-KR]yyyy-mm-dd(ddd) ") &amp; "오후 19:00"</f>
        <v>2021-06-08(화) 오후 19:00</v>
      </c>
      <c r="H96" s="216"/>
      <c r="I96" s="217"/>
      <c r="J96" s="215" t="str">
        <f>TEXT($G$1, "[$-ko-KR]yyyy-mm-dd(ddd) ") &amp; "오후 21:00"</f>
        <v>2021-06-08(화) 오후 21:00</v>
      </c>
      <c r="K96" s="216"/>
      <c r="L96" s="217"/>
      <c r="M96" s="215" t="str">
        <f>TEXT($G$1+1, "[$-ko-KR]yyyy-mm-dd(ddd) ") &amp; "오전 00:00"</f>
        <v>2021-06-09(수) 오전 00:00</v>
      </c>
      <c r="N96" s="216"/>
      <c r="O96" s="217"/>
      <c r="Q96" s="213"/>
      <c r="R96" s="213"/>
      <c r="S96" s="213"/>
    </row>
    <row r="97" spans="1:19" ht="17.25" thickBot="1">
      <c r="A97" s="25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9" t="s">
        <v>58</v>
      </c>
      <c r="H97" s="190" t="s">
        <v>298</v>
      </c>
      <c r="I97" s="19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8"/>
      <c r="R97" s="218"/>
      <c r="S97" s="218"/>
    </row>
    <row r="98" spans="1:19" ht="17.25" thickBot="1">
      <c r="A98" s="161" t="s">
        <v>180</v>
      </c>
      <c r="B98" s="124">
        <v>3675</v>
      </c>
      <c r="C98" s="76">
        <v>0.28721541160000003</v>
      </c>
      <c r="D98" s="13">
        <v>2970</v>
      </c>
      <c r="E98" s="14">
        <f>IF(ISNUMBER(D98), (D98 - $B98) / $B98, "")</f>
        <v>-0.19183673469387755</v>
      </c>
      <c r="F98" s="16">
        <f>IF(ISNUMBER(D98), $B118 * E98, "")</f>
        <v>-19183.673469387755</v>
      </c>
      <c r="G98" s="29">
        <v>2945</v>
      </c>
      <c r="H98" s="14">
        <f>IF(ISNUMBER(G98), (G98 - $B98) / $B98, "")</f>
        <v>-0.19863945578231293</v>
      </c>
      <c r="I98" s="100">
        <f>IF(ISNUMBER(G98), $B118 * H98, "")</f>
        <v>-19863.945578231294</v>
      </c>
      <c r="J98" s="13">
        <v>2985</v>
      </c>
      <c r="K98" s="14">
        <f>IF(ISNUMBER(J98), (J98 - $B98) / $B98, "")</f>
        <v>-0.18775510204081633</v>
      </c>
      <c r="L98" s="16">
        <f>IF(ISNUMBER(J98), $B118 * K98, "")</f>
        <v>-18775.510204081635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3"/>
      <c r="R98" s="213"/>
      <c r="S98" s="213"/>
    </row>
    <row r="99" spans="1:19" ht="17.25" thickBot="1">
      <c r="A99" s="162" t="s">
        <v>142</v>
      </c>
      <c r="B99" s="126">
        <v>567</v>
      </c>
      <c r="C99" s="77">
        <v>0.107421875</v>
      </c>
      <c r="D99" s="15">
        <v>591</v>
      </c>
      <c r="E99" s="32">
        <f t="shared" ref="E99:E102" si="46">IF(ISNUMBER(D99), (D99 - $B99) / $B99, "")</f>
        <v>4.2328042328042326E-2</v>
      </c>
      <c r="F99" s="18">
        <f>IF(ISNUMBER(D99), $B118 * E99, "")</f>
        <v>4232.8042328042329</v>
      </c>
      <c r="G99" s="31">
        <v>690</v>
      </c>
      <c r="H99" s="32">
        <f t="shared" ref="H99:H102" si="47">IF(ISNUMBER(G99), (G99 - $B99) / $B99, "")</f>
        <v>0.21693121693121692</v>
      </c>
      <c r="I99" s="101">
        <f>IF(ISNUMBER(G99), $B118 * H99, "")</f>
        <v>21693.121693121691</v>
      </c>
      <c r="J99" s="15">
        <v>673</v>
      </c>
      <c r="K99" s="32">
        <f t="shared" ref="K99:K102" si="48">IF(ISNUMBER(J99), (J99 - $B99) / $B99, "")</f>
        <v>0.18694885361552027</v>
      </c>
      <c r="L99" s="18">
        <f>IF(ISNUMBER(J99), $B118 * K99, "")</f>
        <v>18694.885361552027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3"/>
      <c r="R99" s="213"/>
      <c r="S99" s="213"/>
    </row>
    <row r="100" spans="1:19" ht="17.25" thickBot="1">
      <c r="A100" s="162" t="s">
        <v>276</v>
      </c>
      <c r="B100" s="126">
        <v>3610</v>
      </c>
      <c r="C100" s="77">
        <v>9.5599393000000005E-2</v>
      </c>
      <c r="D100" s="15">
        <v>2985</v>
      </c>
      <c r="E100" s="32">
        <f t="shared" si="46"/>
        <v>-0.17313019390581719</v>
      </c>
      <c r="F100" s="18">
        <f>IF(ISNUMBER(D100), $B118 * E100, "")</f>
        <v>-17313.019390581718</v>
      </c>
      <c r="G100" s="31">
        <v>2950</v>
      </c>
      <c r="H100" s="32">
        <f t="shared" si="47"/>
        <v>-0.18282548476454294</v>
      </c>
      <c r="I100" s="101">
        <f>IF(ISNUMBER(G100), $B118 * H100, "")</f>
        <v>-18282.548476454293</v>
      </c>
      <c r="J100" s="15">
        <v>2980</v>
      </c>
      <c r="K100" s="32">
        <f t="shared" si="48"/>
        <v>-0.17451523545706371</v>
      </c>
      <c r="L100" s="18">
        <f>IF(ISNUMBER(J100), $B118 * K100, "")</f>
        <v>-17451.523545706372</v>
      </c>
      <c r="M100" s="31"/>
      <c r="N100" s="32" t="str">
        <f t="shared" si="49"/>
        <v/>
      </c>
      <c r="O100" s="18" t="str">
        <f>IF(ISNUMBER(M100), $B118 * N100, "")</f>
        <v/>
      </c>
      <c r="Q100" s="218"/>
      <c r="R100" s="218"/>
      <c r="S100" s="218"/>
    </row>
    <row r="101" spans="1:19" ht="17.25" thickBot="1">
      <c r="A101" s="162" t="s">
        <v>282</v>
      </c>
      <c r="B101" s="126">
        <v>122</v>
      </c>
      <c r="C101" s="77">
        <v>8.9285714299999999E-2</v>
      </c>
      <c r="D101" s="15">
        <v>108</v>
      </c>
      <c r="E101" s="32">
        <f t="shared" si="46"/>
        <v>-0.11475409836065574</v>
      </c>
      <c r="F101" s="18">
        <f>IF(ISNUMBER(D101), $B118 * E101, "")</f>
        <v>-11475.409836065573</v>
      </c>
      <c r="G101" s="31">
        <v>108</v>
      </c>
      <c r="H101" s="32">
        <f t="shared" si="47"/>
        <v>-0.11475409836065574</v>
      </c>
      <c r="I101" s="101">
        <f>IF(ISNUMBER(G101), $B118 * H101, "")</f>
        <v>-11475.409836065573</v>
      </c>
      <c r="J101" s="15">
        <v>107</v>
      </c>
      <c r="K101" s="32">
        <f t="shared" si="48"/>
        <v>-0.12295081967213115</v>
      </c>
      <c r="L101" s="18">
        <f>IF(ISNUMBER(J101), $B118 * K101, "")</f>
        <v>-12295.081967213115</v>
      </c>
      <c r="M101" s="31"/>
      <c r="N101" s="32" t="str">
        <f t="shared" si="49"/>
        <v/>
      </c>
      <c r="O101" s="18" t="str">
        <f>IF(ISNUMBER(M101), $B118 * N101, "")</f>
        <v/>
      </c>
      <c r="Q101" s="218"/>
      <c r="R101" s="218"/>
      <c r="S101" s="218"/>
    </row>
    <row r="102" spans="1:19" ht="17.25" thickBot="1">
      <c r="A102" s="163" t="s">
        <v>230</v>
      </c>
      <c r="B102" s="128">
        <v>124</v>
      </c>
      <c r="C102" s="78">
        <v>8.7719298200000004E-2</v>
      </c>
      <c r="D102" s="20">
        <v>109</v>
      </c>
      <c r="E102" s="21">
        <f t="shared" si="46"/>
        <v>-0.12096774193548387</v>
      </c>
      <c r="F102" s="22">
        <f>IF(ISNUMBER(D102), $B118 * E102, "")</f>
        <v>-12096.774193548388</v>
      </c>
      <c r="G102" s="30">
        <v>108</v>
      </c>
      <c r="H102" s="21">
        <f t="shared" si="47"/>
        <v>-0.12903225806451613</v>
      </c>
      <c r="I102" s="105">
        <f>IF(ISNUMBER(G102), $B118 * H102, "")</f>
        <v>-12903.225806451612</v>
      </c>
      <c r="J102" s="20">
        <v>109</v>
      </c>
      <c r="K102" s="21">
        <f t="shared" si="48"/>
        <v>-0.12096774193548387</v>
      </c>
      <c r="L102" s="22">
        <f>IF(ISNUMBER(J102), $B118 * K102, "")</f>
        <v>-12096.774193548388</v>
      </c>
      <c r="M102" s="30"/>
      <c r="N102" s="21" t="str">
        <f t="shared" si="49"/>
        <v/>
      </c>
      <c r="O102" s="22" t="str">
        <f>IF(ISNUMBER(M102), $B118 * N102, "")</f>
        <v/>
      </c>
      <c r="Q102" s="218"/>
      <c r="R102" s="218"/>
      <c r="S102" s="218"/>
    </row>
    <row r="103" spans="1:19" ht="17.25" thickBot="1">
      <c r="A103" s="162" t="s">
        <v>220</v>
      </c>
      <c r="B103" s="129">
        <v>13</v>
      </c>
      <c r="C103" s="80">
        <v>8.3333333300000006E-2</v>
      </c>
      <c r="D103" s="106">
        <v>10.9</v>
      </c>
      <c r="E103" s="107">
        <f>IF(ISNUMBER(D103), (D103 - $B103) / $B103, "")</f>
        <v>-0.16153846153846152</v>
      </c>
      <c r="F103" s="108">
        <f>IF(ISNUMBER(D103), $B118 * E103, "")</f>
        <v>-16153.846153846152</v>
      </c>
      <c r="G103" s="109">
        <v>11.1</v>
      </c>
      <c r="H103" s="107">
        <f>IF(ISNUMBER(G103), (G103 - $B103) / $B103, "")</f>
        <v>-0.14615384615384619</v>
      </c>
      <c r="I103" s="110">
        <f>IF(ISNUMBER(G103), $B118 * H103, "")</f>
        <v>-14615.384615384619</v>
      </c>
      <c r="J103" s="106">
        <v>11</v>
      </c>
      <c r="K103" s="107">
        <f>IF(ISNUMBER(J103), (J103 - $B103) / $B103, "")</f>
        <v>-0.15384615384615385</v>
      </c>
      <c r="L103" s="108">
        <f>IF(ISNUMBER(J103), $B118 * K103, "")</f>
        <v>-15384.615384615385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8"/>
      <c r="R103" s="218"/>
      <c r="S103" s="218"/>
    </row>
    <row r="104" spans="1:19" ht="17.25" thickBot="1">
      <c r="A104" s="162" t="s">
        <v>114</v>
      </c>
      <c r="B104" s="126">
        <v>11090</v>
      </c>
      <c r="C104" s="77">
        <v>7.6699029099999996E-2</v>
      </c>
      <c r="D104" s="15">
        <v>10140</v>
      </c>
      <c r="E104" s="32">
        <f t="shared" ref="E104:E107" si="50">IF(ISNUMBER(D104), (D104 - $B104) / $B104, "")</f>
        <v>-8.5662759242560865E-2</v>
      </c>
      <c r="F104" s="18">
        <f>IF(ISNUMBER(D104), $B118 * E104, "")</f>
        <v>-8566.275924256086</v>
      </c>
      <c r="G104" s="31">
        <v>11090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10900</v>
      </c>
      <c r="K104" s="32">
        <f t="shared" ref="K104:K107" si="52">IF(ISNUMBER(J104), (J104 - $B104) / $B104, "")</f>
        <v>-1.7132551848512173E-2</v>
      </c>
      <c r="L104" s="18">
        <f>IF(ISNUMBER(J104), $B118 * K104, "")</f>
        <v>-1713.2551848512173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8"/>
      <c r="R104" s="218"/>
      <c r="S104" s="218"/>
    </row>
    <row r="105" spans="1:19" ht="17.25" thickBot="1">
      <c r="A105" s="162" t="s">
        <v>272</v>
      </c>
      <c r="B105" s="126">
        <v>1515</v>
      </c>
      <c r="C105" s="77">
        <v>6.6901408499999995E-2</v>
      </c>
      <c r="D105" s="15">
        <v>1285</v>
      </c>
      <c r="E105" s="32">
        <f t="shared" si="50"/>
        <v>-0.15181518151815182</v>
      </c>
      <c r="F105" s="18">
        <f>IF(ISNUMBER(D105), $B118 * E105, "")</f>
        <v>-15181.518151815182</v>
      </c>
      <c r="G105" s="31">
        <v>1280</v>
      </c>
      <c r="H105" s="32">
        <f t="shared" si="51"/>
        <v>-0.15511551155115511</v>
      </c>
      <c r="I105" s="101">
        <f>IF(ISNUMBER(G105), $B118 * H105, "")</f>
        <v>-15511.55115511551</v>
      </c>
      <c r="J105" s="15">
        <v>1290</v>
      </c>
      <c r="K105" s="32">
        <f t="shared" si="52"/>
        <v>-0.14851485148514851</v>
      </c>
      <c r="L105" s="18">
        <f>IF(ISNUMBER(J105), $B118 * K105, "")</f>
        <v>-14851.48514851485</v>
      </c>
      <c r="M105" s="31"/>
      <c r="N105" s="32" t="str">
        <f t="shared" si="53"/>
        <v/>
      </c>
      <c r="O105" s="18" t="str">
        <f>IF(ISNUMBER(M105), $B118 * N105, "")</f>
        <v/>
      </c>
      <c r="Q105" s="218"/>
      <c r="R105" s="218"/>
      <c r="S105" s="218"/>
    </row>
    <row r="106" spans="1:19" ht="17.25" thickBot="1">
      <c r="A106" s="162" t="s">
        <v>69</v>
      </c>
      <c r="B106" s="126">
        <v>5900</v>
      </c>
      <c r="C106" s="77">
        <v>5.4512958E-2</v>
      </c>
      <c r="D106" s="15">
        <v>4925</v>
      </c>
      <c r="E106" s="32">
        <f t="shared" si="50"/>
        <v>-0.1652542372881356</v>
      </c>
      <c r="F106" s="18">
        <f>IF(ISNUMBER(D106), $B118 * E106, "")</f>
        <v>-16525.423728813559</v>
      </c>
      <c r="G106" s="31">
        <v>4840</v>
      </c>
      <c r="H106" s="32">
        <f t="shared" si="51"/>
        <v>-0.17966101694915254</v>
      </c>
      <c r="I106" s="101">
        <f>IF(ISNUMBER(G106), $B118 * H106, "")</f>
        <v>-17966.101694915254</v>
      </c>
      <c r="J106" s="15">
        <v>4930</v>
      </c>
      <c r="K106" s="32">
        <f t="shared" si="52"/>
        <v>-0.16440677966101694</v>
      </c>
      <c r="L106" s="18">
        <f>IF(ISNUMBER(J106), $B118 * K106, "")</f>
        <v>-16440.677966101695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194</v>
      </c>
      <c r="B107" s="131">
        <v>9415</v>
      </c>
      <c r="C107" s="79">
        <v>5.4311310199999997E-2</v>
      </c>
      <c r="D107" s="24">
        <v>8090</v>
      </c>
      <c r="E107" s="25">
        <f t="shared" si="50"/>
        <v>-0.1407328730748805</v>
      </c>
      <c r="F107" s="104">
        <f>IF(ISNUMBER(D107), $B118 * E107, "")</f>
        <v>-14073.28730748805</v>
      </c>
      <c r="G107" s="102">
        <v>8075</v>
      </c>
      <c r="H107" s="25">
        <f t="shared" si="51"/>
        <v>-0.14232607541157727</v>
      </c>
      <c r="I107" s="103">
        <f>IF(ISNUMBER(G107), $B118 * H107, "")</f>
        <v>-14232.607541157728</v>
      </c>
      <c r="J107" s="24">
        <v>8100</v>
      </c>
      <c r="K107" s="25">
        <f t="shared" si="52"/>
        <v>-0.13967073818374934</v>
      </c>
      <c r="L107" s="104">
        <f>IF(ISNUMBER(J107), $B118 * K107, "")</f>
        <v>-13967.073818374934</v>
      </c>
      <c r="M107" s="102"/>
      <c r="N107" s="25" t="str">
        <f t="shared" si="53"/>
        <v/>
      </c>
      <c r="O107" s="104" t="str">
        <f>IF(ISNUMBER(M107), $B118 * N107, "")</f>
        <v/>
      </c>
      <c r="Q107" s="227"/>
      <c r="R107" s="228"/>
      <c r="S107" s="229"/>
    </row>
    <row r="108" spans="1:19">
      <c r="A108" s="161" t="s">
        <v>250</v>
      </c>
      <c r="B108" s="124">
        <v>127</v>
      </c>
      <c r="C108" s="76">
        <v>4.9586776899999997E-2</v>
      </c>
      <c r="D108" s="13">
        <v>119</v>
      </c>
      <c r="E108" s="14">
        <f>IF(ISNUMBER(D108), (D108 - $B108) / $B108, "")</f>
        <v>-6.2992125984251968E-2</v>
      </c>
      <c r="F108" s="16">
        <f>IF(ISNUMBER(D108), $B118 * E108, "")</f>
        <v>-6299.212598425197</v>
      </c>
      <c r="G108" s="29">
        <v>120</v>
      </c>
      <c r="H108" s="14">
        <f>IF(ISNUMBER(G108), (G108 - $B108) / $B108, "")</f>
        <v>-5.5118110236220472E-2</v>
      </c>
      <c r="I108" s="100">
        <f>IF(ISNUMBER(G108), $B118 * H108, "")</f>
        <v>-5511.8110236220473</v>
      </c>
      <c r="J108" s="13">
        <v>120</v>
      </c>
      <c r="K108" s="14">
        <f>IF(ISNUMBER(J108), (J108 - $B108) / $B108, "")</f>
        <v>-5.5118110236220472E-2</v>
      </c>
      <c r="L108" s="16">
        <f>IF(ISNUMBER(J108), $B118 * K108, "")</f>
        <v>-5511.8110236220473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0"/>
      <c r="R108" s="231"/>
      <c r="S108" s="232"/>
    </row>
    <row r="109" spans="1:19" ht="17.25" thickBot="1">
      <c r="A109" s="162" t="s">
        <v>280</v>
      </c>
      <c r="B109" s="126">
        <v>1115</v>
      </c>
      <c r="C109" s="77">
        <v>4.2056074800000003E-2</v>
      </c>
      <c r="D109" s="15">
        <v>941</v>
      </c>
      <c r="E109" s="32">
        <f t="shared" ref="E109:E112" si="54">IF(ISNUMBER(D109), (D109 - $B109) / $B109, "")</f>
        <v>-0.15605381165919283</v>
      </c>
      <c r="F109" s="18">
        <f>IF(ISNUMBER(D109), $B118 * E109, "")</f>
        <v>-15605.381165919283</v>
      </c>
      <c r="G109" s="31">
        <v>939</v>
      </c>
      <c r="H109" s="32">
        <f t="shared" ref="H109:H112" si="55">IF(ISNUMBER(G109), (G109 - $B109) / $B109, "")</f>
        <v>-0.15784753363228698</v>
      </c>
      <c r="I109" s="101">
        <f>IF(ISNUMBER(G109), $B118 * H109, "")</f>
        <v>-15784.753363228698</v>
      </c>
      <c r="J109" s="15">
        <v>947</v>
      </c>
      <c r="K109" s="32">
        <f t="shared" ref="K109:K112" si="56">IF(ISNUMBER(J109), (J109 - $B109) / $B109, "")</f>
        <v>-0.15067264573991032</v>
      </c>
      <c r="L109" s="18">
        <f>IF(ISNUMBER(J109), $B118 * K109, "")</f>
        <v>-15067.264573991031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3"/>
      <c r="R109" s="234"/>
      <c r="S109" s="235"/>
    </row>
    <row r="110" spans="1:19" ht="17.25" thickBot="1">
      <c r="A110" s="162" t="s">
        <v>182</v>
      </c>
      <c r="B110" s="126">
        <v>308</v>
      </c>
      <c r="C110" s="77">
        <v>3.7037037000000002E-2</v>
      </c>
      <c r="D110" s="15">
        <v>281</v>
      </c>
      <c r="E110" s="32">
        <f t="shared" si="54"/>
        <v>-8.7662337662337664E-2</v>
      </c>
      <c r="F110" s="18">
        <f>IF(ISNUMBER(D110), $B118 * E110, "")</f>
        <v>-8766.2337662337668</v>
      </c>
      <c r="G110" s="31">
        <v>279</v>
      </c>
      <c r="H110" s="32">
        <f t="shared" si="55"/>
        <v>-9.4155844155844159E-2</v>
      </c>
      <c r="I110" s="101">
        <f>IF(ISNUMBER(G110), $B118 * H110, "")</f>
        <v>-9415.5844155844152</v>
      </c>
      <c r="J110" s="15">
        <v>279</v>
      </c>
      <c r="K110" s="32">
        <f t="shared" si="56"/>
        <v>-9.4155844155844159E-2</v>
      </c>
      <c r="L110" s="18">
        <f>IF(ISNUMBER(J110), $B118 * K110, "")</f>
        <v>-9415.5844155844152</v>
      </c>
      <c r="M110" s="31"/>
      <c r="N110" s="32" t="str">
        <f t="shared" si="57"/>
        <v/>
      </c>
      <c r="O110" s="18" t="str">
        <f>IF(ISNUMBER(M110), $B118 * N110, "")</f>
        <v/>
      </c>
      <c r="Q110" s="218"/>
      <c r="R110" s="218"/>
      <c r="S110" s="218"/>
    </row>
    <row r="111" spans="1:19" ht="17.25" thickBot="1">
      <c r="A111" s="162" t="s">
        <v>248</v>
      </c>
      <c r="B111" s="126">
        <v>1880</v>
      </c>
      <c r="C111" s="77">
        <v>3.5812672199999999E-2</v>
      </c>
      <c r="D111" s="15">
        <v>1610</v>
      </c>
      <c r="E111" s="32">
        <f t="shared" si="54"/>
        <v>-0.14361702127659576</v>
      </c>
      <c r="F111" s="18">
        <f>IF(ISNUMBER(D111), $B118 * E111, "")</f>
        <v>-14361.702127659575</v>
      </c>
      <c r="G111" s="31">
        <v>1615</v>
      </c>
      <c r="H111" s="32">
        <f t="shared" si="55"/>
        <v>-0.14095744680851063</v>
      </c>
      <c r="I111" s="101">
        <f>IF(ISNUMBER(G111), $B118 * H111, "")</f>
        <v>-14095.744680851063</v>
      </c>
      <c r="J111" s="15">
        <v>1620</v>
      </c>
      <c r="K111" s="32">
        <f t="shared" si="56"/>
        <v>-0.13829787234042554</v>
      </c>
      <c r="L111" s="18">
        <f>IF(ISNUMBER(J111), $B118 * K111, "")</f>
        <v>-13829.787234042553</v>
      </c>
      <c r="M111" s="31"/>
      <c r="N111" s="32" t="str">
        <f t="shared" si="57"/>
        <v/>
      </c>
      <c r="O111" s="18" t="str">
        <f>IF(ISNUMBER(M111), $B118 * N111, "")</f>
        <v/>
      </c>
      <c r="Q111" s="213"/>
      <c r="R111" s="213"/>
      <c r="S111" s="213"/>
    </row>
    <row r="112" spans="1:19" ht="17.25" thickBot="1">
      <c r="A112" s="163" t="s">
        <v>274</v>
      </c>
      <c r="B112" s="128">
        <v>9615</v>
      </c>
      <c r="C112" s="78">
        <v>3.5541195499999997E-2</v>
      </c>
      <c r="D112" s="20">
        <v>8620</v>
      </c>
      <c r="E112" s="21">
        <f t="shared" si="54"/>
        <v>-0.10348413936557463</v>
      </c>
      <c r="F112" s="22">
        <f>IF(ISNUMBER(D112), $B118 * E112, "")</f>
        <v>-10348.413936557463</v>
      </c>
      <c r="G112" s="30">
        <v>8510</v>
      </c>
      <c r="H112" s="21">
        <f t="shared" si="55"/>
        <v>-0.11492459698387936</v>
      </c>
      <c r="I112" s="105">
        <f>IF(ISNUMBER(G112), $B118 * H112, "")</f>
        <v>-11492.459698387936</v>
      </c>
      <c r="J112" s="20">
        <v>8530</v>
      </c>
      <c r="K112" s="21">
        <f t="shared" si="56"/>
        <v>-0.11284451378055123</v>
      </c>
      <c r="L112" s="22">
        <f>IF(ISNUMBER(J112), $B118 * K112, "")</f>
        <v>-11284.451378055122</v>
      </c>
      <c r="M112" s="30"/>
      <c r="N112" s="21" t="str">
        <f t="shared" si="57"/>
        <v/>
      </c>
      <c r="O112" s="22" t="str">
        <f>IF(ISNUMBER(M112), $B118 * N112, "")</f>
        <v/>
      </c>
      <c r="Q112" s="213"/>
      <c r="R112" s="213"/>
      <c r="S112" s="213"/>
    </row>
    <row r="113" spans="1:19" ht="17.25" thickBot="1">
      <c r="A113" s="162" t="s">
        <v>98</v>
      </c>
      <c r="B113" s="129">
        <v>4605</v>
      </c>
      <c r="C113" s="80">
        <v>3.3670033699999997E-2</v>
      </c>
      <c r="D113" s="106">
        <v>3815</v>
      </c>
      <c r="E113" s="107">
        <f>IF(ISNUMBER(D113), (D113 - $B113) / $B113, "")</f>
        <v>-0.17155266015200868</v>
      </c>
      <c r="F113" s="108">
        <f>IF(ISNUMBER(D113), $B118 * E113, "")</f>
        <v>-17155.266015200868</v>
      </c>
      <c r="G113" s="109">
        <v>3830</v>
      </c>
      <c r="H113" s="107">
        <f>IF(ISNUMBER(G113), (G113 - $B113) / $B113, "")</f>
        <v>-0.16829533116178066</v>
      </c>
      <c r="I113" s="110">
        <f>IF(ISNUMBER(G113), $B118 * H113, "")</f>
        <v>-16829.533116178067</v>
      </c>
      <c r="J113" s="106">
        <v>3965</v>
      </c>
      <c r="K113" s="107">
        <f>IF(ISNUMBER(J113), (J113 - $B113) / $B113, "")</f>
        <v>-0.13897937024972856</v>
      </c>
      <c r="L113" s="108">
        <f>IF(ISNUMBER(J113), $B118 * K113, "")</f>
        <v>-13897.937024972856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8"/>
      <c r="R113" s="218"/>
      <c r="S113" s="218"/>
    </row>
    <row r="114" spans="1:19" ht="17.25" thickBot="1">
      <c r="A114" s="162" t="s">
        <v>236</v>
      </c>
      <c r="B114" s="126">
        <v>55.9</v>
      </c>
      <c r="C114" s="77">
        <v>3.3271718999999998E-2</v>
      </c>
      <c r="D114" s="15">
        <v>52.2</v>
      </c>
      <c r="E114" s="32">
        <f t="shared" ref="E114:E117" si="58">IF(ISNUMBER(D114), (D114 - $B114) / $B114, "")</f>
        <v>-6.6189624329159133E-2</v>
      </c>
      <c r="F114" s="18">
        <f>IF(ISNUMBER(D114), $B118 * E114, "")</f>
        <v>-6618.9624329159133</v>
      </c>
      <c r="G114" s="31">
        <v>54.2</v>
      </c>
      <c r="H114" s="32">
        <f t="shared" ref="H114:H117" si="59">IF(ISNUMBER(G114), (G114 - $B114) / $B114, "")</f>
        <v>-3.0411449016100104E-2</v>
      </c>
      <c r="I114" s="101">
        <f>IF(ISNUMBER(G114), $B118 * H114, "")</f>
        <v>-3041.1449016100105</v>
      </c>
      <c r="J114" s="15">
        <v>54.5</v>
      </c>
      <c r="K114" s="32">
        <f t="shared" ref="K114:K117" si="60">IF(ISNUMBER(J114), (J114 - $B114) / $B114, "")</f>
        <v>-2.50447227191413E-2</v>
      </c>
      <c r="L114" s="18">
        <f>IF(ISNUMBER(J114), $B118 * K114, "")</f>
        <v>-2504.47227191413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8"/>
      <c r="R114" s="218"/>
      <c r="S114" s="218"/>
    </row>
    <row r="115" spans="1:19" ht="17.25" thickBot="1">
      <c r="A115" s="162" t="s">
        <v>252</v>
      </c>
      <c r="B115" s="126">
        <v>331</v>
      </c>
      <c r="C115" s="77">
        <v>3.1152648000000002E-2</v>
      </c>
      <c r="D115" s="15">
        <v>292</v>
      </c>
      <c r="E115" s="32">
        <f t="shared" si="58"/>
        <v>-0.11782477341389729</v>
      </c>
      <c r="F115" s="18">
        <f>IF(ISNUMBER(D115), $B118 * E115, "")</f>
        <v>-11782.477341389729</v>
      </c>
      <c r="G115" s="31">
        <v>290</v>
      </c>
      <c r="H115" s="32">
        <f t="shared" si="59"/>
        <v>-0.12386706948640483</v>
      </c>
      <c r="I115" s="101">
        <f>IF(ISNUMBER(G115), $B118 * H115, "")</f>
        <v>-12386.706948640483</v>
      </c>
      <c r="J115" s="15">
        <v>291</v>
      </c>
      <c r="K115" s="32">
        <f t="shared" si="60"/>
        <v>-0.12084592145015106</v>
      </c>
      <c r="L115" s="18">
        <f>IF(ISNUMBER(J115), $B118 * K115, "")</f>
        <v>-12084.592145015107</v>
      </c>
      <c r="M115" s="31"/>
      <c r="N115" s="32" t="str">
        <f t="shared" si="61"/>
        <v/>
      </c>
      <c r="O115" s="18" t="str">
        <f>IF(ISNUMBER(M115), $B118 * N115, "")</f>
        <v/>
      </c>
      <c r="Q115" s="218"/>
      <c r="R115" s="218"/>
      <c r="S115" s="218"/>
    </row>
    <row r="116" spans="1:19">
      <c r="A116" s="162" t="s">
        <v>242</v>
      </c>
      <c r="B116" s="126">
        <v>4210</v>
      </c>
      <c r="C116" s="77">
        <v>2.3086269699999998E-2</v>
      </c>
      <c r="D116" s="15">
        <v>3585</v>
      </c>
      <c r="E116" s="32">
        <f t="shared" si="58"/>
        <v>-0.14845605700712589</v>
      </c>
      <c r="F116" s="18">
        <f>IF(ISNUMBER(D116), $B118 * E116, "")</f>
        <v>-14845.605700712589</v>
      </c>
      <c r="G116" s="31">
        <v>3570</v>
      </c>
      <c r="H116" s="32">
        <f t="shared" si="59"/>
        <v>-0.15201900237529692</v>
      </c>
      <c r="I116" s="101">
        <f>IF(ISNUMBER(G116), $B118 * H116, "")</f>
        <v>-15201.900237529691</v>
      </c>
      <c r="J116" s="15">
        <v>3585</v>
      </c>
      <c r="K116" s="32">
        <f t="shared" si="60"/>
        <v>-0.14845605700712589</v>
      </c>
      <c r="L116" s="18">
        <f>IF(ISNUMBER(J116), $B118 * K116, "")</f>
        <v>-14845.605700712589</v>
      </c>
      <c r="M116" s="31"/>
      <c r="N116" s="32" t="str">
        <f t="shared" si="61"/>
        <v/>
      </c>
      <c r="O116" s="18" t="str">
        <f>IF(ISNUMBER(M116), $B118 * N116, "")</f>
        <v/>
      </c>
      <c r="Q116" s="240"/>
      <c r="R116" s="241"/>
      <c r="S116" s="242"/>
    </row>
    <row r="117" spans="1:19" ht="17.25" thickBot="1">
      <c r="A117" s="130" t="s">
        <v>210</v>
      </c>
      <c r="B117" s="131">
        <v>135</v>
      </c>
      <c r="C117" s="79">
        <v>2.2727272699999999E-2</v>
      </c>
      <c r="D117" s="24">
        <v>115</v>
      </c>
      <c r="E117" s="25">
        <f t="shared" si="58"/>
        <v>-0.14814814814814814</v>
      </c>
      <c r="F117" s="104">
        <f>IF(ISNUMBER(D117), $B118 * E117, "")</f>
        <v>-14814.814814814814</v>
      </c>
      <c r="G117" s="102">
        <v>115</v>
      </c>
      <c r="H117" s="25">
        <f t="shared" si="59"/>
        <v>-0.14814814814814814</v>
      </c>
      <c r="I117" s="103">
        <f>IF(ISNUMBER(G117), $B118 * H117, "")</f>
        <v>-14814.814814814814</v>
      </c>
      <c r="J117" s="24">
        <v>115</v>
      </c>
      <c r="K117" s="25">
        <f t="shared" si="60"/>
        <v>-0.14814814814814814</v>
      </c>
      <c r="L117" s="104">
        <f>IF(ISNUMBER(J117), $B118 * K117, "")</f>
        <v>-14814.814814814814</v>
      </c>
      <c r="M117" s="102"/>
      <c r="N117" s="25" t="str">
        <f t="shared" si="61"/>
        <v/>
      </c>
      <c r="O117" s="104" t="str">
        <f>IF(ISNUMBER(M117), $B118 * N117, "")</f>
        <v/>
      </c>
      <c r="Q117" s="243"/>
      <c r="R117" s="244"/>
      <c r="S117" s="245"/>
    </row>
    <row r="118" spans="1:19" ht="17.25" thickBot="1">
      <c r="A118" s="132" t="s">
        <v>300</v>
      </c>
      <c r="B118" s="251">
        <f>$B$37</f>
        <v>100000</v>
      </c>
      <c r="C118" s="252"/>
      <c r="D118" s="26" t="s">
        <v>301</v>
      </c>
      <c r="E118" s="27">
        <f>IF(COUNT(E98:E117), SUM(E98:E117) / COUNT(E98:E117), 0)</f>
        <v>-0.12346724691141371</v>
      </c>
      <c r="F118" s="28">
        <f>SUM(F98:F117)</f>
        <v>-246934.49382282744</v>
      </c>
      <c r="G118" s="26" t="s">
        <v>301</v>
      </c>
      <c r="H118" s="27">
        <f>IF(COUNT(H98:H117), SUM(H98:H117) / COUNT(H98:H117), 0)</f>
        <v>-0.11086605310555071</v>
      </c>
      <c r="I118" s="28">
        <f>SUM(I98:I117)</f>
        <v>-221732.1062111014</v>
      </c>
      <c r="J118" s="26" t="s">
        <v>301</v>
      </c>
      <c r="K118" s="27">
        <f>IF(COUNT(K98:K117), SUM(K98:K117) / COUNT(K98:K117), 0)</f>
        <v>-0.10876871631709011</v>
      </c>
      <c r="L118" s="28">
        <f>SUM(L98:L117)</f>
        <v>-217537.43263418021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46"/>
      <c r="R118" s="247"/>
      <c r="S118" s="248"/>
    </row>
    <row r="120" spans="1:19" ht="17.25" thickBot="1"/>
    <row r="121" spans="1:19" ht="17.25" thickBot="1">
      <c r="A121" s="192" t="s">
        <v>288</v>
      </c>
      <c r="B121" s="193"/>
      <c r="C121" s="193"/>
      <c r="D121" s="193"/>
      <c r="E121" s="193"/>
      <c r="F121" s="193"/>
      <c r="G121" s="193"/>
      <c r="H121" s="193"/>
      <c r="I121" s="193"/>
      <c r="J121" s="193"/>
      <c r="K121" s="193"/>
      <c r="L121" s="193"/>
      <c r="M121" s="193"/>
      <c r="N121" s="193"/>
      <c r="O121" s="194"/>
      <c r="Q121" s="213"/>
      <c r="R121" s="213"/>
      <c r="S121" s="213"/>
    </row>
    <row r="122" spans="1:19" ht="17.25" thickBot="1">
      <c r="A122" s="188" t="s">
        <v>297</v>
      </c>
      <c r="B122" s="192" t="s">
        <v>49</v>
      </c>
      <c r="C122" s="194"/>
      <c r="D122" s="192" t="s">
        <v>58</v>
      </c>
      <c r="E122" s="193"/>
      <c r="F122" s="194"/>
      <c r="G122" s="219">
        <f>_xlfn.IFNA(VLOOKUP(B122, 현재가테이블!$B$2:$D$200, 2, FALSE), "-")</f>
        <v>38300000</v>
      </c>
      <c r="H122" s="220"/>
      <c r="I122" s="221"/>
      <c r="J122" s="192" t="s">
        <v>59</v>
      </c>
      <c r="K122" s="193"/>
      <c r="L122" s="194"/>
      <c r="M122" s="222">
        <f>_xlfn.IFNA(VLOOKUP(B122, 현재가테이블!$B$2:$D$200, 3, FALSE), "-")</f>
        <v>-1.9557649E-2</v>
      </c>
      <c r="N122" s="223"/>
      <c r="O122" s="224"/>
      <c r="Q122" s="213"/>
      <c r="R122" s="213"/>
      <c r="S122" s="213"/>
    </row>
    <row r="123" spans="1:19" ht="17.25" thickBot="1">
      <c r="A123" s="253" t="s">
        <v>55</v>
      </c>
      <c r="B123" s="255" t="str">
        <f>TEXT($G$1, "[$-ko-KR]yyyy-mm-dd(ddd) ") &amp; "오전 00:00"</f>
        <v>2021-06-08(화) 오전 00:00</v>
      </c>
      <c r="C123" s="256"/>
      <c r="D123" s="215" t="str">
        <f>TEXT($G$1, "[$-ko-KR]yyyy-mm-dd(ddd) ") &amp; "오후 14:00"</f>
        <v>2021-06-08(화) 오후 14:00</v>
      </c>
      <c r="E123" s="216"/>
      <c r="F123" s="217"/>
      <c r="G123" s="215" t="str">
        <f>TEXT($G$1, "[$-ko-KR]yyyy-mm-dd(ddd) ") &amp; "오후 19:00"</f>
        <v>2021-06-08(화) 오후 19:00</v>
      </c>
      <c r="H123" s="216"/>
      <c r="I123" s="217"/>
      <c r="J123" s="215" t="str">
        <f>TEXT($G$1, "[$-ko-KR]yyyy-mm-dd(ddd) ") &amp; "오후 21:00"</f>
        <v>2021-06-08(화) 오후 21:00</v>
      </c>
      <c r="K123" s="216"/>
      <c r="L123" s="217"/>
      <c r="M123" s="215" t="str">
        <f>TEXT($G$1+1, "[$-ko-KR]yyyy-mm-dd(ddd) ") &amp; "오전 00:00"</f>
        <v>2021-06-09(수) 오전 00:00</v>
      </c>
      <c r="N123" s="216"/>
      <c r="O123" s="217"/>
      <c r="Q123" s="213"/>
      <c r="R123" s="213"/>
      <c r="S123" s="213"/>
    </row>
    <row r="124" spans="1:19" ht="17.25" thickBot="1">
      <c r="A124" s="25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9" t="s">
        <v>58</v>
      </c>
      <c r="H124" s="190" t="s">
        <v>298</v>
      </c>
      <c r="I124" s="19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8"/>
      <c r="R124" s="218"/>
      <c r="S124" s="218"/>
    </row>
    <row r="125" spans="1:19" ht="17.25" thickBot="1">
      <c r="A125" s="161" t="s">
        <v>264</v>
      </c>
      <c r="B125" s="124">
        <v>90.2</v>
      </c>
      <c r="C125" s="76">
        <v>1.2345679E-2</v>
      </c>
      <c r="D125" s="13">
        <v>76.900000000000006</v>
      </c>
      <c r="E125" s="14">
        <f>IF(ISNUMBER(D125), (D125 - $B125) / $B125, "")</f>
        <v>-0.14745011086474497</v>
      </c>
      <c r="F125" s="16">
        <f>IF(ISNUMBER(D125), $B145 * E125, "")</f>
        <v>-14745.011086474497</v>
      </c>
      <c r="G125" s="29">
        <v>76.099999999999994</v>
      </c>
      <c r="H125" s="14">
        <f>IF(ISNUMBER(G125), (G125 - $B125) / $B125, "")</f>
        <v>-0.156319290465632</v>
      </c>
      <c r="I125" s="100">
        <f>IF(ISNUMBER(G125), $B145 * H125, "")</f>
        <v>-15631.9290465632</v>
      </c>
      <c r="J125" s="13">
        <v>76.8</v>
      </c>
      <c r="K125" s="14">
        <f>IF(ISNUMBER(J125), (J125 - $B125) / $B125, "")</f>
        <v>-0.14855875831485593</v>
      </c>
      <c r="L125" s="16">
        <f>IF(ISNUMBER(J125), $B145 * K125, "")</f>
        <v>-14855.875831485593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3"/>
      <c r="R125" s="213"/>
      <c r="S125" s="213"/>
    </row>
    <row r="126" spans="1:19" ht="17.25" thickBot="1">
      <c r="A126" s="162" t="s">
        <v>222</v>
      </c>
      <c r="B126" s="126">
        <v>12.1</v>
      </c>
      <c r="C126" s="77">
        <v>8.3333333000000006E-3</v>
      </c>
      <c r="D126" s="15">
        <v>10.4</v>
      </c>
      <c r="E126" s="32">
        <f t="shared" ref="E126:E129" si="62">IF(ISNUMBER(D126), (D126 - $B126) / $B126, "")</f>
        <v>-0.14049586776859499</v>
      </c>
      <c r="F126" s="18">
        <f>IF(ISNUMBER(D126), $B145 * E126, "")</f>
        <v>-14049.5867768595</v>
      </c>
      <c r="G126" s="31">
        <v>10.4</v>
      </c>
      <c r="H126" s="32">
        <f t="shared" ref="H126:H129" si="63">IF(ISNUMBER(G126), (G126 - $B126) / $B126, "")</f>
        <v>-0.14049586776859499</v>
      </c>
      <c r="I126" s="101">
        <f>IF(ISNUMBER(G126), $B145 * H126, "")</f>
        <v>-14049.5867768595</v>
      </c>
      <c r="J126" s="15">
        <v>10.6</v>
      </c>
      <c r="K126" s="32">
        <f t="shared" ref="K126:K129" si="64">IF(ISNUMBER(J126), (J126 - $B126) / $B126, "")</f>
        <v>-0.12396694214876033</v>
      </c>
      <c r="L126" s="18">
        <f>IF(ISNUMBER(J126), $B145 * K126, "")</f>
        <v>-12396.694214876034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3"/>
      <c r="R126" s="213"/>
      <c r="S126" s="213"/>
    </row>
    <row r="127" spans="1:19" ht="17.25" thickBot="1">
      <c r="A127" s="162" t="s">
        <v>214</v>
      </c>
      <c r="B127" s="126">
        <v>14.4</v>
      </c>
      <c r="C127" s="77">
        <v>6.9930069999999999E-3</v>
      </c>
      <c r="D127" s="15">
        <v>12.4</v>
      </c>
      <c r="E127" s="32">
        <f t="shared" si="62"/>
        <v>-0.1388888888888889</v>
      </c>
      <c r="F127" s="18">
        <f>IF(ISNUMBER(D127), $B145 * E127, "")</f>
        <v>-13888.888888888889</v>
      </c>
      <c r="G127" s="31">
        <v>12.4</v>
      </c>
      <c r="H127" s="32">
        <f t="shared" si="63"/>
        <v>-0.1388888888888889</v>
      </c>
      <c r="I127" s="101">
        <f>IF(ISNUMBER(G127), $B145 * H127, "")</f>
        <v>-13888.888888888889</v>
      </c>
      <c r="J127" s="15">
        <v>12.5</v>
      </c>
      <c r="K127" s="32">
        <f t="shared" si="64"/>
        <v>-0.13194444444444448</v>
      </c>
      <c r="L127" s="18">
        <f>IF(ISNUMBER(J127), $B145 * K127, "")</f>
        <v>-13194.444444444447</v>
      </c>
      <c r="M127" s="31"/>
      <c r="N127" s="32" t="str">
        <f t="shared" si="65"/>
        <v/>
      </c>
      <c r="O127" s="18" t="str">
        <f>IF(ISNUMBER(M127), $B145 * N127, "")</f>
        <v/>
      </c>
      <c r="Q127" s="218"/>
      <c r="R127" s="218"/>
      <c r="S127" s="218"/>
    </row>
    <row r="128" spans="1:19" ht="17.25" thickBot="1">
      <c r="A128" s="162" t="s">
        <v>126</v>
      </c>
      <c r="B128" s="126">
        <v>30.4</v>
      </c>
      <c r="C128" s="77">
        <v>6.6225166000000004E-3</v>
      </c>
      <c r="D128" s="15">
        <v>25.9</v>
      </c>
      <c r="E128" s="32">
        <f t="shared" si="62"/>
        <v>-0.1480263157894737</v>
      </c>
      <c r="F128" s="18">
        <f>IF(ISNUMBER(D128), $B145 * E128, "")</f>
        <v>-14802.63157894737</v>
      </c>
      <c r="G128" s="31">
        <v>25.6</v>
      </c>
      <c r="H128" s="32">
        <f t="shared" si="63"/>
        <v>-0.15789473684210517</v>
      </c>
      <c r="I128" s="101">
        <f>IF(ISNUMBER(G128), $B145 * H128, "")</f>
        <v>-15789.473684210518</v>
      </c>
      <c r="J128" s="15">
        <v>25.7</v>
      </c>
      <c r="K128" s="32">
        <f t="shared" si="64"/>
        <v>-0.15460526315789472</v>
      </c>
      <c r="L128" s="18">
        <f>IF(ISNUMBER(J128), $B145 * K128, "")</f>
        <v>-15460.526315789471</v>
      </c>
      <c r="M128" s="31"/>
      <c r="N128" s="32" t="str">
        <f t="shared" si="65"/>
        <v/>
      </c>
      <c r="O128" s="18" t="str">
        <f>IF(ISNUMBER(M128), $B145 * N128, "")</f>
        <v/>
      </c>
      <c r="Q128" s="218"/>
      <c r="R128" s="218"/>
      <c r="S128" s="218"/>
    </row>
    <row r="129" spans="1:19" ht="17.25" thickBot="1">
      <c r="A129" s="163" t="s">
        <v>254</v>
      </c>
      <c r="B129" s="128">
        <v>52.5</v>
      </c>
      <c r="C129" s="78">
        <v>5.7471264000000001E-3</v>
      </c>
      <c r="D129" s="20">
        <v>44.8</v>
      </c>
      <c r="E129" s="21">
        <f t="shared" si="62"/>
        <v>-0.14666666666666672</v>
      </c>
      <c r="F129" s="22">
        <f>IF(ISNUMBER(D129), $B145 * E129, "")</f>
        <v>-14666.666666666672</v>
      </c>
      <c r="G129" s="30">
        <v>44.5</v>
      </c>
      <c r="H129" s="21">
        <f t="shared" si="63"/>
        <v>-0.15238095238095239</v>
      </c>
      <c r="I129" s="105">
        <f>IF(ISNUMBER(G129), $B145 * H129, "")</f>
        <v>-15238.09523809524</v>
      </c>
      <c r="J129" s="20">
        <v>44.8</v>
      </c>
      <c r="K129" s="21">
        <f t="shared" si="64"/>
        <v>-0.14666666666666672</v>
      </c>
      <c r="L129" s="22">
        <f>IF(ISNUMBER(J129), $B145 * K129, "")</f>
        <v>-14666.666666666672</v>
      </c>
      <c r="M129" s="30"/>
      <c r="N129" s="21" t="str">
        <f t="shared" si="65"/>
        <v/>
      </c>
      <c r="O129" s="22" t="str">
        <f>IF(ISNUMBER(M129), $B145 * N129, "")</f>
        <v/>
      </c>
      <c r="Q129" s="218"/>
      <c r="R129" s="218"/>
      <c r="S129" s="218"/>
    </row>
    <row r="130" spans="1:19" ht="17.25" thickBot="1">
      <c r="A130" s="162" t="s">
        <v>172</v>
      </c>
      <c r="B130" s="129">
        <v>15.5</v>
      </c>
      <c r="C130" s="80">
        <v>0</v>
      </c>
      <c r="D130" s="106">
        <v>14.5</v>
      </c>
      <c r="E130" s="107">
        <f>IF(ISNUMBER(D130), (D130 - $B130) / $B130, "")</f>
        <v>-6.4516129032258063E-2</v>
      </c>
      <c r="F130" s="108">
        <f>IF(ISNUMBER(D130), $B145 * E130, "")</f>
        <v>-6451.6129032258059</v>
      </c>
      <c r="G130" s="109">
        <v>14.7</v>
      </c>
      <c r="H130" s="107">
        <f>IF(ISNUMBER(G130), (G130 - $B130) / $B130, "")</f>
        <v>-5.16129032258065E-2</v>
      </c>
      <c r="I130" s="110">
        <f>IF(ISNUMBER(G130), $B145 * H130, "")</f>
        <v>-5161.2903225806504</v>
      </c>
      <c r="J130" s="106">
        <v>14.8</v>
      </c>
      <c r="K130" s="107">
        <f>IF(ISNUMBER(J130), (J130 - $B130) / $B130, "")</f>
        <v>-4.5161290322580601E-2</v>
      </c>
      <c r="L130" s="108">
        <f>IF(ISNUMBER(J130), $B145 * K130, "")</f>
        <v>-4516.1290322580599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8"/>
      <c r="R130" s="218"/>
      <c r="S130" s="218"/>
    </row>
    <row r="131" spans="1:19" ht="17.25" thickBot="1">
      <c r="A131" s="162" t="s">
        <v>268</v>
      </c>
      <c r="B131" s="126">
        <v>54.3</v>
      </c>
      <c r="C131" s="77">
        <v>0</v>
      </c>
      <c r="D131" s="15">
        <v>46.7</v>
      </c>
      <c r="E131" s="32">
        <f t="shared" ref="E131:E134" si="66">IF(ISNUMBER(D131), (D131 - $B131) / $B131, "")</f>
        <v>-0.13996316758747687</v>
      </c>
      <c r="F131" s="18">
        <f>IF(ISNUMBER(D131), $B145 * E131, "")</f>
        <v>-13996.316758747687</v>
      </c>
      <c r="G131" s="31">
        <v>47.1</v>
      </c>
      <c r="H131" s="32">
        <f t="shared" ref="H131:H134" si="67">IF(ISNUMBER(G131), (G131 - $B131) / $B131, "")</f>
        <v>-0.13259668508287287</v>
      </c>
      <c r="I131" s="101">
        <f>IF(ISNUMBER(G131), $B145 * H131, "")</f>
        <v>-13259.668508287286</v>
      </c>
      <c r="J131" s="15">
        <v>46.7</v>
      </c>
      <c r="K131" s="32">
        <f t="shared" ref="K131:K134" si="68">IF(ISNUMBER(J131), (J131 - $B131) / $B131, "")</f>
        <v>-0.13996316758747687</v>
      </c>
      <c r="L131" s="18">
        <f>IF(ISNUMBER(J131), $B145 * K131, "")</f>
        <v>-13996.316758747687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8"/>
      <c r="R131" s="218"/>
      <c r="S131" s="218"/>
    </row>
    <row r="132" spans="1:19" ht="17.25" thickBot="1">
      <c r="A132" s="162" t="s">
        <v>198</v>
      </c>
      <c r="B132" s="126">
        <v>17</v>
      </c>
      <c r="C132" s="77">
        <v>0</v>
      </c>
      <c r="D132" s="15">
        <v>14.8</v>
      </c>
      <c r="E132" s="32">
        <f t="shared" si="66"/>
        <v>-0.12941176470588231</v>
      </c>
      <c r="F132" s="18">
        <f>IF(ISNUMBER(D132), $B145 * E132, "")</f>
        <v>-12941.176470588231</v>
      </c>
      <c r="G132" s="31">
        <v>14.7</v>
      </c>
      <c r="H132" s="32">
        <f t="shared" si="67"/>
        <v>-0.13529411764705887</v>
      </c>
      <c r="I132" s="101">
        <f>IF(ISNUMBER(G132), $B145 * H132, "")</f>
        <v>-13529.411764705887</v>
      </c>
      <c r="J132" s="15">
        <v>14.6</v>
      </c>
      <c r="K132" s="32">
        <f t="shared" si="68"/>
        <v>-0.14117647058823532</v>
      </c>
      <c r="L132" s="18">
        <f>IF(ISNUMBER(J132), $B145 * K132, "")</f>
        <v>-14117.647058823532</v>
      </c>
      <c r="M132" s="31"/>
      <c r="N132" s="32" t="str">
        <f t="shared" si="69"/>
        <v/>
      </c>
      <c r="O132" s="18" t="str">
        <f>IF(ISNUMBER(M132), $B145 * N132, "")</f>
        <v/>
      </c>
      <c r="Q132" s="218"/>
      <c r="R132" s="218"/>
      <c r="S132" s="218"/>
    </row>
    <row r="133" spans="1:19" ht="17.25" thickBot="1">
      <c r="A133" s="162" t="s">
        <v>260</v>
      </c>
      <c r="B133" s="126">
        <v>76.599999999999994</v>
      </c>
      <c r="C133" s="77">
        <v>-3.9011703999999999E-3</v>
      </c>
      <c r="D133" s="15">
        <v>64.7</v>
      </c>
      <c r="E133" s="32">
        <f t="shared" si="66"/>
        <v>-0.15535248041775446</v>
      </c>
      <c r="F133" s="18">
        <f>IF(ISNUMBER(D133), $B145 * E133, "")</f>
        <v>-15535.248041775445</v>
      </c>
      <c r="G133" s="31">
        <v>63.9</v>
      </c>
      <c r="H133" s="32">
        <f t="shared" si="67"/>
        <v>-0.16579634464751955</v>
      </c>
      <c r="I133" s="101">
        <f>IF(ISNUMBER(G133), $B145 * H133, "")</f>
        <v>-16579.634464751955</v>
      </c>
      <c r="J133" s="15">
        <v>64.099999999999994</v>
      </c>
      <c r="K133" s="32">
        <f t="shared" si="68"/>
        <v>-0.16318537859007834</v>
      </c>
      <c r="L133" s="18">
        <f>IF(ISNUMBER(J133), $B145 * K133, "")</f>
        <v>-16318.537859007834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212</v>
      </c>
      <c r="B134" s="131">
        <v>79.599999999999994</v>
      </c>
      <c r="C134" s="79">
        <v>-5.0000000000000001E-3</v>
      </c>
      <c r="D134" s="24">
        <v>67</v>
      </c>
      <c r="E134" s="25">
        <f t="shared" si="66"/>
        <v>-0.1582914572864321</v>
      </c>
      <c r="F134" s="104">
        <f>IF(ISNUMBER(D134), $B145 * E134, "")</f>
        <v>-15829.145728643211</v>
      </c>
      <c r="G134" s="102">
        <v>67.099999999999994</v>
      </c>
      <c r="H134" s="25">
        <f t="shared" si="67"/>
        <v>-0.157035175879397</v>
      </c>
      <c r="I134" s="103">
        <f>IF(ISNUMBER(G134), $B145 * H134, "")</f>
        <v>-15703.517587939699</v>
      </c>
      <c r="J134" s="24">
        <v>67.2</v>
      </c>
      <c r="K134" s="25">
        <f t="shared" si="68"/>
        <v>-0.15577889447236171</v>
      </c>
      <c r="L134" s="104">
        <f>IF(ISNUMBER(J134), $B145 * K134, "")</f>
        <v>-15577.88944723617</v>
      </c>
      <c r="M134" s="102"/>
      <c r="N134" s="25" t="str">
        <f t="shared" si="69"/>
        <v/>
      </c>
      <c r="O134" s="104" t="str">
        <f>IF(ISNUMBER(M134), $B145 * N134, "")</f>
        <v/>
      </c>
      <c r="Q134" s="227"/>
      <c r="R134" s="228"/>
      <c r="S134" s="229"/>
    </row>
    <row r="135" spans="1:19">
      <c r="A135" s="161" t="s">
        <v>156</v>
      </c>
      <c r="B135" s="124">
        <v>89.9</v>
      </c>
      <c r="C135" s="76">
        <v>-5.5309735000000004E-3</v>
      </c>
      <c r="D135" s="13">
        <v>81.3</v>
      </c>
      <c r="E135" s="14">
        <f>IF(ISNUMBER(D135), (D135 - $B135) / $B135, "")</f>
        <v>-9.5661846496106873E-2</v>
      </c>
      <c r="F135" s="16">
        <f>IF(ISNUMBER(D135), $B145 * E135, "")</f>
        <v>-9566.1846496106864</v>
      </c>
      <c r="G135" s="29">
        <v>82.3</v>
      </c>
      <c r="H135" s="14">
        <f>IF(ISNUMBER(G135), (G135 - $B135) / $B135, "")</f>
        <v>-8.4538375973303756E-2</v>
      </c>
      <c r="I135" s="100">
        <f>IF(ISNUMBER(G135), $B145 * H135, "")</f>
        <v>-8453.8375973303755</v>
      </c>
      <c r="J135" s="13">
        <v>82.9</v>
      </c>
      <c r="K135" s="14">
        <f>IF(ISNUMBER(J135), (J135 - $B135) / $B135, "")</f>
        <v>-7.7864293659621803E-2</v>
      </c>
      <c r="L135" s="16">
        <f>IF(ISNUMBER(J135), $B145 * K135, "")</f>
        <v>-7786.4293659621799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0"/>
      <c r="R135" s="231"/>
      <c r="S135" s="232"/>
    </row>
    <row r="136" spans="1:19" ht="17.25" thickBot="1">
      <c r="A136" s="162" t="s">
        <v>278</v>
      </c>
      <c r="B136" s="126">
        <v>81.900000000000006</v>
      </c>
      <c r="C136" s="77">
        <v>-8.4745762999999998E-3</v>
      </c>
      <c r="D136" s="15">
        <v>72.3</v>
      </c>
      <c r="E136" s="32">
        <f t="shared" ref="E136:E139" si="70">IF(ISNUMBER(D136), (D136 - $B136) / $B136, "")</f>
        <v>-0.11721611721611731</v>
      </c>
      <c r="F136" s="18">
        <f>IF(ISNUMBER(D136), $B145 * E136, "")</f>
        <v>-11721.611721611731</v>
      </c>
      <c r="G136" s="31">
        <v>74.2</v>
      </c>
      <c r="H136" s="32">
        <f t="shared" ref="H136:H139" si="71">IF(ISNUMBER(G136), (G136 - $B136) / $B136, "")</f>
        <v>-9.4017094017094044E-2</v>
      </c>
      <c r="I136" s="101">
        <f>IF(ISNUMBER(G136), $B145 * H136, "")</f>
        <v>-9401.7094017094041</v>
      </c>
      <c r="J136" s="15">
        <v>74.2</v>
      </c>
      <c r="K136" s="32">
        <f t="shared" ref="K136:K139" si="72">IF(ISNUMBER(J136), (J136 - $B136) / $B136, "")</f>
        <v>-9.4017094017094044E-2</v>
      </c>
      <c r="L136" s="18">
        <f>IF(ISNUMBER(J136), $B145 * K136, "")</f>
        <v>-9401.7094017094041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3"/>
      <c r="R136" s="234"/>
      <c r="S136" s="235"/>
    </row>
    <row r="137" spans="1:19" ht="17.25" thickBot="1">
      <c r="A137" s="162" t="s">
        <v>154</v>
      </c>
      <c r="B137" s="126">
        <v>11.6</v>
      </c>
      <c r="C137" s="77">
        <v>-8.5470084999999998E-3</v>
      </c>
      <c r="D137" s="15">
        <v>10.199999999999999</v>
      </c>
      <c r="E137" s="32">
        <f t="shared" si="70"/>
        <v>-0.12068965517241383</v>
      </c>
      <c r="F137" s="18">
        <f>IF(ISNUMBER(D137), $B145 * E137, "")</f>
        <v>-12068.965517241382</v>
      </c>
      <c r="G137" s="31">
        <v>10.199999999999999</v>
      </c>
      <c r="H137" s="32">
        <f t="shared" si="71"/>
        <v>-0.12068965517241383</v>
      </c>
      <c r="I137" s="101">
        <f>IF(ISNUMBER(G137), $B145 * H137, "")</f>
        <v>-12068.965517241382</v>
      </c>
      <c r="J137" s="15">
        <v>10.5</v>
      </c>
      <c r="K137" s="32">
        <f t="shared" si="72"/>
        <v>-9.4827586206896519E-2</v>
      </c>
      <c r="L137" s="18">
        <f>IF(ISNUMBER(J137), $B145 * K137, "")</f>
        <v>-9482.7586206896522</v>
      </c>
      <c r="M137" s="31"/>
      <c r="N137" s="32" t="str">
        <f t="shared" si="73"/>
        <v/>
      </c>
      <c r="O137" s="18" t="str">
        <f>IF(ISNUMBER(M137), $B145 * N137, "")</f>
        <v/>
      </c>
      <c r="Q137" s="218"/>
      <c r="R137" s="218"/>
      <c r="S137" s="218"/>
    </row>
    <row r="138" spans="1:19" ht="17.25" thickBot="1">
      <c r="A138" s="162" t="s">
        <v>152</v>
      </c>
      <c r="B138" s="126">
        <v>21.7</v>
      </c>
      <c r="C138" s="77">
        <v>-9.1324201000000001E-3</v>
      </c>
      <c r="D138" s="15">
        <v>18.399999999999999</v>
      </c>
      <c r="E138" s="32">
        <f t="shared" si="70"/>
        <v>-0.15207373271889404</v>
      </c>
      <c r="F138" s="18">
        <f>IF(ISNUMBER(D138), $B145 * E138, "")</f>
        <v>-15207.373271889404</v>
      </c>
      <c r="G138" s="31">
        <v>18.7</v>
      </c>
      <c r="H138" s="32">
        <f t="shared" si="71"/>
        <v>-0.13824884792626729</v>
      </c>
      <c r="I138" s="101">
        <f>IF(ISNUMBER(G138), $B145 * H138, "")</f>
        <v>-13824.88479262673</v>
      </c>
      <c r="J138" s="15">
        <v>18.600000000000001</v>
      </c>
      <c r="K138" s="32">
        <f t="shared" si="72"/>
        <v>-0.14285714285714277</v>
      </c>
      <c r="L138" s="18">
        <f>IF(ISNUMBER(J138), $B145 * K138, "")</f>
        <v>-14285.714285714277</v>
      </c>
      <c r="M138" s="31"/>
      <c r="N138" s="32" t="str">
        <f t="shared" si="73"/>
        <v/>
      </c>
      <c r="O138" s="18" t="str">
        <f>IF(ISNUMBER(M138), $B145 * N138, "")</f>
        <v/>
      </c>
      <c r="Q138" s="213"/>
      <c r="R138" s="213"/>
      <c r="S138" s="213"/>
    </row>
    <row r="139" spans="1:19" ht="17.25" thickBot="1">
      <c r="A139" s="163" t="s">
        <v>218</v>
      </c>
      <c r="B139" s="128">
        <v>17</v>
      </c>
      <c r="C139" s="78">
        <v>-1.1627907E-2</v>
      </c>
      <c r="D139" s="20">
        <v>15</v>
      </c>
      <c r="E139" s="21">
        <f t="shared" si="70"/>
        <v>-0.11764705882352941</v>
      </c>
      <c r="F139" s="22">
        <f>IF(ISNUMBER(D139), $B145 * E139, "")</f>
        <v>-11764.705882352941</v>
      </c>
      <c r="G139" s="30">
        <v>15</v>
      </c>
      <c r="H139" s="21">
        <f t="shared" si="71"/>
        <v>-0.11764705882352941</v>
      </c>
      <c r="I139" s="105">
        <f>IF(ISNUMBER(G139), $B145 * H139, "")</f>
        <v>-11764.705882352941</v>
      </c>
      <c r="J139" s="20">
        <v>15.1</v>
      </c>
      <c r="K139" s="21">
        <f t="shared" si="72"/>
        <v>-0.11176470588235296</v>
      </c>
      <c r="L139" s="22">
        <f>IF(ISNUMBER(J139), $B145 * K139, "")</f>
        <v>-11176.470588235296</v>
      </c>
      <c r="M139" s="30"/>
      <c r="N139" s="21" t="str">
        <f t="shared" si="73"/>
        <v/>
      </c>
      <c r="O139" s="22" t="str">
        <f>IF(ISNUMBER(M139), $B145 * N139, "")</f>
        <v/>
      </c>
      <c r="Q139" s="213"/>
      <c r="R139" s="213"/>
      <c r="S139" s="213"/>
    </row>
    <row r="140" spans="1:19" ht="17.25" thickBot="1">
      <c r="A140" s="162" t="s">
        <v>100</v>
      </c>
      <c r="B140" s="129">
        <v>4.63</v>
      </c>
      <c r="C140" s="80">
        <v>-1.2793176999999999E-2</v>
      </c>
      <c r="D140" s="106">
        <v>4.12</v>
      </c>
      <c r="E140" s="107">
        <f>IF(ISNUMBER(D140), (D140 - $B140) / $B140, "")</f>
        <v>-0.11015118790496756</v>
      </c>
      <c r="F140" s="108">
        <f>IF(ISNUMBER(D140), $B145 * E140, "")</f>
        <v>-11015.118790496756</v>
      </c>
      <c r="G140" s="109">
        <v>4.3099999999999996</v>
      </c>
      <c r="H140" s="107">
        <f>IF(ISNUMBER(G140), (G140 - $B140) / $B140, "")</f>
        <v>-6.9114470842332673E-2</v>
      </c>
      <c r="I140" s="110">
        <f>IF(ISNUMBER(G140), $B145 * H140, "")</f>
        <v>-6911.4470842332676</v>
      </c>
      <c r="J140" s="106">
        <v>4.28</v>
      </c>
      <c r="K140" s="107">
        <f>IF(ISNUMBER(J140), (J140 - $B140) / $B140, "")</f>
        <v>-7.5593952483801227E-2</v>
      </c>
      <c r="L140" s="108">
        <f>IF(ISNUMBER(J140), $B145 * K140, "")</f>
        <v>-7559.3952483801231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8"/>
      <c r="R140" s="218"/>
      <c r="S140" s="218"/>
    </row>
    <row r="141" spans="1:19" ht="17.25" thickBot="1">
      <c r="A141" s="162" t="s">
        <v>122</v>
      </c>
      <c r="B141" s="126">
        <v>66.900000000000006</v>
      </c>
      <c r="C141" s="77">
        <v>-1.32743363E-2</v>
      </c>
      <c r="D141" s="15">
        <v>57.7</v>
      </c>
      <c r="E141" s="32">
        <f t="shared" ref="E141:E144" si="74">IF(ISNUMBER(D141), (D141 - $B141) / $B141, "")</f>
        <v>-0.13751868460388642</v>
      </c>
      <c r="F141" s="18">
        <f>IF(ISNUMBER(D141), $B145 * E141, "")</f>
        <v>-13751.868460388641</v>
      </c>
      <c r="G141" s="31">
        <v>57.7</v>
      </c>
      <c r="H141" s="32">
        <f t="shared" ref="H141:H144" si="75">IF(ISNUMBER(G141), (G141 - $B141) / $B141, "")</f>
        <v>-0.13751868460388642</v>
      </c>
      <c r="I141" s="101">
        <f>IF(ISNUMBER(G141), $B145 * H141, "")</f>
        <v>-13751.868460388641</v>
      </c>
      <c r="J141" s="15">
        <v>58.2</v>
      </c>
      <c r="K141" s="32">
        <f t="shared" ref="K141:K144" si="76">IF(ISNUMBER(J141), (J141 - $B141) / $B141, "")</f>
        <v>-0.1300448430493274</v>
      </c>
      <c r="L141" s="18">
        <f>IF(ISNUMBER(J141), $B145 * K141, "")</f>
        <v>-13004.484304932739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8"/>
      <c r="R141" s="218"/>
      <c r="S141" s="218"/>
    </row>
    <row r="142" spans="1:19" ht="17.25" thickBot="1">
      <c r="A142" s="162" t="s">
        <v>65</v>
      </c>
      <c r="B142" s="126">
        <v>36.700000000000003</v>
      </c>
      <c r="C142" s="77">
        <v>-2.13333333E-2</v>
      </c>
      <c r="D142" s="15">
        <v>33.700000000000003</v>
      </c>
      <c r="E142" s="32">
        <f t="shared" si="74"/>
        <v>-8.1743869209809264E-2</v>
      </c>
      <c r="F142" s="18">
        <f>IF(ISNUMBER(D142), $B145 * E142, "")</f>
        <v>-8174.3869209809263</v>
      </c>
      <c r="G142" s="31">
        <v>33.4</v>
      </c>
      <c r="H142" s="32">
        <f t="shared" si="75"/>
        <v>-8.9918256130790297E-2</v>
      </c>
      <c r="I142" s="101">
        <f>IF(ISNUMBER(G142), $B145 * H142, "")</f>
        <v>-8991.8256130790305</v>
      </c>
      <c r="J142" s="15">
        <v>33.700000000000003</v>
      </c>
      <c r="K142" s="32">
        <f t="shared" si="76"/>
        <v>-8.1743869209809264E-2</v>
      </c>
      <c r="L142" s="18">
        <f>IF(ISNUMBER(J142), $B145 * K142, "")</f>
        <v>-8174.3869209809263</v>
      </c>
      <c r="M142" s="31"/>
      <c r="N142" s="32" t="str">
        <f t="shared" si="77"/>
        <v/>
      </c>
      <c r="O142" s="18" t="str">
        <f>IF(ISNUMBER(M142), $B145 * N142, "")</f>
        <v/>
      </c>
      <c r="Q142" s="218"/>
      <c r="R142" s="218"/>
      <c r="S142" s="218"/>
    </row>
    <row r="143" spans="1:19">
      <c r="A143" s="162" t="s">
        <v>134</v>
      </c>
      <c r="B143" s="126">
        <v>99.7</v>
      </c>
      <c r="C143" s="77">
        <v>-3.2038835000000002E-2</v>
      </c>
      <c r="D143" s="15">
        <v>85.8</v>
      </c>
      <c r="E143" s="32">
        <f t="shared" si="74"/>
        <v>-0.13941825476429293</v>
      </c>
      <c r="F143" s="18">
        <f>IF(ISNUMBER(D143), $B145 * E143, "")</f>
        <v>-13941.825476429292</v>
      </c>
      <c r="G143" s="31">
        <v>87</v>
      </c>
      <c r="H143" s="32">
        <f t="shared" si="75"/>
        <v>-0.12738214643931797</v>
      </c>
      <c r="I143" s="101">
        <f>IF(ISNUMBER(G143), $B145 * H143, "")</f>
        <v>-12738.214643931797</v>
      </c>
      <c r="J143" s="15">
        <v>86.5</v>
      </c>
      <c r="K143" s="32">
        <f t="shared" si="76"/>
        <v>-0.13239719157472421</v>
      </c>
      <c r="L143" s="18">
        <f>IF(ISNUMBER(J143), $B145 * K143, "")</f>
        <v>-13239.71915747242</v>
      </c>
      <c r="M143" s="31"/>
      <c r="N143" s="32" t="str">
        <f t="shared" si="77"/>
        <v/>
      </c>
      <c r="O143" s="18" t="str">
        <f>IF(ISNUMBER(M143), $B145 * N143, "")</f>
        <v/>
      </c>
      <c r="Q143" s="240"/>
      <c r="R143" s="241"/>
      <c r="S143" s="242"/>
    </row>
    <row r="144" spans="1:19" ht="17.25" thickBot="1">
      <c r="A144" s="130" t="s">
        <v>186</v>
      </c>
      <c r="B144" s="131">
        <v>19.3</v>
      </c>
      <c r="C144" s="79">
        <v>-9.8130841100000005E-2</v>
      </c>
      <c r="D144" s="24">
        <v>16</v>
      </c>
      <c r="E144" s="25">
        <f t="shared" si="74"/>
        <v>-0.17098445595854925</v>
      </c>
      <c r="F144" s="104">
        <f>IF(ISNUMBER(D144), $B145 * E144, "")</f>
        <v>-17098.445595854926</v>
      </c>
      <c r="G144" s="102">
        <v>15.4</v>
      </c>
      <c r="H144" s="25">
        <f t="shared" si="75"/>
        <v>-0.20207253886010365</v>
      </c>
      <c r="I144" s="103">
        <f>IF(ISNUMBER(G144), $B145 * H144, "")</f>
        <v>-20207.253886010367</v>
      </c>
      <c r="J144" s="24">
        <v>15.5</v>
      </c>
      <c r="K144" s="25">
        <f t="shared" si="76"/>
        <v>-0.19689119170984459</v>
      </c>
      <c r="L144" s="104">
        <f>IF(ISNUMBER(J144), $B145 * K144, "")</f>
        <v>-19689.119170984461</v>
      </c>
      <c r="M144" s="102"/>
      <c r="N144" s="25" t="str">
        <f t="shared" si="77"/>
        <v/>
      </c>
      <c r="O144" s="104" t="str">
        <f>IF(ISNUMBER(M144), $B145 * N144, "")</f>
        <v/>
      </c>
      <c r="Q144" s="243"/>
      <c r="R144" s="244"/>
      <c r="S144" s="245"/>
    </row>
    <row r="145" spans="1:19" ht="17.25" thickBot="1">
      <c r="A145" s="132" t="s">
        <v>300</v>
      </c>
      <c r="B145" s="251">
        <f>$B$37</f>
        <v>100000</v>
      </c>
      <c r="C145" s="252"/>
      <c r="D145" s="26" t="s">
        <v>301</v>
      </c>
      <c r="E145" s="27">
        <f>IF(COUNT(E125:E144), SUM(E125:E144) / COUNT(E125:E144), 0)</f>
        <v>-0.130608385593837</v>
      </c>
      <c r="F145" s="28">
        <f>SUM(F125:F144)</f>
        <v>-261216.77118767402</v>
      </c>
      <c r="G145" s="26" t="s">
        <v>301</v>
      </c>
      <c r="H145" s="27">
        <f>IF(COUNT(H125:H144), SUM(H125:H144) / COUNT(H125:H144), 0)</f>
        <v>-0.12847310458089339</v>
      </c>
      <c r="I145" s="28">
        <f>SUM(I125:I144)</f>
        <v>-256946.20916178677</v>
      </c>
      <c r="J145" s="26" t="s">
        <v>301</v>
      </c>
      <c r="K145" s="27">
        <f>IF(COUNT(K125:K144), SUM(K125:K144) / COUNT(K125:K144), 0)</f>
        <v>-0.12445045734719851</v>
      </c>
      <c r="L145" s="28">
        <f>SUM(L125:L144)</f>
        <v>-248900.91469439701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46"/>
      <c r="R145" s="247"/>
      <c r="S145" s="248"/>
    </row>
    <row r="147" spans="1:19" ht="17.25" thickBot="1"/>
    <row r="148" spans="1:19" ht="17.25" thickBot="1">
      <c r="A148" s="192" t="s">
        <v>289</v>
      </c>
      <c r="B148" s="193"/>
      <c r="C148" s="193"/>
      <c r="D148" s="193"/>
      <c r="E148" s="193"/>
      <c r="F148" s="193"/>
      <c r="G148" s="193"/>
      <c r="H148" s="193"/>
      <c r="I148" s="193"/>
      <c r="J148" s="193"/>
      <c r="K148" s="193"/>
      <c r="L148" s="193"/>
      <c r="M148" s="193"/>
      <c r="N148" s="193"/>
      <c r="O148" s="194"/>
      <c r="Q148" s="213"/>
      <c r="R148" s="213"/>
      <c r="S148" s="213"/>
    </row>
    <row r="149" spans="1:19" ht="17.25" thickBot="1">
      <c r="A149" s="188" t="s">
        <v>297</v>
      </c>
      <c r="B149" s="192" t="s">
        <v>49</v>
      </c>
      <c r="C149" s="194"/>
      <c r="D149" s="192" t="s">
        <v>58</v>
      </c>
      <c r="E149" s="193"/>
      <c r="F149" s="194"/>
      <c r="G149" s="219">
        <f>_xlfn.IFNA(VLOOKUP(B149, 현재가테이블!$B$2:$D$200, 2, FALSE), "-")</f>
        <v>38300000</v>
      </c>
      <c r="H149" s="220"/>
      <c r="I149" s="221"/>
      <c r="J149" s="192" t="s">
        <v>59</v>
      </c>
      <c r="K149" s="193"/>
      <c r="L149" s="194"/>
      <c r="M149" s="222">
        <f>_xlfn.IFNA(VLOOKUP(B149, 현재가테이블!$B$2:$D$200, 3, FALSE), "-")</f>
        <v>-1.9557649E-2</v>
      </c>
      <c r="N149" s="223"/>
      <c r="O149" s="224"/>
      <c r="Q149" s="213"/>
      <c r="R149" s="213"/>
      <c r="S149" s="213"/>
    </row>
    <row r="150" spans="1:19" ht="17.25" thickBot="1">
      <c r="A150" s="253" t="s">
        <v>55</v>
      </c>
      <c r="B150" s="255" t="str">
        <f>TEXT($G$1, "[$-ko-KR]yyyy-mm-dd(ddd) ") &amp; "오전 00:00"</f>
        <v>2021-06-08(화) 오전 00:00</v>
      </c>
      <c r="C150" s="256"/>
      <c r="D150" s="215" t="str">
        <f>TEXT($G$1, "[$-ko-KR]yyyy-mm-dd(ddd) ") &amp; "오후 14:00"</f>
        <v>2021-06-08(화) 오후 14:00</v>
      </c>
      <c r="E150" s="216"/>
      <c r="F150" s="217"/>
      <c r="G150" s="215" t="str">
        <f>TEXT($G$1, "[$-ko-KR]yyyy-mm-dd(ddd) ") &amp; "오후 19:00"</f>
        <v>2021-06-08(화) 오후 19:00</v>
      </c>
      <c r="H150" s="216"/>
      <c r="I150" s="217"/>
      <c r="J150" s="215" t="str">
        <f>TEXT($G$1, "[$-ko-KR]yyyy-mm-dd(ddd) ") &amp; "오후 21:00"</f>
        <v>2021-06-08(화) 오후 21:00</v>
      </c>
      <c r="K150" s="216"/>
      <c r="L150" s="217"/>
      <c r="M150" s="215" t="str">
        <f>TEXT($G$1+1, "[$-ko-KR]yyyy-mm-dd(ddd) ") &amp; "오전 00:00"</f>
        <v>2021-06-09(수) 오전 00:00</v>
      </c>
      <c r="N150" s="216"/>
      <c r="O150" s="217"/>
      <c r="Q150" s="213"/>
      <c r="R150" s="213"/>
      <c r="S150" s="213"/>
    </row>
    <row r="151" spans="1:19" ht="17.25" thickBot="1">
      <c r="A151" s="25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9" t="s">
        <v>58</v>
      </c>
      <c r="H151" s="190" t="s">
        <v>298</v>
      </c>
      <c r="I151" s="19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8"/>
      <c r="R151" s="218"/>
      <c r="S151" s="218"/>
    </row>
    <row r="152" spans="1:19" ht="17.25" thickBot="1">
      <c r="A152" s="161" t="s">
        <v>168</v>
      </c>
      <c r="B152" s="124">
        <v>109</v>
      </c>
      <c r="C152" s="76">
        <v>0</v>
      </c>
      <c r="D152" s="13">
        <v>93.3</v>
      </c>
      <c r="E152" s="14">
        <f>IF(ISNUMBER(D152), (D152 - $B152) / $B152, "")</f>
        <v>-0.14403669724770646</v>
      </c>
      <c r="F152" s="16">
        <f>IF(ISNUMBER(D152), $B172 * E152, "")</f>
        <v>-14403.669724770645</v>
      </c>
      <c r="G152" s="29">
        <v>93.3</v>
      </c>
      <c r="H152" s="14">
        <f>IF(ISNUMBER(G152), (G152 - $B152) / $B152, "")</f>
        <v>-0.14403669724770646</v>
      </c>
      <c r="I152" s="100">
        <f>IF(ISNUMBER(G152), $B172 * H152, "")</f>
        <v>-14403.669724770645</v>
      </c>
      <c r="J152" s="13">
        <v>94</v>
      </c>
      <c r="K152" s="14">
        <f>IF(ISNUMBER(J152), (J152 - $B152) / $B152, "")</f>
        <v>-0.13761467889908258</v>
      </c>
      <c r="L152" s="16">
        <f>IF(ISNUMBER(J152), $B172 * K152, "")</f>
        <v>-13761.467889908257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3"/>
      <c r="R152" s="213"/>
      <c r="S152" s="213"/>
    </row>
    <row r="153" spans="1:19" ht="17.25" thickBot="1">
      <c r="A153" s="162" t="s">
        <v>128</v>
      </c>
      <c r="B153" s="126">
        <v>378</v>
      </c>
      <c r="C153" s="77">
        <v>0</v>
      </c>
      <c r="D153" s="15">
        <v>327</v>
      </c>
      <c r="E153" s="32">
        <f t="shared" ref="E153:E156" si="78">IF(ISNUMBER(D153), (D153 - $B153) / $B153, "")</f>
        <v>-0.13492063492063491</v>
      </c>
      <c r="F153" s="18">
        <f>IF(ISNUMBER(D153), $B172 * E153, "")</f>
        <v>-13492.063492063491</v>
      </c>
      <c r="G153" s="31">
        <v>323</v>
      </c>
      <c r="H153" s="32">
        <f t="shared" ref="H153:H156" si="79">IF(ISNUMBER(G153), (G153 - $B153) / $B153, "")</f>
        <v>-0.14550264550264549</v>
      </c>
      <c r="I153" s="101">
        <f>IF(ISNUMBER(G153), $B172 * H153, "")</f>
        <v>-14550.26455026455</v>
      </c>
      <c r="J153" s="15">
        <v>329</v>
      </c>
      <c r="K153" s="32">
        <f t="shared" ref="K153:K156" si="80">IF(ISNUMBER(J153), (J153 - $B153) / $B153, "")</f>
        <v>-0.12962962962962962</v>
      </c>
      <c r="L153" s="18">
        <f>IF(ISNUMBER(J153), $B172 * K153, "")</f>
        <v>-12962.962962962962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3"/>
      <c r="R153" s="213"/>
      <c r="S153" s="213"/>
    </row>
    <row r="154" spans="1:19" ht="17.25" thickBot="1">
      <c r="A154" s="162" t="s">
        <v>232</v>
      </c>
      <c r="B154" s="126">
        <v>122</v>
      </c>
      <c r="C154" s="77">
        <v>0</v>
      </c>
      <c r="D154" s="15">
        <v>108</v>
      </c>
      <c r="E154" s="32">
        <f t="shared" si="78"/>
        <v>-0.11475409836065574</v>
      </c>
      <c r="F154" s="18">
        <f>IF(ISNUMBER(D154), $B172 * E154, "")</f>
        <v>-11475.409836065573</v>
      </c>
      <c r="G154" s="31">
        <v>108</v>
      </c>
      <c r="H154" s="32">
        <f t="shared" si="79"/>
        <v>-0.11475409836065574</v>
      </c>
      <c r="I154" s="101">
        <f>IF(ISNUMBER(G154), $B172 * H154, "")</f>
        <v>-11475.409836065573</v>
      </c>
      <c r="J154" s="15">
        <v>109</v>
      </c>
      <c r="K154" s="32">
        <f t="shared" si="80"/>
        <v>-0.10655737704918032</v>
      </c>
      <c r="L154" s="18">
        <f>IF(ISNUMBER(J154), $B172 * K154, "")</f>
        <v>-10655.737704918032</v>
      </c>
      <c r="M154" s="31"/>
      <c r="N154" s="32" t="str">
        <f t="shared" si="81"/>
        <v/>
      </c>
      <c r="O154" s="18" t="str">
        <f>IF(ISNUMBER(M154), $B172 * N154, "")</f>
        <v/>
      </c>
      <c r="Q154" s="218"/>
      <c r="R154" s="218"/>
      <c r="S154" s="218"/>
    </row>
    <row r="155" spans="1:19" ht="17.25" thickBot="1">
      <c r="A155" s="162" t="s">
        <v>170</v>
      </c>
      <c r="B155" s="126">
        <v>300</v>
      </c>
      <c r="C155" s="77">
        <v>0</v>
      </c>
      <c r="D155" s="15">
        <v>262</v>
      </c>
      <c r="E155" s="32">
        <f t="shared" si="78"/>
        <v>-0.12666666666666668</v>
      </c>
      <c r="F155" s="18">
        <f>IF(ISNUMBER(D155), $B172 * E155, "")</f>
        <v>-12666.666666666668</v>
      </c>
      <c r="G155" s="31">
        <v>261</v>
      </c>
      <c r="H155" s="32">
        <f t="shared" si="79"/>
        <v>-0.13</v>
      </c>
      <c r="I155" s="101">
        <f>IF(ISNUMBER(G155), $B172 * H155, "")</f>
        <v>-13000</v>
      </c>
      <c r="J155" s="15">
        <v>268</v>
      </c>
      <c r="K155" s="32">
        <f t="shared" si="80"/>
        <v>-0.10666666666666667</v>
      </c>
      <c r="L155" s="18">
        <f>IF(ISNUMBER(J155), $B172 * K155, "")</f>
        <v>-10666.666666666668</v>
      </c>
      <c r="M155" s="31"/>
      <c r="N155" s="32" t="str">
        <f t="shared" si="81"/>
        <v/>
      </c>
      <c r="O155" s="18" t="str">
        <f>IF(ISNUMBER(M155), $B172 * N155, "")</f>
        <v/>
      </c>
      <c r="Q155" s="218"/>
      <c r="R155" s="218"/>
      <c r="S155" s="218"/>
    </row>
    <row r="156" spans="1:19" ht="17.25" thickBot="1">
      <c r="A156" s="163" t="s">
        <v>246</v>
      </c>
      <c r="B156" s="128">
        <v>315</v>
      </c>
      <c r="C156" s="78">
        <v>-3.1645570000000001E-3</v>
      </c>
      <c r="D156" s="20">
        <v>270</v>
      </c>
      <c r="E156" s="21">
        <f t="shared" si="78"/>
        <v>-0.14285714285714285</v>
      </c>
      <c r="F156" s="22">
        <f>IF(ISNUMBER(D156), $B172 * E156, "")</f>
        <v>-14285.714285714284</v>
      </c>
      <c r="G156" s="30">
        <v>272</v>
      </c>
      <c r="H156" s="21">
        <f t="shared" si="79"/>
        <v>-0.13650793650793649</v>
      </c>
      <c r="I156" s="105">
        <f>IF(ISNUMBER(G156), $B172 * H156, "")</f>
        <v>-13650.79365079365</v>
      </c>
      <c r="J156" s="20">
        <v>274</v>
      </c>
      <c r="K156" s="21">
        <f t="shared" si="80"/>
        <v>-0.13015873015873017</v>
      </c>
      <c r="L156" s="22">
        <f>IF(ISNUMBER(J156), $B172 * K156, "")</f>
        <v>-13015.873015873018</v>
      </c>
      <c r="M156" s="30"/>
      <c r="N156" s="21" t="str">
        <f t="shared" si="81"/>
        <v/>
      </c>
      <c r="O156" s="22" t="str">
        <f>IF(ISNUMBER(M156), $B172 * N156, "")</f>
        <v/>
      </c>
      <c r="Q156" s="218"/>
      <c r="R156" s="218"/>
      <c r="S156" s="218"/>
    </row>
    <row r="157" spans="1:19" ht="17.25" thickBot="1">
      <c r="A157" s="162" t="s">
        <v>57</v>
      </c>
      <c r="B157" s="129">
        <v>217</v>
      </c>
      <c r="C157" s="80">
        <v>-4.5871560000000002E-3</v>
      </c>
      <c r="D157" s="106">
        <v>191</v>
      </c>
      <c r="E157" s="107">
        <f>IF(ISNUMBER(D157), (D157 - $B157) / $B157, "")</f>
        <v>-0.11981566820276497</v>
      </c>
      <c r="F157" s="108">
        <f>IF(ISNUMBER(D157), $B172 * E157, "")</f>
        <v>-11981.566820276497</v>
      </c>
      <c r="G157" s="109">
        <v>189</v>
      </c>
      <c r="H157" s="107">
        <f>IF(ISNUMBER(G157), (G157 - $B157) / $B157, "")</f>
        <v>-0.12903225806451613</v>
      </c>
      <c r="I157" s="110">
        <f>IF(ISNUMBER(G157), $B172 * H157, "")</f>
        <v>-12903.225806451612</v>
      </c>
      <c r="J157" s="106">
        <v>192</v>
      </c>
      <c r="K157" s="107">
        <f>IF(ISNUMBER(J157), (J157 - $B157) / $B157, "")</f>
        <v>-0.1152073732718894</v>
      </c>
      <c r="L157" s="108">
        <f>IF(ISNUMBER(J157), $B172 * K157, "")</f>
        <v>-11520.737327188941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8"/>
      <c r="R157" s="218"/>
      <c r="S157" s="218"/>
    </row>
    <row r="158" spans="1:19" ht="17.25" thickBot="1">
      <c r="A158" s="162" t="s">
        <v>258</v>
      </c>
      <c r="B158" s="126">
        <v>489</v>
      </c>
      <c r="C158" s="77">
        <v>-6.0975609999999996E-3</v>
      </c>
      <c r="D158" s="15">
        <v>424</v>
      </c>
      <c r="E158" s="32">
        <f t="shared" ref="E158:E161" si="82">IF(ISNUMBER(D158), (D158 - $B158) / $B158, "")</f>
        <v>-0.1329243353783231</v>
      </c>
      <c r="F158" s="18">
        <f>IF(ISNUMBER(D158), $B172 * E158, "")</f>
        <v>-13292.43353783231</v>
      </c>
      <c r="G158" s="31">
        <v>432</v>
      </c>
      <c r="H158" s="32">
        <f t="shared" ref="H158:H161" si="83">IF(ISNUMBER(G158), (G158 - $B158) / $B158, "")</f>
        <v>-0.1165644171779141</v>
      </c>
      <c r="I158" s="101">
        <f>IF(ISNUMBER(G158), $B172 * H158, "")</f>
        <v>-11656.441717791411</v>
      </c>
      <c r="J158" s="15">
        <v>432</v>
      </c>
      <c r="K158" s="32">
        <f t="shared" ref="K158:K161" si="84">IF(ISNUMBER(J158), (J158 - $B158) / $B158, "")</f>
        <v>-0.1165644171779141</v>
      </c>
      <c r="L158" s="18">
        <f>IF(ISNUMBER(J158), $B172 * K158, "")</f>
        <v>-11656.441717791411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8"/>
      <c r="R158" s="218"/>
      <c r="S158" s="218"/>
    </row>
    <row r="159" spans="1:19" ht="17.25" thickBot="1">
      <c r="A159" s="162" t="s">
        <v>208</v>
      </c>
      <c r="B159" s="126">
        <v>320</v>
      </c>
      <c r="C159" s="77">
        <v>-6.2111800999999998E-3</v>
      </c>
      <c r="D159" s="15">
        <v>273</v>
      </c>
      <c r="E159" s="32">
        <f t="shared" si="82"/>
        <v>-0.14687500000000001</v>
      </c>
      <c r="F159" s="18">
        <f>IF(ISNUMBER(D159), $B172 * E159, "")</f>
        <v>-14687.5</v>
      </c>
      <c r="G159" s="31">
        <v>275</v>
      </c>
      <c r="H159" s="32">
        <f t="shared" si="83"/>
        <v>-0.140625</v>
      </c>
      <c r="I159" s="101">
        <f>IF(ISNUMBER(G159), $B172 * H159, "")</f>
        <v>-14062.5</v>
      </c>
      <c r="J159" s="15">
        <v>274</v>
      </c>
      <c r="K159" s="32">
        <f t="shared" si="84"/>
        <v>-0.14374999999999999</v>
      </c>
      <c r="L159" s="18">
        <f>IF(ISNUMBER(J159), $B172 * K159, "")</f>
        <v>-14374.999999999998</v>
      </c>
      <c r="M159" s="31"/>
      <c r="N159" s="32" t="str">
        <f t="shared" si="85"/>
        <v/>
      </c>
      <c r="O159" s="18" t="str">
        <f>IF(ISNUMBER(M159), $B172 * N159, "")</f>
        <v/>
      </c>
      <c r="Q159" s="218"/>
      <c r="R159" s="218"/>
      <c r="S159" s="218"/>
    </row>
    <row r="160" spans="1:19" ht="17.25" thickBot="1">
      <c r="A160" s="162" t="s">
        <v>88</v>
      </c>
      <c r="B160" s="126">
        <v>309</v>
      </c>
      <c r="C160" s="77">
        <v>-6.4308682000000002E-3</v>
      </c>
      <c r="D160" s="15">
        <v>271</v>
      </c>
      <c r="E160" s="32">
        <f t="shared" si="82"/>
        <v>-0.12297734627831715</v>
      </c>
      <c r="F160" s="18">
        <f>IF(ISNUMBER(D160), $B172 * E160, "")</f>
        <v>-12297.734627831715</v>
      </c>
      <c r="G160" s="31">
        <v>269</v>
      </c>
      <c r="H160" s="32">
        <f t="shared" si="83"/>
        <v>-0.12944983818770225</v>
      </c>
      <c r="I160" s="101">
        <f>IF(ISNUMBER(G160), $B172 * H160, "")</f>
        <v>-12944.983818770226</v>
      </c>
      <c r="J160" s="15">
        <v>271</v>
      </c>
      <c r="K160" s="32">
        <f t="shared" si="84"/>
        <v>-0.12297734627831715</v>
      </c>
      <c r="L160" s="18">
        <f>IF(ISNUMBER(J160), $B172 * K160, "")</f>
        <v>-12297.734627831715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51</v>
      </c>
      <c r="B161" s="131">
        <v>441</v>
      </c>
      <c r="C161" s="79">
        <v>-6.7567568000000003E-3</v>
      </c>
      <c r="D161" s="24">
        <v>389</v>
      </c>
      <c r="E161" s="25">
        <f t="shared" si="82"/>
        <v>-0.11791383219954649</v>
      </c>
      <c r="F161" s="104">
        <f>IF(ISNUMBER(D161), $B172 * E161, "")</f>
        <v>-11791.383219954649</v>
      </c>
      <c r="G161" s="102">
        <v>393</v>
      </c>
      <c r="H161" s="25">
        <f t="shared" si="83"/>
        <v>-0.10884353741496598</v>
      </c>
      <c r="I161" s="103">
        <f>IF(ISNUMBER(G161), $B172 * H161, "")</f>
        <v>-10884.353741496598</v>
      </c>
      <c r="J161" s="24">
        <v>397</v>
      </c>
      <c r="K161" s="25">
        <f t="shared" si="84"/>
        <v>-9.9773242630385492E-2</v>
      </c>
      <c r="L161" s="104">
        <f>IF(ISNUMBER(J161), $B172 * K161, "")</f>
        <v>-9977.3242630385485</v>
      </c>
      <c r="M161" s="102"/>
      <c r="N161" s="25" t="str">
        <f t="shared" si="85"/>
        <v/>
      </c>
      <c r="O161" s="104" t="str">
        <f>IF(ISNUMBER(M161), $B172 * N161, "")</f>
        <v/>
      </c>
      <c r="Q161" s="227"/>
      <c r="R161" s="228"/>
      <c r="S161" s="229"/>
    </row>
    <row r="162" spans="1:19">
      <c r="A162" s="161" t="s">
        <v>240</v>
      </c>
      <c r="B162" s="124">
        <v>133</v>
      </c>
      <c r="C162" s="76">
        <v>-7.4626865999999998E-3</v>
      </c>
      <c r="D162" s="13">
        <v>120</v>
      </c>
      <c r="E162" s="14">
        <f>IF(ISNUMBER(D162), (D162 - $B162) / $B162, "")</f>
        <v>-9.7744360902255634E-2</v>
      </c>
      <c r="F162" s="16">
        <f>IF(ISNUMBER(D162), $B172 * E162, "")</f>
        <v>-9774.436090225563</v>
      </c>
      <c r="G162" s="29">
        <v>117</v>
      </c>
      <c r="H162" s="14">
        <f>IF(ISNUMBER(G162), (G162 - $B162) / $B162, "")</f>
        <v>-0.12030075187969924</v>
      </c>
      <c r="I162" s="100">
        <f>IF(ISNUMBER(G162), $B172 * H162, "")</f>
        <v>-12030.075187969924</v>
      </c>
      <c r="J162" s="13">
        <v>117</v>
      </c>
      <c r="K162" s="14">
        <f>IF(ISNUMBER(J162), (J162 - $B162) / $B162, "")</f>
        <v>-0.12030075187969924</v>
      </c>
      <c r="L162" s="16">
        <f>IF(ISNUMBER(J162), $B172 * K162, "")</f>
        <v>-12030.075187969924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0"/>
      <c r="R162" s="231"/>
      <c r="S162" s="232"/>
    </row>
    <row r="163" spans="1:19" ht="17.25" thickBot="1">
      <c r="A163" s="162" t="s">
        <v>270</v>
      </c>
      <c r="B163" s="126">
        <v>362</v>
      </c>
      <c r="C163" s="77">
        <v>-8.2191781000000002E-3</v>
      </c>
      <c r="D163" s="15">
        <v>323</v>
      </c>
      <c r="E163" s="32">
        <f t="shared" ref="E163:E166" si="86">IF(ISNUMBER(D163), (D163 - $B163) / $B163, "")</f>
        <v>-0.10773480662983426</v>
      </c>
      <c r="F163" s="18">
        <f>IF(ISNUMBER(D163), $B172 * E163, "")</f>
        <v>-10773.480662983426</v>
      </c>
      <c r="G163" s="31">
        <v>323</v>
      </c>
      <c r="H163" s="32">
        <f t="shared" ref="H163:H166" si="87">IF(ISNUMBER(G163), (G163 - $B163) / $B163, "")</f>
        <v>-0.10773480662983426</v>
      </c>
      <c r="I163" s="101">
        <f>IF(ISNUMBER(G163), $B172 * H163, "")</f>
        <v>-10773.480662983426</v>
      </c>
      <c r="J163" s="15">
        <v>324</v>
      </c>
      <c r="K163" s="32">
        <f t="shared" ref="K163:K166" si="88">IF(ISNUMBER(J163), (J163 - $B163) / $B163, "")</f>
        <v>-0.10497237569060773</v>
      </c>
      <c r="L163" s="18">
        <f>IF(ISNUMBER(J163), $B172 * K163, "")</f>
        <v>-10497.237569060773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3"/>
      <c r="R163" s="234"/>
      <c r="S163" s="235"/>
    </row>
    <row r="164" spans="1:19" ht="17.25" thickBot="1">
      <c r="A164" s="162" t="s">
        <v>148</v>
      </c>
      <c r="B164" s="126">
        <v>120</v>
      </c>
      <c r="C164" s="77">
        <v>-8.2644628000000005E-3</v>
      </c>
      <c r="D164" s="15">
        <v>108</v>
      </c>
      <c r="E164" s="32">
        <f t="shared" si="86"/>
        <v>-0.1</v>
      </c>
      <c r="F164" s="18">
        <f>IF(ISNUMBER(D164), $B172 * E164, "")</f>
        <v>-10000</v>
      </c>
      <c r="G164" s="31">
        <v>107</v>
      </c>
      <c r="H164" s="32">
        <f t="shared" si="87"/>
        <v>-0.10833333333333334</v>
      </c>
      <c r="I164" s="101">
        <f>IF(ISNUMBER(G164), $B172 * H164, "")</f>
        <v>-10833.333333333334</v>
      </c>
      <c r="J164" s="15">
        <v>107</v>
      </c>
      <c r="K164" s="32">
        <f t="shared" si="88"/>
        <v>-0.10833333333333334</v>
      </c>
      <c r="L164" s="18">
        <f>IF(ISNUMBER(J164), $B172 * K164, "")</f>
        <v>-10833.333333333334</v>
      </c>
      <c r="M164" s="31"/>
      <c r="N164" s="32" t="str">
        <f t="shared" si="89"/>
        <v/>
      </c>
      <c r="O164" s="18" t="str">
        <f>IF(ISNUMBER(M164), $B172 * N164, "")</f>
        <v/>
      </c>
      <c r="Q164" s="218"/>
      <c r="R164" s="218"/>
      <c r="S164" s="218"/>
    </row>
    <row r="165" spans="1:19" ht="17.25" thickBot="1">
      <c r="A165" s="162" t="s">
        <v>216</v>
      </c>
      <c r="B165" s="126">
        <v>281</v>
      </c>
      <c r="C165" s="77">
        <v>-1.0563380299999999E-2</v>
      </c>
      <c r="D165" s="15">
        <v>264</v>
      </c>
      <c r="E165" s="32">
        <f t="shared" si="86"/>
        <v>-6.0498220640569395E-2</v>
      </c>
      <c r="F165" s="18">
        <f>IF(ISNUMBER(D165), $B172 * E165, "")</f>
        <v>-6049.8220640569398</v>
      </c>
      <c r="G165" s="31">
        <v>271</v>
      </c>
      <c r="H165" s="32">
        <f t="shared" si="87"/>
        <v>-3.5587188612099648E-2</v>
      </c>
      <c r="I165" s="101">
        <f>IF(ISNUMBER(G165), $B172 * H165, "")</f>
        <v>-3558.7188612099649</v>
      </c>
      <c r="J165" s="15">
        <v>281</v>
      </c>
      <c r="K165" s="32">
        <f t="shared" si="88"/>
        <v>0</v>
      </c>
      <c r="L165" s="18">
        <f>IF(ISNUMBER(J165), $B172 * K165, "")</f>
        <v>0</v>
      </c>
      <c r="M165" s="31"/>
      <c r="N165" s="32" t="str">
        <f t="shared" si="89"/>
        <v/>
      </c>
      <c r="O165" s="18" t="str">
        <f>IF(ISNUMBER(M165), $B172 * N165, "")</f>
        <v/>
      </c>
      <c r="Q165" s="213"/>
      <c r="R165" s="213"/>
      <c r="S165" s="213"/>
    </row>
    <row r="166" spans="1:19" ht="17.25" thickBot="1">
      <c r="A166" s="163" t="s">
        <v>174</v>
      </c>
      <c r="B166" s="128">
        <v>187</v>
      </c>
      <c r="C166" s="78">
        <v>-1.05820106E-2</v>
      </c>
      <c r="D166" s="20">
        <v>159</v>
      </c>
      <c r="E166" s="21">
        <f t="shared" si="86"/>
        <v>-0.1497326203208556</v>
      </c>
      <c r="F166" s="22">
        <f>IF(ISNUMBER(D166), $B172 * E166, "")</f>
        <v>-14973.26203208556</v>
      </c>
      <c r="G166" s="30">
        <v>160</v>
      </c>
      <c r="H166" s="21">
        <f t="shared" si="87"/>
        <v>-0.14438502673796791</v>
      </c>
      <c r="I166" s="105">
        <f>IF(ISNUMBER(G166), $B172 * H166, "")</f>
        <v>-14438.502673796791</v>
      </c>
      <c r="J166" s="20">
        <v>161</v>
      </c>
      <c r="K166" s="21">
        <f t="shared" si="88"/>
        <v>-0.13903743315508021</v>
      </c>
      <c r="L166" s="22">
        <f>IF(ISNUMBER(J166), $B172 * K166, "")</f>
        <v>-13903.743315508022</v>
      </c>
      <c r="M166" s="30"/>
      <c r="N166" s="21" t="str">
        <f t="shared" si="89"/>
        <v/>
      </c>
      <c r="O166" s="22" t="str">
        <f>IF(ISNUMBER(M166), $B172 * N166, "")</f>
        <v/>
      </c>
      <c r="Q166" s="213"/>
      <c r="R166" s="213"/>
      <c r="S166" s="213"/>
    </row>
    <row r="167" spans="1:19" ht="17.25" thickBot="1">
      <c r="A167" s="162" t="s">
        <v>132</v>
      </c>
      <c r="B167" s="129">
        <v>151</v>
      </c>
      <c r="C167" s="80">
        <v>-1.30718954E-2</v>
      </c>
      <c r="D167" s="106">
        <v>131</v>
      </c>
      <c r="E167" s="107">
        <f>IF(ISNUMBER(D167), (D167 - $B167) / $B167, "")</f>
        <v>-0.13245033112582782</v>
      </c>
      <c r="F167" s="108">
        <f>IF(ISNUMBER(D167), $B172 * E167, "")</f>
        <v>-13245.033112582783</v>
      </c>
      <c r="G167" s="109">
        <v>129</v>
      </c>
      <c r="H167" s="107">
        <f>IF(ISNUMBER(G167), (G167 - $B167) / $B167, "")</f>
        <v>-0.14569536423841059</v>
      </c>
      <c r="I167" s="110">
        <f>IF(ISNUMBER(G167), $B172 * H167, "")</f>
        <v>-14569.536423841058</v>
      </c>
      <c r="J167" s="106">
        <v>129</v>
      </c>
      <c r="K167" s="107">
        <f>IF(ISNUMBER(J167), (J167 - $B167) / $B167, "")</f>
        <v>-0.14569536423841059</v>
      </c>
      <c r="L167" s="108">
        <f>IF(ISNUMBER(J167), $B172 * K167, "")</f>
        <v>-14569.536423841058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8"/>
      <c r="R167" s="218"/>
      <c r="S167" s="218"/>
    </row>
    <row r="168" spans="1:19" ht="17.25" thickBot="1">
      <c r="A168" s="162" t="s">
        <v>116</v>
      </c>
      <c r="B168" s="126">
        <v>374</v>
      </c>
      <c r="C168" s="77">
        <v>-1.3192612100000001E-2</v>
      </c>
      <c r="D168" s="15">
        <v>319</v>
      </c>
      <c r="E168" s="32">
        <f t="shared" ref="E168:E171" si="90">IF(ISNUMBER(D168), (D168 - $B168) / $B168, "")</f>
        <v>-0.14705882352941177</v>
      </c>
      <c r="F168" s="18">
        <f>IF(ISNUMBER(D168), $B172 * E168, "")</f>
        <v>-14705.882352941177</v>
      </c>
      <c r="G168" s="31">
        <v>319</v>
      </c>
      <c r="H168" s="32">
        <f t="shared" ref="H168:H171" si="91">IF(ISNUMBER(G168), (G168 - $B168) / $B168, "")</f>
        <v>-0.14705882352941177</v>
      </c>
      <c r="I168" s="101">
        <f>IF(ISNUMBER(G168), $B172 * H168, "")</f>
        <v>-14705.882352941177</v>
      </c>
      <c r="J168" s="15">
        <v>328</v>
      </c>
      <c r="K168" s="32">
        <f t="shared" ref="K168:K171" si="92">IF(ISNUMBER(J168), (J168 - $B168) / $B168, "")</f>
        <v>-0.12299465240641712</v>
      </c>
      <c r="L168" s="18">
        <f>IF(ISNUMBER(J168), $B172 * K168, "")</f>
        <v>-12299.465240641712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8"/>
      <c r="R168" s="218"/>
      <c r="S168" s="218"/>
    </row>
    <row r="169" spans="1:19" ht="17.25" thickBot="1">
      <c r="A169" s="162" t="s">
        <v>61</v>
      </c>
      <c r="B169" s="126">
        <v>941</v>
      </c>
      <c r="C169" s="77">
        <v>-1.6718913299999999E-2</v>
      </c>
      <c r="D169" s="15">
        <v>816</v>
      </c>
      <c r="E169" s="32">
        <f t="shared" si="90"/>
        <v>-0.13283740701381508</v>
      </c>
      <c r="F169" s="18">
        <f>IF(ISNUMBER(D169), $B172 * E169, "")</f>
        <v>-13283.740701381508</v>
      </c>
      <c r="G169" s="31">
        <v>822</v>
      </c>
      <c r="H169" s="32">
        <f t="shared" si="91"/>
        <v>-0.12646121147715197</v>
      </c>
      <c r="I169" s="101">
        <f>IF(ISNUMBER(G169), $B172 * H169, "")</f>
        <v>-12646.121147715197</v>
      </c>
      <c r="J169" s="15">
        <v>825</v>
      </c>
      <c r="K169" s="32">
        <f t="shared" si="92"/>
        <v>-0.12327311370882041</v>
      </c>
      <c r="L169" s="18">
        <f>IF(ISNUMBER(J169), $B172 * K169, "")</f>
        <v>-12327.31137088204</v>
      </c>
      <c r="M169" s="31"/>
      <c r="N169" s="32" t="str">
        <f t="shared" si="93"/>
        <v/>
      </c>
      <c r="O169" s="18" t="str">
        <f>IF(ISNUMBER(M169), $B172 * N169, "")</f>
        <v/>
      </c>
      <c r="Q169" s="218"/>
      <c r="R169" s="218"/>
      <c r="S169" s="218"/>
    </row>
    <row r="170" spans="1:19">
      <c r="A170" s="162" t="s">
        <v>54</v>
      </c>
      <c r="B170" s="126">
        <v>262</v>
      </c>
      <c r="C170" s="77">
        <v>-1.8726591800000001E-2</v>
      </c>
      <c r="D170" s="15">
        <v>242</v>
      </c>
      <c r="E170" s="32">
        <f t="shared" si="90"/>
        <v>-7.6335877862595422E-2</v>
      </c>
      <c r="F170" s="18">
        <f>IF(ISNUMBER(D170), $B172 * E170, "")</f>
        <v>-7633.5877862595426</v>
      </c>
      <c r="G170" s="31">
        <v>247</v>
      </c>
      <c r="H170" s="32">
        <f t="shared" si="91"/>
        <v>-5.7251908396946563E-2</v>
      </c>
      <c r="I170" s="101">
        <f>IF(ISNUMBER(G170), $B172 * H170, "")</f>
        <v>-5725.1908396946565</v>
      </c>
      <c r="J170" s="15">
        <v>247</v>
      </c>
      <c r="K170" s="32">
        <f t="shared" si="92"/>
        <v>-5.7251908396946563E-2</v>
      </c>
      <c r="L170" s="18">
        <f>IF(ISNUMBER(J170), $B172 * K170, "")</f>
        <v>-5725.1908396946565</v>
      </c>
      <c r="M170" s="31"/>
      <c r="N170" s="32" t="str">
        <f t="shared" si="93"/>
        <v/>
      </c>
      <c r="O170" s="18" t="str">
        <f>IF(ISNUMBER(M170), $B172 * N170, "")</f>
        <v/>
      </c>
      <c r="Q170" s="240"/>
      <c r="R170" s="241"/>
      <c r="S170" s="242"/>
    </row>
    <row r="171" spans="1:19" ht="17.25" thickBot="1">
      <c r="A171" s="130" t="s">
        <v>296</v>
      </c>
      <c r="B171" s="131">
        <v>421</v>
      </c>
      <c r="C171" s="79">
        <v>-2.5462963000000002E-2</v>
      </c>
      <c r="D171" s="24">
        <v>377</v>
      </c>
      <c r="E171" s="25">
        <f t="shared" si="90"/>
        <v>-0.10451306413301663</v>
      </c>
      <c r="F171" s="104">
        <f>IF(ISNUMBER(D171), $B172 * E171, "")</f>
        <v>-10451.306413301663</v>
      </c>
      <c r="G171" s="102">
        <v>380</v>
      </c>
      <c r="H171" s="25">
        <f t="shared" si="91"/>
        <v>-9.7387173396674589E-2</v>
      </c>
      <c r="I171" s="103">
        <f>IF(ISNUMBER(G171), $B172 * H171, "")</f>
        <v>-9738.7173396674589</v>
      </c>
      <c r="J171" s="24">
        <v>384</v>
      </c>
      <c r="K171" s="25">
        <f t="shared" si="92"/>
        <v>-8.7885985748218529E-2</v>
      </c>
      <c r="L171" s="104">
        <f>IF(ISNUMBER(J171), $B172 * K171, "")</f>
        <v>-8788.5985748218536</v>
      </c>
      <c r="M171" s="102"/>
      <c r="N171" s="25" t="str">
        <f t="shared" si="93"/>
        <v/>
      </c>
      <c r="O171" s="104" t="str">
        <f>IF(ISNUMBER(M171), $B172 * N171, "")</f>
        <v/>
      </c>
      <c r="Q171" s="243"/>
      <c r="R171" s="244"/>
      <c r="S171" s="245"/>
    </row>
    <row r="172" spans="1:19" ht="17.25" thickBot="1">
      <c r="A172" s="132" t="s">
        <v>300</v>
      </c>
      <c r="B172" s="251">
        <f>$B$37</f>
        <v>100000</v>
      </c>
      <c r="C172" s="252"/>
      <c r="D172" s="26" t="s">
        <v>301</v>
      </c>
      <c r="E172" s="27">
        <f>IF(COUNT(E152:E171), SUM(E152:E171) / COUNT(E152:E171), 0)</f>
        <v>-0.12063234671349701</v>
      </c>
      <c r="F172" s="28">
        <f>SUM(F152:F171)</f>
        <v>-241264.693426994</v>
      </c>
      <c r="G172" s="26" t="s">
        <v>301</v>
      </c>
      <c r="H172" s="27">
        <f>IF(COUNT(H152:H171), SUM(H152:H171) / COUNT(H152:H171), 0)</f>
        <v>-0.11927560083477864</v>
      </c>
      <c r="I172" s="28">
        <f>SUM(I152:I171)</f>
        <v>-238551.20166955725</v>
      </c>
      <c r="J172" s="26" t="s">
        <v>301</v>
      </c>
      <c r="K172" s="27">
        <f>IF(COUNT(K152:K171), SUM(K152:K171) / COUNT(K152:K171), 0)</f>
        <v>-0.11093221901596648</v>
      </c>
      <c r="L172" s="28">
        <f>SUM(L152:L171)</f>
        <v>-221864.43803193292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46"/>
      <c r="R172" s="247"/>
      <c r="S172" s="248"/>
    </row>
    <row r="174" spans="1:19" ht="17.25" thickBot="1"/>
    <row r="175" spans="1:19" ht="17.25" thickBot="1">
      <c r="A175" s="192" t="s">
        <v>285</v>
      </c>
      <c r="B175" s="193"/>
      <c r="C175" s="193"/>
      <c r="D175" s="193"/>
      <c r="E175" s="193"/>
      <c r="F175" s="193"/>
      <c r="G175" s="193"/>
      <c r="H175" s="193"/>
      <c r="I175" s="193"/>
      <c r="J175" s="193"/>
      <c r="K175" s="193"/>
      <c r="L175" s="193"/>
      <c r="M175" s="193"/>
      <c r="N175" s="193"/>
      <c r="O175" s="194"/>
      <c r="Q175" s="213"/>
      <c r="R175" s="213"/>
      <c r="S175" s="213"/>
    </row>
    <row r="176" spans="1:19" ht="17.25" thickBot="1">
      <c r="A176" s="188" t="s">
        <v>297</v>
      </c>
      <c r="B176" s="192" t="s">
        <v>49</v>
      </c>
      <c r="C176" s="194"/>
      <c r="D176" s="192" t="s">
        <v>58</v>
      </c>
      <c r="E176" s="193"/>
      <c r="F176" s="194"/>
      <c r="G176" s="219">
        <f>_xlfn.IFNA(VLOOKUP(B176, 현재가테이블!$B$2:$D$200, 2, FALSE), "-")</f>
        <v>38300000</v>
      </c>
      <c r="H176" s="220"/>
      <c r="I176" s="221"/>
      <c r="J176" s="192" t="s">
        <v>59</v>
      </c>
      <c r="K176" s="193"/>
      <c r="L176" s="194"/>
      <c r="M176" s="222">
        <f>_xlfn.IFNA(VLOOKUP(B176, 현재가테이블!$B$2:$D$200, 3, FALSE), "-")</f>
        <v>-1.9557649E-2</v>
      </c>
      <c r="N176" s="223"/>
      <c r="O176" s="224"/>
      <c r="Q176" s="213"/>
      <c r="R176" s="213"/>
      <c r="S176" s="213"/>
    </row>
    <row r="177" spans="1:19" ht="17.25" thickBot="1">
      <c r="A177" s="253" t="s">
        <v>55</v>
      </c>
      <c r="B177" s="255" t="str">
        <f>TEXT($G$1, "[$-ko-KR]yyyy-mm-dd(ddd) ") &amp; "오전 00:00"</f>
        <v>2021-06-08(화) 오전 00:00</v>
      </c>
      <c r="C177" s="256"/>
      <c r="D177" s="215" t="str">
        <f>TEXT($G$1, "[$-ko-KR]yyyy-mm-dd(ddd) ") &amp; "오후 14:00"</f>
        <v>2021-06-08(화) 오후 14:00</v>
      </c>
      <c r="E177" s="216"/>
      <c r="F177" s="217"/>
      <c r="G177" s="215" t="str">
        <f>TEXT($G$1, "[$-ko-KR]yyyy-mm-dd(ddd) ") &amp; "오후 19:00"</f>
        <v>2021-06-08(화) 오후 19:00</v>
      </c>
      <c r="H177" s="216"/>
      <c r="I177" s="217"/>
      <c r="J177" s="215" t="str">
        <f>TEXT($G$1, "[$-ko-KR]yyyy-mm-dd(ddd) ") &amp; "오후 21:00"</f>
        <v>2021-06-08(화) 오후 21:00</v>
      </c>
      <c r="K177" s="216"/>
      <c r="L177" s="217"/>
      <c r="M177" s="215" t="str">
        <f>TEXT($G$1+1, "[$-ko-KR]yyyy-mm-dd(ddd) ") &amp; "오전 00:00"</f>
        <v>2021-06-09(수) 오전 00:00</v>
      </c>
      <c r="N177" s="216"/>
      <c r="O177" s="217"/>
      <c r="Q177" s="213"/>
      <c r="R177" s="213"/>
      <c r="S177" s="213"/>
    </row>
    <row r="178" spans="1:19" ht="17.25" thickBot="1">
      <c r="A178" s="25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9" t="s">
        <v>58</v>
      </c>
      <c r="H178" s="190" t="s">
        <v>298</v>
      </c>
      <c r="I178" s="19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8"/>
      <c r="R178" s="218"/>
      <c r="S178" s="218"/>
    </row>
    <row r="179" spans="1:19" ht="17.25" thickBot="1">
      <c r="A179" s="161" t="s">
        <v>100</v>
      </c>
      <c r="B179" s="124">
        <v>4.63</v>
      </c>
      <c r="C179" s="76">
        <v>-1.2793176999999999E-2</v>
      </c>
      <c r="D179" s="13">
        <v>4.12</v>
      </c>
      <c r="E179" s="14">
        <f>IF(ISNUMBER(D179), (D179 - $B179) / $B179, "")</f>
        <v>-0.11015118790496756</v>
      </c>
      <c r="F179" s="16">
        <f>IF(ISNUMBER(D179), $B199 * E179, "")</f>
        <v>-11015.118790496756</v>
      </c>
      <c r="G179" s="29">
        <v>4.3099999999999996</v>
      </c>
      <c r="H179" s="14">
        <f>IF(ISNUMBER(G179), (G179 - $B179) / $B179, "")</f>
        <v>-6.9114470842332673E-2</v>
      </c>
      <c r="I179" s="100">
        <f>IF(ISNUMBER(G179), $B199 * H179, "")</f>
        <v>-6911.4470842332676</v>
      </c>
      <c r="J179" s="13">
        <v>4.28</v>
      </c>
      <c r="K179" s="14">
        <f>IF(ISNUMBER(J179), (J179 - $B179) / $B179, "")</f>
        <v>-7.5593952483801227E-2</v>
      </c>
      <c r="L179" s="16">
        <f>IF(ISNUMBER(J179), $B199 * K179, "")</f>
        <v>-7559.3952483801231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3"/>
      <c r="R179" s="213"/>
      <c r="S179" s="213"/>
    </row>
    <row r="180" spans="1:19" ht="17.25" thickBot="1">
      <c r="A180" s="162" t="s">
        <v>132</v>
      </c>
      <c r="B180" s="126">
        <v>151</v>
      </c>
      <c r="C180" s="77">
        <v>-1.30718954E-2</v>
      </c>
      <c r="D180" s="15">
        <v>131</v>
      </c>
      <c r="E180" s="32">
        <f t="shared" ref="E180:E183" si="94">IF(ISNUMBER(D180), (D180 - $B180) / $B180, "")</f>
        <v>-0.13245033112582782</v>
      </c>
      <c r="F180" s="18">
        <f>IF(ISNUMBER(D180), $B199 * E180, "")</f>
        <v>-13245.033112582783</v>
      </c>
      <c r="G180" s="31">
        <v>129</v>
      </c>
      <c r="H180" s="32">
        <f t="shared" ref="H180:H183" si="95">IF(ISNUMBER(G180), (G180 - $B180) / $B180, "")</f>
        <v>-0.14569536423841059</v>
      </c>
      <c r="I180" s="101">
        <f>IF(ISNUMBER(G180), $B199 * H180, "")</f>
        <v>-14569.536423841058</v>
      </c>
      <c r="J180" s="15">
        <v>129</v>
      </c>
      <c r="K180" s="32">
        <f t="shared" ref="K180:K183" si="96">IF(ISNUMBER(J180), (J180 - $B180) / $B180, "")</f>
        <v>-0.14569536423841059</v>
      </c>
      <c r="L180" s="18">
        <f>IF(ISNUMBER(J180), $B199 * K180, "")</f>
        <v>-14569.536423841058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3"/>
      <c r="R180" s="213"/>
      <c r="S180" s="213"/>
    </row>
    <row r="181" spans="1:19" ht="17.25" thickBot="1">
      <c r="A181" s="162" t="s">
        <v>86</v>
      </c>
      <c r="B181" s="126">
        <v>6740</v>
      </c>
      <c r="C181" s="77">
        <v>-1.31771596E-2</v>
      </c>
      <c r="D181" s="15">
        <v>5795</v>
      </c>
      <c r="E181" s="32">
        <f t="shared" si="94"/>
        <v>-0.14020771513353117</v>
      </c>
      <c r="F181" s="18">
        <f>IF(ISNUMBER(D181), $B199 * E181, "")</f>
        <v>-14020.771513353116</v>
      </c>
      <c r="G181" s="31">
        <v>5780</v>
      </c>
      <c r="H181" s="32">
        <f t="shared" si="95"/>
        <v>-0.14243323442136499</v>
      </c>
      <c r="I181" s="101">
        <f>IF(ISNUMBER(G181), $B199 * H181, "")</f>
        <v>-14243.3234421365</v>
      </c>
      <c r="J181" s="15">
        <v>5845</v>
      </c>
      <c r="K181" s="32">
        <f t="shared" si="96"/>
        <v>-0.1327893175074184</v>
      </c>
      <c r="L181" s="18">
        <f>IF(ISNUMBER(J181), $B199 * K181, "")</f>
        <v>-13278.93175074184</v>
      </c>
      <c r="M181" s="31"/>
      <c r="N181" s="32" t="str">
        <f t="shared" si="97"/>
        <v/>
      </c>
      <c r="O181" s="18" t="str">
        <f>IF(ISNUMBER(M181), $B199 * N181, "")</f>
        <v/>
      </c>
      <c r="Q181" s="218"/>
      <c r="R181" s="218"/>
      <c r="S181" s="218"/>
    </row>
    <row r="182" spans="1:19" ht="17.25" thickBot="1">
      <c r="A182" s="162" t="s">
        <v>116</v>
      </c>
      <c r="B182" s="126">
        <v>374</v>
      </c>
      <c r="C182" s="77">
        <v>-1.3192612100000001E-2</v>
      </c>
      <c r="D182" s="15">
        <v>319</v>
      </c>
      <c r="E182" s="32">
        <f t="shared" si="94"/>
        <v>-0.14705882352941177</v>
      </c>
      <c r="F182" s="18">
        <f>IF(ISNUMBER(D182), $B199 * E182, "")</f>
        <v>-14705.882352941177</v>
      </c>
      <c r="G182" s="31">
        <v>319</v>
      </c>
      <c r="H182" s="32">
        <f t="shared" si="95"/>
        <v>-0.14705882352941177</v>
      </c>
      <c r="I182" s="101">
        <f>IF(ISNUMBER(G182), $B199 * H182, "")</f>
        <v>-14705.882352941177</v>
      </c>
      <c r="J182" s="15">
        <v>328</v>
      </c>
      <c r="K182" s="32">
        <f t="shared" si="96"/>
        <v>-0.12299465240641712</v>
      </c>
      <c r="L182" s="18">
        <f>IF(ISNUMBER(J182), $B199 * K182, "")</f>
        <v>-12299.465240641712</v>
      </c>
      <c r="M182" s="31"/>
      <c r="N182" s="32" t="str">
        <f t="shared" si="97"/>
        <v/>
      </c>
      <c r="O182" s="18" t="str">
        <f>IF(ISNUMBER(M182), $B199 * N182, "")</f>
        <v/>
      </c>
      <c r="Q182" s="218"/>
      <c r="R182" s="218"/>
      <c r="S182" s="218"/>
    </row>
    <row r="183" spans="1:19" ht="17.25" thickBot="1">
      <c r="A183" s="163" t="s">
        <v>122</v>
      </c>
      <c r="B183" s="128">
        <v>66.900000000000006</v>
      </c>
      <c r="C183" s="78">
        <v>-1.32743363E-2</v>
      </c>
      <c r="D183" s="20">
        <v>57.7</v>
      </c>
      <c r="E183" s="21">
        <f t="shared" si="94"/>
        <v>-0.13751868460388642</v>
      </c>
      <c r="F183" s="22">
        <f>IF(ISNUMBER(D183), $B199 * E183, "")</f>
        <v>-13751.868460388641</v>
      </c>
      <c r="G183" s="30">
        <v>57.7</v>
      </c>
      <c r="H183" s="21">
        <f t="shared" si="95"/>
        <v>-0.13751868460388642</v>
      </c>
      <c r="I183" s="105">
        <f>IF(ISNUMBER(G183), $B199 * H183, "")</f>
        <v>-13751.868460388641</v>
      </c>
      <c r="J183" s="20">
        <v>58.2</v>
      </c>
      <c r="K183" s="21">
        <f t="shared" si="96"/>
        <v>-0.1300448430493274</v>
      </c>
      <c r="L183" s="22">
        <f>IF(ISNUMBER(J183), $B199 * K183, "")</f>
        <v>-13004.484304932739</v>
      </c>
      <c r="M183" s="30"/>
      <c r="N183" s="21" t="str">
        <f t="shared" si="97"/>
        <v/>
      </c>
      <c r="O183" s="22" t="str">
        <f>IF(ISNUMBER(M183), $B199 * N183, "")</f>
        <v/>
      </c>
      <c r="Q183" s="218"/>
      <c r="R183" s="218"/>
      <c r="S183" s="218"/>
    </row>
    <row r="184" spans="1:19" ht="17.25" thickBot="1">
      <c r="A184" s="162" t="s">
        <v>82</v>
      </c>
      <c r="B184" s="129">
        <v>1090</v>
      </c>
      <c r="C184" s="80">
        <v>-1.35746606E-2</v>
      </c>
      <c r="D184" s="106">
        <v>947</v>
      </c>
      <c r="E184" s="107">
        <f>IF(ISNUMBER(D184), (D184 - $B184) / $B184, "")</f>
        <v>-0.13119266055045872</v>
      </c>
      <c r="F184" s="108">
        <f>IF(ISNUMBER(D184), $B199 * E184, "")</f>
        <v>-13119.266055045873</v>
      </c>
      <c r="G184" s="109">
        <v>956</v>
      </c>
      <c r="H184" s="107">
        <f>IF(ISNUMBER(G184), (G184 - $B184) / $B184, "")</f>
        <v>-0.12293577981651377</v>
      </c>
      <c r="I184" s="110">
        <f>IF(ISNUMBER(G184), $B199 * H184, "")</f>
        <v>-12293.577981651377</v>
      </c>
      <c r="J184" s="106">
        <v>949</v>
      </c>
      <c r="K184" s="107">
        <f>IF(ISNUMBER(J184), (J184 - $B184) / $B184, "")</f>
        <v>-0.12935779816513762</v>
      </c>
      <c r="L184" s="108">
        <f>IF(ISNUMBER(J184), $B199 * K184, "")</f>
        <v>-12935.779816513763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8"/>
      <c r="R184" s="218"/>
      <c r="S184" s="218"/>
    </row>
    <row r="185" spans="1:19" ht="17.25" thickBot="1">
      <c r="A185" s="162" t="s">
        <v>61</v>
      </c>
      <c r="B185" s="126">
        <v>941</v>
      </c>
      <c r="C185" s="77">
        <v>-1.6718913299999999E-2</v>
      </c>
      <c r="D185" s="15">
        <v>816</v>
      </c>
      <c r="E185" s="32">
        <f t="shared" ref="E185:E188" si="98">IF(ISNUMBER(D185), (D185 - $B185) / $B185, "")</f>
        <v>-0.13283740701381508</v>
      </c>
      <c r="F185" s="18">
        <f>IF(ISNUMBER(D185), $B199 * E185, "")</f>
        <v>-13283.740701381508</v>
      </c>
      <c r="G185" s="31">
        <v>822</v>
      </c>
      <c r="H185" s="32">
        <f t="shared" ref="H185:H188" si="99">IF(ISNUMBER(G185), (G185 - $B185) / $B185, "")</f>
        <v>-0.12646121147715197</v>
      </c>
      <c r="I185" s="101">
        <f>IF(ISNUMBER(G185), $B199 * H185, "")</f>
        <v>-12646.121147715197</v>
      </c>
      <c r="J185" s="15">
        <v>825</v>
      </c>
      <c r="K185" s="32">
        <f t="shared" ref="K185:K188" si="100">IF(ISNUMBER(J185), (J185 - $B185) / $B185, "")</f>
        <v>-0.12327311370882041</v>
      </c>
      <c r="L185" s="18">
        <f>IF(ISNUMBER(J185), $B199 * K185, "")</f>
        <v>-12327.31137088204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8"/>
      <c r="R185" s="218"/>
      <c r="S185" s="218"/>
    </row>
    <row r="186" spans="1:19" ht="17.25" thickBot="1">
      <c r="A186" s="162" t="s">
        <v>102</v>
      </c>
      <c r="B186" s="126">
        <v>73380</v>
      </c>
      <c r="C186" s="77">
        <v>-1.7539161899999999E-2</v>
      </c>
      <c r="D186" s="15">
        <v>64420</v>
      </c>
      <c r="E186" s="32">
        <f t="shared" si="98"/>
        <v>-0.12210411556282366</v>
      </c>
      <c r="F186" s="18">
        <f>IF(ISNUMBER(D186), $B199 * E186, "")</f>
        <v>-12210.411556282366</v>
      </c>
      <c r="G186" s="31">
        <v>64210</v>
      </c>
      <c r="H186" s="32">
        <f t="shared" si="99"/>
        <v>-0.12496593077132734</v>
      </c>
      <c r="I186" s="101">
        <f>IF(ISNUMBER(G186), $B199 * H186, "")</f>
        <v>-12496.593077132733</v>
      </c>
      <c r="J186" s="15">
        <v>64900</v>
      </c>
      <c r="K186" s="32">
        <f t="shared" si="100"/>
        <v>-0.11556282365767238</v>
      </c>
      <c r="L186" s="18">
        <f>IF(ISNUMBER(J186), $B199 * K186, "")</f>
        <v>-11556.282365767238</v>
      </c>
      <c r="M186" s="31"/>
      <c r="N186" s="32" t="str">
        <f t="shared" si="101"/>
        <v/>
      </c>
      <c r="O186" s="18" t="str">
        <f>IF(ISNUMBER(M186), $B199 * N186, "")</f>
        <v/>
      </c>
      <c r="Q186" s="218"/>
      <c r="R186" s="218"/>
      <c r="S186" s="218"/>
    </row>
    <row r="187" spans="1:19" ht="17.25" thickBot="1">
      <c r="A187" s="162" t="s">
        <v>54</v>
      </c>
      <c r="B187" s="126">
        <v>262</v>
      </c>
      <c r="C187" s="77">
        <v>-1.8726591800000001E-2</v>
      </c>
      <c r="D187" s="15">
        <v>242</v>
      </c>
      <c r="E187" s="32">
        <f t="shared" si="98"/>
        <v>-7.6335877862595422E-2</v>
      </c>
      <c r="F187" s="18">
        <f>IF(ISNUMBER(D187), $B199 * E187, "")</f>
        <v>-7633.5877862595426</v>
      </c>
      <c r="G187" s="31">
        <v>247</v>
      </c>
      <c r="H187" s="32">
        <f t="shared" si="99"/>
        <v>-5.7251908396946563E-2</v>
      </c>
      <c r="I187" s="101">
        <f>IF(ISNUMBER(G187), $B199 * H187, "")</f>
        <v>-5725.1908396946565</v>
      </c>
      <c r="J187" s="15">
        <v>247</v>
      </c>
      <c r="K187" s="32">
        <f t="shared" si="100"/>
        <v>-5.7251908396946563E-2</v>
      </c>
      <c r="L187" s="18">
        <f>IF(ISNUMBER(J187), $B199 * K187, "")</f>
        <v>-5725.1908396946565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90</v>
      </c>
      <c r="B188" s="131">
        <v>204200</v>
      </c>
      <c r="C188" s="79">
        <v>-1.9212295899999999E-2</v>
      </c>
      <c r="D188" s="24">
        <v>183000</v>
      </c>
      <c r="E188" s="25">
        <f t="shared" si="98"/>
        <v>-0.10381978452497552</v>
      </c>
      <c r="F188" s="104">
        <f>IF(ISNUMBER(D188), $B199 * E188, "")</f>
        <v>-10381.978452497551</v>
      </c>
      <c r="G188" s="102">
        <v>185750</v>
      </c>
      <c r="H188" s="25">
        <f t="shared" si="99"/>
        <v>-9.0352595494613122E-2</v>
      </c>
      <c r="I188" s="103">
        <f>IF(ISNUMBER(G188), $B199 * H188, "")</f>
        <v>-9035.2595494613124</v>
      </c>
      <c r="J188" s="24">
        <v>187000</v>
      </c>
      <c r="K188" s="25">
        <f t="shared" si="100"/>
        <v>-8.4231145935357493E-2</v>
      </c>
      <c r="L188" s="104">
        <f>IF(ISNUMBER(J188), $B199 * K188, "")</f>
        <v>-8423.114593535749</v>
      </c>
      <c r="M188" s="102"/>
      <c r="N188" s="25" t="str">
        <f t="shared" si="101"/>
        <v/>
      </c>
      <c r="O188" s="104" t="str">
        <f>IF(ISNUMBER(M188), $B199 * N188, "")</f>
        <v/>
      </c>
      <c r="Q188" s="227"/>
      <c r="R188" s="228"/>
      <c r="S188" s="229"/>
    </row>
    <row r="189" spans="1:19">
      <c r="A189" s="161" t="s">
        <v>188</v>
      </c>
      <c r="B189" s="124">
        <v>12660</v>
      </c>
      <c r="C189" s="76">
        <v>-1.9364833500000001E-2</v>
      </c>
      <c r="D189" s="13">
        <v>10680</v>
      </c>
      <c r="E189" s="14">
        <f>IF(ISNUMBER(D189), (D189 - $B189) / $B189, "")</f>
        <v>-0.15639810426540285</v>
      </c>
      <c r="F189" s="16">
        <f>IF(ISNUMBER(D189), $B199 * E189, "")</f>
        <v>-15639.810426540285</v>
      </c>
      <c r="G189" s="29">
        <v>10720</v>
      </c>
      <c r="H189" s="14">
        <f>IF(ISNUMBER(G189), (G189 - $B189) / $B189, "")</f>
        <v>-0.15323854660347552</v>
      </c>
      <c r="I189" s="100">
        <f>IF(ISNUMBER(G189), $B199 * H189, "")</f>
        <v>-15323.854660347552</v>
      </c>
      <c r="J189" s="13">
        <v>10820</v>
      </c>
      <c r="K189" s="14">
        <f>IF(ISNUMBER(J189), (J189 - $B189) / $B189, "")</f>
        <v>-0.14533965244865718</v>
      </c>
      <c r="L189" s="16">
        <f>IF(ISNUMBER(J189), $B199 * K189, "")</f>
        <v>-14533.965244865718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0"/>
      <c r="R189" s="231"/>
      <c r="S189" s="232"/>
    </row>
    <row r="190" spans="1:19" ht="17.25" thickBot="1">
      <c r="A190" s="162" t="s">
        <v>104</v>
      </c>
      <c r="B190" s="126">
        <v>1265</v>
      </c>
      <c r="C190" s="77">
        <v>-1.9379845E-2</v>
      </c>
      <c r="D190" s="15">
        <v>1095</v>
      </c>
      <c r="E190" s="32">
        <f t="shared" ref="E190:E193" si="102">IF(ISNUMBER(D190), (D190 - $B190) / $B190, "")</f>
        <v>-0.13438735177865613</v>
      </c>
      <c r="F190" s="18">
        <f>IF(ISNUMBER(D190), $B199 * E190, "")</f>
        <v>-13438.735177865612</v>
      </c>
      <c r="G190" s="31">
        <v>1090</v>
      </c>
      <c r="H190" s="32">
        <f t="shared" ref="H190:H193" si="103">IF(ISNUMBER(G190), (G190 - $B190) / $B190, "")</f>
        <v>-0.13833992094861661</v>
      </c>
      <c r="I190" s="101">
        <f>IF(ISNUMBER(G190), $B199 * H190, "")</f>
        <v>-13833.99209486166</v>
      </c>
      <c r="J190" s="15">
        <v>1110</v>
      </c>
      <c r="K190" s="32">
        <f t="shared" ref="K190:K193" si="104">IF(ISNUMBER(J190), (J190 - $B190) / $B190, "")</f>
        <v>-0.1225296442687747</v>
      </c>
      <c r="L190" s="18">
        <f>IF(ISNUMBER(J190), $B199 * K190, "")</f>
        <v>-12252.96442687747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3"/>
      <c r="R190" s="234"/>
      <c r="S190" s="235"/>
    </row>
    <row r="191" spans="1:19" ht="17.25" thickBot="1">
      <c r="A191" s="162" t="s">
        <v>65</v>
      </c>
      <c r="B191" s="126">
        <v>36.700000000000003</v>
      </c>
      <c r="C191" s="77">
        <v>-2.13333333E-2</v>
      </c>
      <c r="D191" s="15">
        <v>33.700000000000003</v>
      </c>
      <c r="E191" s="32">
        <f t="shared" si="102"/>
        <v>-8.1743869209809264E-2</v>
      </c>
      <c r="F191" s="18">
        <f>IF(ISNUMBER(D191), $B199 * E191, "")</f>
        <v>-8174.3869209809263</v>
      </c>
      <c r="G191" s="31">
        <v>33.4</v>
      </c>
      <c r="H191" s="32">
        <f t="shared" si="103"/>
        <v>-8.9918256130790297E-2</v>
      </c>
      <c r="I191" s="101">
        <f>IF(ISNUMBER(G191), $B199 * H191, "")</f>
        <v>-8991.8256130790305</v>
      </c>
      <c r="J191" s="15">
        <v>33.700000000000003</v>
      </c>
      <c r="K191" s="32">
        <f t="shared" si="104"/>
        <v>-8.1743869209809264E-2</v>
      </c>
      <c r="L191" s="18">
        <f>IF(ISNUMBER(J191), $B199 * K191, "")</f>
        <v>-8174.3869209809263</v>
      </c>
      <c r="M191" s="31"/>
      <c r="N191" s="32" t="str">
        <f t="shared" si="105"/>
        <v/>
      </c>
      <c r="O191" s="18" t="str">
        <f>IF(ISNUMBER(M191), $B199 * N191, "")</f>
        <v/>
      </c>
      <c r="Q191" s="218"/>
      <c r="R191" s="218"/>
      <c r="S191" s="218"/>
    </row>
    <row r="192" spans="1:19" ht="17.25" thickBot="1">
      <c r="A192" s="162" t="s">
        <v>296</v>
      </c>
      <c r="B192" s="126">
        <v>421</v>
      </c>
      <c r="C192" s="77">
        <v>-2.5462963000000002E-2</v>
      </c>
      <c r="D192" s="15">
        <v>377</v>
      </c>
      <c r="E192" s="32">
        <f t="shared" si="102"/>
        <v>-0.10451306413301663</v>
      </c>
      <c r="F192" s="18">
        <f>IF(ISNUMBER(D192), $B199 * E192, "")</f>
        <v>-10451.306413301663</v>
      </c>
      <c r="G192" s="31">
        <v>380</v>
      </c>
      <c r="H192" s="32">
        <f t="shared" si="103"/>
        <v>-9.7387173396674589E-2</v>
      </c>
      <c r="I192" s="101">
        <f>IF(ISNUMBER(G192), $B199 * H192, "")</f>
        <v>-9738.7173396674589</v>
      </c>
      <c r="J192" s="15">
        <v>384</v>
      </c>
      <c r="K192" s="32">
        <f t="shared" si="104"/>
        <v>-8.7885985748218529E-2</v>
      </c>
      <c r="L192" s="18">
        <f>IF(ISNUMBER(J192), $B199 * K192, "")</f>
        <v>-8788.5985748218536</v>
      </c>
      <c r="M192" s="31"/>
      <c r="N192" s="32" t="str">
        <f t="shared" si="105"/>
        <v/>
      </c>
      <c r="O192" s="18" t="str">
        <f>IF(ISNUMBER(M192), $B199 * N192, "")</f>
        <v/>
      </c>
      <c r="Q192" s="213"/>
      <c r="R192" s="213"/>
      <c r="S192" s="213"/>
    </row>
    <row r="193" spans="1:19" ht="17.25" thickBot="1">
      <c r="A193" s="163" t="s">
        <v>166</v>
      </c>
      <c r="B193" s="128">
        <v>1315</v>
      </c>
      <c r="C193" s="78">
        <v>-2.5925925900000001E-2</v>
      </c>
      <c r="D193" s="20">
        <v>1130</v>
      </c>
      <c r="E193" s="21">
        <f t="shared" si="102"/>
        <v>-0.14068441064638784</v>
      </c>
      <c r="F193" s="22">
        <f>IF(ISNUMBER(D193), $B199 * E193, "")</f>
        <v>-14068.441064638784</v>
      </c>
      <c r="G193" s="30">
        <v>1115</v>
      </c>
      <c r="H193" s="21">
        <f t="shared" si="103"/>
        <v>-0.15209125475285171</v>
      </c>
      <c r="I193" s="105">
        <f>IF(ISNUMBER(G193), $B199 * H193, "")</f>
        <v>-15209.125475285171</v>
      </c>
      <c r="J193" s="20">
        <v>1145</v>
      </c>
      <c r="K193" s="21">
        <f t="shared" si="104"/>
        <v>-0.12927756653992395</v>
      </c>
      <c r="L193" s="22">
        <f>IF(ISNUMBER(J193), $B199 * K193, "")</f>
        <v>-12927.756653992396</v>
      </c>
      <c r="M193" s="30"/>
      <c r="N193" s="21" t="str">
        <f t="shared" si="105"/>
        <v/>
      </c>
      <c r="O193" s="22" t="str">
        <f>IF(ISNUMBER(M193), $B199 * N193, "")</f>
        <v/>
      </c>
      <c r="Q193" s="213"/>
      <c r="R193" s="213"/>
      <c r="S193" s="213"/>
    </row>
    <row r="194" spans="1:19" ht="17.25" thickBot="1">
      <c r="A194" s="162" t="s">
        <v>134</v>
      </c>
      <c r="B194" s="129">
        <v>99.7</v>
      </c>
      <c r="C194" s="80">
        <v>-3.2038835000000002E-2</v>
      </c>
      <c r="D194" s="106">
        <v>85.8</v>
      </c>
      <c r="E194" s="107">
        <f>IF(ISNUMBER(D194), (D194 - $B194) / $B194, "")</f>
        <v>-0.13941825476429293</v>
      </c>
      <c r="F194" s="108">
        <f>IF(ISNUMBER(D194), $B199 * E194, "")</f>
        <v>-13941.825476429292</v>
      </c>
      <c r="G194" s="109">
        <v>87</v>
      </c>
      <c r="H194" s="107">
        <f>IF(ISNUMBER(G194), (G194 - $B194) / $B194, "")</f>
        <v>-0.12738214643931797</v>
      </c>
      <c r="I194" s="110">
        <f>IF(ISNUMBER(G194), $B199 * H194, "")</f>
        <v>-12738.214643931797</v>
      </c>
      <c r="J194" s="106">
        <v>86.5</v>
      </c>
      <c r="K194" s="107">
        <f>IF(ISNUMBER(J194), (J194 - $B194) / $B194, "")</f>
        <v>-0.13239719157472421</v>
      </c>
      <c r="L194" s="108">
        <f>IF(ISNUMBER(J194), $B199 * K194, "")</f>
        <v>-13239.71915747242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8"/>
      <c r="R194" s="218"/>
      <c r="S194" s="218"/>
    </row>
    <row r="195" spans="1:19" ht="17.25" thickBot="1">
      <c r="A195" s="162" t="s">
        <v>140</v>
      </c>
      <c r="B195" s="126">
        <v>2685</v>
      </c>
      <c r="C195" s="77">
        <v>-4.9557522100000001E-2</v>
      </c>
      <c r="D195" s="15">
        <v>2345</v>
      </c>
      <c r="E195" s="32">
        <f t="shared" ref="E195:E198" si="106">IF(ISNUMBER(D195), (D195 - $B195) / $B195, "")</f>
        <v>-0.1266294227188082</v>
      </c>
      <c r="F195" s="18">
        <f>IF(ISNUMBER(D195), $B199 * E195, "")</f>
        <v>-12662.94227188082</v>
      </c>
      <c r="G195" s="31">
        <v>2300</v>
      </c>
      <c r="H195" s="32">
        <f t="shared" ref="H195:H198" si="107">IF(ISNUMBER(G195), (G195 - $B195) / $B195, "")</f>
        <v>-0.14338919925512103</v>
      </c>
      <c r="I195" s="101">
        <f>IF(ISNUMBER(G195), $B199 * H195, "")</f>
        <v>-14338.919925512104</v>
      </c>
      <c r="J195" s="15">
        <v>2355</v>
      </c>
      <c r="K195" s="32">
        <f t="shared" ref="K195:K198" si="108">IF(ISNUMBER(J195), (J195 - $B195) / $B195, "")</f>
        <v>-0.12290502793296089</v>
      </c>
      <c r="L195" s="18">
        <f>IF(ISNUMBER(J195), $B199 * K195, "")</f>
        <v>-12290.502793296089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8"/>
      <c r="R195" s="218"/>
      <c r="S195" s="218"/>
    </row>
    <row r="196" spans="1:19" ht="17.25" thickBot="1">
      <c r="A196" s="162" t="s">
        <v>164</v>
      </c>
      <c r="B196" s="126">
        <v>17850</v>
      </c>
      <c r="C196" s="77">
        <v>-5.8047493399999997E-2</v>
      </c>
      <c r="D196" s="15">
        <v>15820</v>
      </c>
      <c r="E196" s="32">
        <f t="shared" si="106"/>
        <v>-0.11372549019607843</v>
      </c>
      <c r="F196" s="18">
        <f>IF(ISNUMBER(D196), $B199 * E196, "")</f>
        <v>-11372.549019607843</v>
      </c>
      <c r="G196" s="31">
        <v>15790</v>
      </c>
      <c r="H196" s="32">
        <f t="shared" si="107"/>
        <v>-0.115406162464986</v>
      </c>
      <c r="I196" s="101">
        <f>IF(ISNUMBER(G196), $B199 * H196, "")</f>
        <v>-11540.616246498601</v>
      </c>
      <c r="J196" s="15">
        <v>16020</v>
      </c>
      <c r="K196" s="32">
        <f t="shared" si="108"/>
        <v>-0.10252100840336134</v>
      </c>
      <c r="L196" s="18">
        <f>IF(ISNUMBER(J196), $B199 * K196, "")</f>
        <v>-10252.100840336134</v>
      </c>
      <c r="M196" s="31"/>
      <c r="N196" s="32" t="str">
        <f t="shared" si="109"/>
        <v/>
      </c>
      <c r="O196" s="18" t="str">
        <f>IF(ISNUMBER(M196), $B199 * N196, "")</f>
        <v/>
      </c>
      <c r="Q196" s="218"/>
      <c r="R196" s="218"/>
      <c r="S196" s="218"/>
    </row>
    <row r="197" spans="1:19">
      <c r="A197" s="162" t="s">
        <v>186</v>
      </c>
      <c r="B197" s="126">
        <v>19.3</v>
      </c>
      <c r="C197" s="77">
        <v>-9.8130841100000005E-2</v>
      </c>
      <c r="D197" s="15">
        <v>16</v>
      </c>
      <c r="E197" s="32">
        <f t="shared" si="106"/>
        <v>-0.17098445595854925</v>
      </c>
      <c r="F197" s="18">
        <f>IF(ISNUMBER(D197), $B199 * E197, "")</f>
        <v>-17098.445595854926</v>
      </c>
      <c r="G197" s="31">
        <v>15.4</v>
      </c>
      <c r="H197" s="32">
        <f t="shared" si="107"/>
        <v>-0.20207253886010365</v>
      </c>
      <c r="I197" s="101">
        <f>IF(ISNUMBER(G197), $B199 * H197, "")</f>
        <v>-20207.253886010367</v>
      </c>
      <c r="J197" s="15">
        <v>15.5</v>
      </c>
      <c r="K197" s="32">
        <f t="shared" si="108"/>
        <v>-0.19689119170984459</v>
      </c>
      <c r="L197" s="18">
        <f>IF(ISNUMBER(J197), $B199 * K197, "")</f>
        <v>-19689.119170984461</v>
      </c>
      <c r="M197" s="31"/>
      <c r="N197" s="32" t="str">
        <f t="shared" si="109"/>
        <v/>
      </c>
      <c r="O197" s="18" t="str">
        <f>IF(ISNUMBER(M197), $B199 * N197, "")</f>
        <v/>
      </c>
      <c r="Q197" s="240"/>
      <c r="R197" s="241"/>
      <c r="S197" s="242"/>
    </row>
    <row r="198" spans="1:19" ht="17.25" thickBot="1">
      <c r="A198" s="130" t="s">
        <v>190</v>
      </c>
      <c r="B198" s="131">
        <v>65050</v>
      </c>
      <c r="C198" s="79">
        <v>-0.12778224730000001</v>
      </c>
      <c r="D198" s="24">
        <v>54000</v>
      </c>
      <c r="E198" s="25">
        <f t="shared" si="106"/>
        <v>-0.16986933128362797</v>
      </c>
      <c r="F198" s="104">
        <f>IF(ISNUMBER(D198), $B199 * E198, "")</f>
        <v>-16986.933128362798</v>
      </c>
      <c r="G198" s="102">
        <v>53540</v>
      </c>
      <c r="H198" s="25">
        <f t="shared" si="107"/>
        <v>-0.17694081475787857</v>
      </c>
      <c r="I198" s="103">
        <f>IF(ISNUMBER(G198), $B199 * H198, "")</f>
        <v>-17694.081475787858</v>
      </c>
      <c r="J198" s="24">
        <v>53030</v>
      </c>
      <c r="K198" s="25">
        <f t="shared" si="108"/>
        <v>-0.18478093774019985</v>
      </c>
      <c r="L198" s="104">
        <f>IF(ISNUMBER(J198), $B199 * K198, "")</f>
        <v>-18478.093774019984</v>
      </c>
      <c r="M198" s="102"/>
      <c r="N198" s="25" t="str">
        <f t="shared" si="109"/>
        <v/>
      </c>
      <c r="O198" s="104" t="str">
        <f>IF(ISNUMBER(M198), $B199 * N198, "")</f>
        <v/>
      </c>
      <c r="Q198" s="243"/>
      <c r="R198" s="244"/>
      <c r="S198" s="245"/>
    </row>
    <row r="199" spans="1:19" ht="17.25" thickBot="1">
      <c r="A199" s="132" t="s">
        <v>300</v>
      </c>
      <c r="B199" s="251">
        <f>$B$37</f>
        <v>100000</v>
      </c>
      <c r="C199" s="252"/>
      <c r="D199" s="26" t="s">
        <v>301</v>
      </c>
      <c r="E199" s="27">
        <f>IF(COUNT(E179:E198), SUM(E179:E198) / COUNT(E179:E198), 0)</f>
        <v>-0.12860151713834614</v>
      </c>
      <c r="F199" s="28">
        <f>SUM(F179:F198)</f>
        <v>-257203.03427669225</v>
      </c>
      <c r="G199" s="26" t="s">
        <v>301</v>
      </c>
      <c r="H199" s="27">
        <f>IF(COUNT(H179:H198), SUM(H179:H198) / COUNT(H179:H198), 0)</f>
        <v>-0.12799770086008874</v>
      </c>
      <c r="I199" s="28">
        <f>SUM(I179:I198)</f>
        <v>-255995.4017201775</v>
      </c>
      <c r="J199" s="26" t="s">
        <v>301</v>
      </c>
      <c r="K199" s="27">
        <f>IF(COUNT(K179:K198), SUM(K179:K198) / COUNT(K179:K198), 0)</f>
        <v>-0.12115334975628918</v>
      </c>
      <c r="L199" s="28">
        <f>SUM(L179:L198)</f>
        <v>-242306.6995125784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46"/>
      <c r="R199" s="247"/>
      <c r="S199" s="24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</vt:i4>
      </vt:variant>
    </vt:vector>
  </HeadingPairs>
  <TitlesOfParts>
    <vt:vector size="13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  <vt:lpstr>2021.06.06</vt:lpstr>
      <vt:lpstr>2021.06.07</vt:lpstr>
      <vt:lpstr>2021.06.08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2021-06-08T12:01:11Z</dcterms:modified>
</cp:coreProperties>
</file>