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data\2023\"/>
    </mc:Choice>
  </mc:AlternateContent>
  <xr:revisionPtr revIDLastSave="0" documentId="8_{DD9054BF-A2A0-45F2-A0C8-728365605A9F}" xr6:coauthVersionLast="47" xr6:coauthVersionMax="47" xr10:uidLastSave="{00000000-0000-0000-0000-000000000000}"/>
  <bookViews>
    <workbookView xWindow="28680" yWindow="-120" windowWidth="29040" windowHeight="15840" firstSheet="3" activeTab="1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3.01.01" sheetId="24" r:id="rId6"/>
    <sheet name="2023.01.02" sheetId="25" r:id="rId7"/>
    <sheet name="2023.01.03" sheetId="26" r:id="rId8"/>
    <sheet name="2023.01.04" sheetId="27" r:id="rId9"/>
    <sheet name="2023.01.05" sheetId="28" r:id="rId10"/>
    <sheet name="2023.01.06" sheetId="29" r:id="rId11"/>
    <sheet name="2023.01.07" sheetId="30" r:id="rId12"/>
    <sheet name="2023.01.08" sheetId="31" r:id="rId13"/>
  </sheets>
  <definedNames>
    <definedName name="_xlnm._FilterDatabase" localSheetId="5" hidden="1">'2023.01.01'!#REF!</definedName>
    <definedName name="_xlnm._FilterDatabase" localSheetId="6" hidden="1">'2023.01.02'!#REF!</definedName>
    <definedName name="_xlnm._FilterDatabase" localSheetId="7" hidden="1">'2023.01.03'!#REF!</definedName>
    <definedName name="_xlnm._FilterDatabase" localSheetId="8" hidden="1">'2023.01.04'!#REF!</definedName>
    <definedName name="_xlnm._FilterDatabase" localSheetId="9" hidden="1">'2023.01.05'!#REF!</definedName>
    <definedName name="_xlnm._FilterDatabase" localSheetId="10" hidden="1">'2023.01.06'!#REF!</definedName>
    <definedName name="_xlnm._FilterDatabase" localSheetId="11" hidden="1">'2023.01.07'!#REF!</definedName>
    <definedName name="_xlnm._FilterDatabase" localSheetId="12" hidden="1">'2023.01.08'!#REF!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99" i="31" l="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I171" i="31"/>
  <c r="H171" i="31"/>
  <c r="F171" i="31"/>
  <c r="E171" i="31"/>
  <c r="O170" i="31"/>
  <c r="N170" i="31"/>
  <c r="L170" i="31"/>
  <c r="K170" i="31"/>
  <c r="I170" i="31"/>
  <c r="H170" i="31"/>
  <c r="F170" i="31"/>
  <c r="E170" i="31"/>
  <c r="O169" i="31"/>
  <c r="N169" i="31"/>
  <c r="L169" i="31"/>
  <c r="K169" i="31"/>
  <c r="I169" i="31"/>
  <c r="H169" i="31"/>
  <c r="F169" i="31"/>
  <c r="E169" i="31"/>
  <c r="O168" i="31"/>
  <c r="N168" i="31"/>
  <c r="L168" i="31"/>
  <c r="K168" i="31"/>
  <c r="I168" i="31"/>
  <c r="H168" i="31"/>
  <c r="F168" i="31"/>
  <c r="E168" i="31"/>
  <c r="O167" i="31"/>
  <c r="N167" i="31"/>
  <c r="L167" i="31"/>
  <c r="K167" i="31"/>
  <c r="I167" i="31"/>
  <c r="H167" i="31"/>
  <c r="F167" i="31"/>
  <c r="E167" i="31"/>
  <c r="O166" i="31"/>
  <c r="N166" i="31"/>
  <c r="L166" i="31"/>
  <c r="K166" i="31"/>
  <c r="I166" i="31"/>
  <c r="H166" i="31"/>
  <c r="F166" i="31"/>
  <c r="E166" i="31"/>
  <c r="O165" i="31"/>
  <c r="N165" i="31"/>
  <c r="L165" i="31"/>
  <c r="K165" i="31"/>
  <c r="I165" i="31"/>
  <c r="H165" i="31"/>
  <c r="F165" i="31"/>
  <c r="E165" i="31"/>
  <c r="O164" i="31"/>
  <c r="N164" i="31"/>
  <c r="L164" i="31"/>
  <c r="K164" i="31"/>
  <c r="I164" i="31"/>
  <c r="H164" i="31"/>
  <c r="F164" i="31"/>
  <c r="E164" i="31"/>
  <c r="O163" i="31"/>
  <c r="N163" i="31"/>
  <c r="L163" i="31"/>
  <c r="K163" i="31"/>
  <c r="I163" i="31"/>
  <c r="H163" i="31"/>
  <c r="F163" i="31"/>
  <c r="E163" i="31"/>
  <c r="O162" i="31"/>
  <c r="N162" i="31"/>
  <c r="L162" i="31"/>
  <c r="K162" i="31"/>
  <c r="I162" i="31"/>
  <c r="H162" i="31"/>
  <c r="F162" i="31"/>
  <c r="E162" i="31"/>
  <c r="O161" i="31"/>
  <c r="N161" i="31"/>
  <c r="L161" i="31"/>
  <c r="K161" i="31"/>
  <c r="I161" i="31"/>
  <c r="H161" i="31"/>
  <c r="F161" i="31"/>
  <c r="E161" i="31"/>
  <c r="O160" i="31"/>
  <c r="N160" i="31"/>
  <c r="L160" i="31"/>
  <c r="K160" i="31"/>
  <c r="I160" i="31"/>
  <c r="H160" i="31"/>
  <c r="F160" i="31"/>
  <c r="E160" i="31"/>
  <c r="O159" i="31"/>
  <c r="N159" i="31"/>
  <c r="L159" i="31"/>
  <c r="K159" i="31"/>
  <c r="I159" i="31"/>
  <c r="H159" i="31"/>
  <c r="F159" i="31"/>
  <c r="E159" i="31"/>
  <c r="O158" i="31"/>
  <c r="N158" i="31"/>
  <c r="L158" i="31"/>
  <c r="K158" i="31"/>
  <c r="I158" i="31"/>
  <c r="H158" i="31"/>
  <c r="F158" i="31"/>
  <c r="E158" i="31"/>
  <c r="O157" i="31"/>
  <c r="N157" i="31"/>
  <c r="L157" i="31"/>
  <c r="K157" i="31"/>
  <c r="I157" i="31"/>
  <c r="H157" i="31"/>
  <c r="F157" i="31"/>
  <c r="E157" i="31"/>
  <c r="O156" i="31"/>
  <c r="N156" i="31"/>
  <c r="L156" i="31"/>
  <c r="K156" i="31"/>
  <c r="I156" i="31"/>
  <c r="H156" i="31"/>
  <c r="F156" i="31"/>
  <c r="E156" i="31"/>
  <c r="O155" i="31"/>
  <c r="N155" i="31"/>
  <c r="L155" i="31"/>
  <c r="K155" i="31"/>
  <c r="I155" i="31"/>
  <c r="H155" i="31"/>
  <c r="F155" i="31"/>
  <c r="E155" i="31"/>
  <c r="O154" i="31"/>
  <c r="N154" i="31"/>
  <c r="L154" i="31"/>
  <c r="K154" i="31"/>
  <c r="I154" i="31"/>
  <c r="H154" i="31"/>
  <c r="F154" i="31"/>
  <c r="E154" i="31"/>
  <c r="O153" i="31"/>
  <c r="N153" i="31"/>
  <c r="L153" i="31"/>
  <c r="K153" i="31"/>
  <c r="I153" i="31"/>
  <c r="H153" i="31"/>
  <c r="F153" i="31"/>
  <c r="E153" i="31"/>
  <c r="O152" i="31"/>
  <c r="O172" i="31" s="1"/>
  <c r="N152" i="31"/>
  <c r="N172" i="31" s="1"/>
  <c r="L152" i="31"/>
  <c r="L172" i="31" s="1"/>
  <c r="K152" i="31"/>
  <c r="K172" i="31" s="1"/>
  <c r="I152" i="31"/>
  <c r="I172" i="31" s="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K145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I139" i="31"/>
  <c r="H139" i="31"/>
  <c r="F139" i="31"/>
  <c r="E139" i="31"/>
  <c r="O138" i="31"/>
  <c r="N138" i="31"/>
  <c r="L138" i="31"/>
  <c r="K138" i="31"/>
  <c r="I138" i="31"/>
  <c r="H138" i="31"/>
  <c r="F138" i="31"/>
  <c r="E138" i="31"/>
  <c r="O137" i="31"/>
  <c r="N137" i="31"/>
  <c r="L137" i="31"/>
  <c r="K137" i="31"/>
  <c r="I137" i="31"/>
  <c r="H137" i="31"/>
  <c r="F137" i="31"/>
  <c r="E137" i="31"/>
  <c r="O136" i="31"/>
  <c r="N136" i="31"/>
  <c r="L136" i="31"/>
  <c r="K136" i="31"/>
  <c r="I136" i="31"/>
  <c r="H136" i="31"/>
  <c r="F136" i="31"/>
  <c r="E136" i="31"/>
  <c r="O135" i="31"/>
  <c r="N135" i="31"/>
  <c r="L135" i="31"/>
  <c r="K135" i="31"/>
  <c r="I135" i="31"/>
  <c r="H135" i="31"/>
  <c r="F135" i="31"/>
  <c r="E135" i="31"/>
  <c r="O134" i="31"/>
  <c r="N134" i="31"/>
  <c r="L134" i="31"/>
  <c r="K134" i="31"/>
  <c r="I134" i="31"/>
  <c r="H134" i="31"/>
  <c r="F134" i="31"/>
  <c r="E134" i="31"/>
  <c r="O133" i="31"/>
  <c r="N133" i="31"/>
  <c r="L133" i="31"/>
  <c r="K133" i="31"/>
  <c r="I133" i="31"/>
  <c r="H133" i="31"/>
  <c r="F133" i="31"/>
  <c r="E133" i="31"/>
  <c r="O132" i="31"/>
  <c r="N132" i="31"/>
  <c r="L132" i="31"/>
  <c r="K132" i="31"/>
  <c r="I132" i="31"/>
  <c r="H132" i="31"/>
  <c r="F132" i="31"/>
  <c r="E132" i="31"/>
  <c r="O131" i="31"/>
  <c r="N131" i="31"/>
  <c r="L131" i="31"/>
  <c r="K131" i="31"/>
  <c r="I131" i="31"/>
  <c r="H131" i="31"/>
  <c r="F131" i="31"/>
  <c r="E131" i="31"/>
  <c r="O130" i="31"/>
  <c r="N130" i="31"/>
  <c r="L130" i="31"/>
  <c r="K130" i="31"/>
  <c r="I130" i="31"/>
  <c r="H130" i="31"/>
  <c r="F130" i="31"/>
  <c r="E130" i="31"/>
  <c r="O129" i="31"/>
  <c r="N129" i="31"/>
  <c r="L129" i="31"/>
  <c r="K129" i="31"/>
  <c r="I129" i="31"/>
  <c r="H129" i="31"/>
  <c r="F129" i="31"/>
  <c r="E129" i="31"/>
  <c r="O128" i="31"/>
  <c r="N128" i="31"/>
  <c r="L128" i="31"/>
  <c r="K128" i="31"/>
  <c r="I128" i="31"/>
  <c r="H128" i="31"/>
  <c r="F128" i="31"/>
  <c r="E128" i="31"/>
  <c r="O127" i="31"/>
  <c r="N127" i="31"/>
  <c r="L127" i="31"/>
  <c r="K127" i="31"/>
  <c r="I127" i="31"/>
  <c r="H127" i="31"/>
  <c r="F127" i="31"/>
  <c r="E127" i="31"/>
  <c r="O126" i="31"/>
  <c r="N126" i="31"/>
  <c r="L126" i="31"/>
  <c r="K126" i="31"/>
  <c r="I126" i="31"/>
  <c r="H126" i="31"/>
  <c r="F126" i="31"/>
  <c r="E126" i="31"/>
  <c r="O125" i="31"/>
  <c r="O145" i="31" s="1"/>
  <c r="N125" i="31"/>
  <c r="N145" i="31" s="1"/>
  <c r="L125" i="31"/>
  <c r="L145" i="31" s="1"/>
  <c r="K125" i="3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I117" i="31"/>
  <c r="H117" i="31"/>
  <c r="F117" i="31"/>
  <c r="E117" i="31"/>
  <c r="O116" i="31"/>
  <c r="N116" i="31"/>
  <c r="L116" i="31"/>
  <c r="K116" i="31"/>
  <c r="I116" i="31"/>
  <c r="H116" i="31"/>
  <c r="F116" i="31"/>
  <c r="E116" i="31"/>
  <c r="O115" i="31"/>
  <c r="N115" i="31"/>
  <c r="L115" i="31"/>
  <c r="K115" i="31"/>
  <c r="I115" i="31"/>
  <c r="H115" i="31"/>
  <c r="F115" i="31"/>
  <c r="E115" i="31"/>
  <c r="O114" i="31"/>
  <c r="N114" i="31"/>
  <c r="L114" i="31"/>
  <c r="K114" i="31"/>
  <c r="I114" i="31"/>
  <c r="H114" i="31"/>
  <c r="F114" i="31"/>
  <c r="E114" i="31"/>
  <c r="O113" i="31"/>
  <c r="N113" i="31"/>
  <c r="L113" i="31"/>
  <c r="K113" i="31"/>
  <c r="I113" i="31"/>
  <c r="H113" i="31"/>
  <c r="F113" i="31"/>
  <c r="E113" i="31"/>
  <c r="O112" i="31"/>
  <c r="N112" i="31"/>
  <c r="L112" i="31"/>
  <c r="K112" i="31"/>
  <c r="I112" i="31"/>
  <c r="H112" i="31"/>
  <c r="F112" i="31"/>
  <c r="E112" i="31"/>
  <c r="O111" i="31"/>
  <c r="N111" i="31"/>
  <c r="L111" i="31"/>
  <c r="K111" i="31"/>
  <c r="I111" i="31"/>
  <c r="H111" i="31"/>
  <c r="F111" i="31"/>
  <c r="E111" i="31"/>
  <c r="O110" i="31"/>
  <c r="N110" i="31"/>
  <c r="L110" i="31"/>
  <c r="K110" i="31"/>
  <c r="I110" i="31"/>
  <c r="H110" i="31"/>
  <c r="F110" i="31"/>
  <c r="E110" i="31"/>
  <c r="O109" i="31"/>
  <c r="N109" i="31"/>
  <c r="L109" i="31"/>
  <c r="K109" i="31"/>
  <c r="I109" i="31"/>
  <c r="H109" i="31"/>
  <c r="F109" i="31"/>
  <c r="E109" i="31"/>
  <c r="O108" i="31"/>
  <c r="N108" i="31"/>
  <c r="L108" i="31"/>
  <c r="K108" i="31"/>
  <c r="I108" i="31"/>
  <c r="H108" i="31"/>
  <c r="F108" i="31"/>
  <c r="E108" i="31"/>
  <c r="O107" i="31"/>
  <c r="N107" i="31"/>
  <c r="L107" i="31"/>
  <c r="K107" i="31"/>
  <c r="I107" i="31"/>
  <c r="H107" i="31"/>
  <c r="F107" i="31"/>
  <c r="E107" i="31"/>
  <c r="O106" i="31"/>
  <c r="N106" i="31"/>
  <c r="L106" i="31"/>
  <c r="K106" i="31"/>
  <c r="I106" i="31"/>
  <c r="H106" i="31"/>
  <c r="F106" i="31"/>
  <c r="E106" i="31"/>
  <c r="O105" i="31"/>
  <c r="N105" i="31"/>
  <c r="L105" i="31"/>
  <c r="K105" i="31"/>
  <c r="I105" i="31"/>
  <c r="H105" i="31"/>
  <c r="F105" i="31"/>
  <c r="E105" i="31"/>
  <c r="O104" i="31"/>
  <c r="N104" i="31"/>
  <c r="L104" i="31"/>
  <c r="K104" i="31"/>
  <c r="I104" i="31"/>
  <c r="H104" i="31"/>
  <c r="F104" i="31"/>
  <c r="E104" i="31"/>
  <c r="O103" i="31"/>
  <c r="N103" i="31"/>
  <c r="L103" i="31"/>
  <c r="K103" i="31"/>
  <c r="I103" i="31"/>
  <c r="H103" i="31"/>
  <c r="F103" i="31"/>
  <c r="E103" i="31"/>
  <c r="O102" i="31"/>
  <c r="N102" i="31"/>
  <c r="L102" i="31"/>
  <c r="K102" i="31"/>
  <c r="I102" i="31"/>
  <c r="H102" i="31"/>
  <c r="F102" i="31"/>
  <c r="E102" i="31"/>
  <c r="O101" i="31"/>
  <c r="N101" i="31"/>
  <c r="L101" i="31"/>
  <c r="K101" i="31"/>
  <c r="I101" i="31"/>
  <c r="H101" i="31"/>
  <c r="F101" i="31"/>
  <c r="E101" i="31"/>
  <c r="O100" i="31"/>
  <c r="N100" i="31"/>
  <c r="L100" i="31"/>
  <c r="K100" i="31"/>
  <c r="I100" i="31"/>
  <c r="H100" i="31"/>
  <c r="F100" i="31"/>
  <c r="E100" i="31"/>
  <c r="O99" i="31"/>
  <c r="N99" i="31"/>
  <c r="L99" i="31"/>
  <c r="K99" i="31"/>
  <c r="I99" i="31"/>
  <c r="H99" i="31"/>
  <c r="F99" i="31"/>
  <c r="E99" i="31"/>
  <c r="O98" i="31"/>
  <c r="O118" i="31" s="1"/>
  <c r="N98" i="31"/>
  <c r="N118" i="31" s="1"/>
  <c r="L98" i="31"/>
  <c r="L118" i="31" s="1"/>
  <c r="K98" i="31"/>
  <c r="K118" i="31" s="1"/>
  <c r="I98" i="31"/>
  <c r="I118" i="31" s="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E91" i="31"/>
  <c r="B91" i="31"/>
  <c r="O90" i="31"/>
  <c r="N90" i="31"/>
  <c r="L90" i="31"/>
  <c r="K90" i="31"/>
  <c r="I90" i="31"/>
  <c r="H90" i="31"/>
  <c r="F90" i="31"/>
  <c r="E90" i="31"/>
  <c r="O89" i="31"/>
  <c r="N89" i="31"/>
  <c r="L89" i="31"/>
  <c r="K89" i="31"/>
  <c r="I89" i="31"/>
  <c r="H89" i="31"/>
  <c r="F89" i="31"/>
  <c r="E89" i="31"/>
  <c r="O88" i="31"/>
  <c r="N88" i="31"/>
  <c r="L88" i="31"/>
  <c r="K88" i="31"/>
  <c r="I88" i="31"/>
  <c r="H88" i="31"/>
  <c r="F88" i="31"/>
  <c r="E88" i="31"/>
  <c r="O87" i="31"/>
  <c r="N87" i="31"/>
  <c r="L87" i="31"/>
  <c r="K87" i="31"/>
  <c r="I87" i="31"/>
  <c r="H87" i="31"/>
  <c r="F87" i="31"/>
  <c r="E87" i="31"/>
  <c r="O86" i="31"/>
  <c r="N86" i="31"/>
  <c r="L86" i="31"/>
  <c r="K86" i="31"/>
  <c r="I86" i="31"/>
  <c r="H86" i="31"/>
  <c r="F86" i="31"/>
  <c r="E86" i="31"/>
  <c r="O85" i="31"/>
  <c r="N85" i="31"/>
  <c r="L85" i="31"/>
  <c r="K85" i="31"/>
  <c r="I85" i="31"/>
  <c r="H85" i="31"/>
  <c r="F85" i="31"/>
  <c r="E85" i="31"/>
  <c r="O84" i="31"/>
  <c r="N84" i="31"/>
  <c r="L84" i="31"/>
  <c r="K84" i="31"/>
  <c r="I84" i="31"/>
  <c r="H84" i="31"/>
  <c r="F84" i="31"/>
  <c r="E84" i="31"/>
  <c r="O83" i="31"/>
  <c r="N83" i="31"/>
  <c r="L83" i="31"/>
  <c r="K83" i="31"/>
  <c r="I83" i="31"/>
  <c r="H83" i="31"/>
  <c r="F83" i="31"/>
  <c r="E83" i="31"/>
  <c r="O82" i="31"/>
  <c r="N82" i="31"/>
  <c r="L82" i="31"/>
  <c r="K82" i="31"/>
  <c r="I82" i="31"/>
  <c r="H82" i="31"/>
  <c r="F82" i="31"/>
  <c r="E82" i="31"/>
  <c r="O81" i="31"/>
  <c r="N81" i="31"/>
  <c r="L81" i="31"/>
  <c r="K81" i="31"/>
  <c r="I81" i="31"/>
  <c r="H81" i="31"/>
  <c r="F81" i="31"/>
  <c r="E81" i="31"/>
  <c r="O80" i="31"/>
  <c r="N80" i="31"/>
  <c r="L80" i="31"/>
  <c r="K80" i="31"/>
  <c r="I80" i="31"/>
  <c r="H80" i="31"/>
  <c r="F80" i="31"/>
  <c r="E80" i="31"/>
  <c r="O79" i="31"/>
  <c r="N79" i="31"/>
  <c r="L79" i="31"/>
  <c r="K79" i="31"/>
  <c r="I79" i="31"/>
  <c r="H79" i="31"/>
  <c r="F79" i="31"/>
  <c r="E79" i="31"/>
  <c r="O78" i="31"/>
  <c r="N78" i="31"/>
  <c r="L78" i="31"/>
  <c r="K78" i="31"/>
  <c r="I78" i="31"/>
  <c r="H78" i="31"/>
  <c r="F78" i="31"/>
  <c r="E78" i="31"/>
  <c r="O77" i="31"/>
  <c r="N77" i="31"/>
  <c r="L77" i="31"/>
  <c r="K77" i="31"/>
  <c r="I77" i="31"/>
  <c r="H77" i="31"/>
  <c r="F77" i="31"/>
  <c r="E77" i="31"/>
  <c r="O76" i="31"/>
  <c r="N76" i="31"/>
  <c r="L76" i="31"/>
  <c r="K76" i="31"/>
  <c r="I76" i="31"/>
  <c r="H76" i="31"/>
  <c r="F76" i="31"/>
  <c r="E76" i="31"/>
  <c r="O75" i="31"/>
  <c r="N75" i="31"/>
  <c r="L75" i="31"/>
  <c r="K75" i="31"/>
  <c r="I75" i="31"/>
  <c r="H75" i="31"/>
  <c r="F75" i="31"/>
  <c r="E75" i="31"/>
  <c r="O74" i="31"/>
  <c r="N74" i="31"/>
  <c r="L74" i="31"/>
  <c r="K74" i="31"/>
  <c r="I74" i="31"/>
  <c r="H74" i="31"/>
  <c r="F74" i="31"/>
  <c r="E74" i="31"/>
  <c r="O73" i="31"/>
  <c r="N73" i="31"/>
  <c r="L73" i="31"/>
  <c r="K73" i="31"/>
  <c r="I73" i="31"/>
  <c r="H73" i="31"/>
  <c r="F73" i="31"/>
  <c r="E73" i="31"/>
  <c r="O72" i="31"/>
  <c r="N72" i="31"/>
  <c r="L72" i="31"/>
  <c r="K72" i="31"/>
  <c r="I72" i="31"/>
  <c r="H72" i="31"/>
  <c r="F72" i="31"/>
  <c r="E72" i="31"/>
  <c r="O71" i="31"/>
  <c r="O91" i="31" s="1"/>
  <c r="N71" i="31"/>
  <c r="N91" i="31" s="1"/>
  <c r="L71" i="31"/>
  <c r="L91" i="31" s="1"/>
  <c r="K71" i="31"/>
  <c r="K91" i="31" s="1"/>
  <c r="I71" i="31"/>
  <c r="I91" i="31" s="1"/>
  <c r="H71" i="31"/>
  <c r="H91" i="31" s="1"/>
  <c r="F71" i="31"/>
  <c r="F91" i="31" s="1"/>
  <c r="E71" i="3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O59" i="31"/>
  <c r="N59" i="31"/>
  <c r="L59" i="31"/>
  <c r="K59" i="31"/>
  <c r="I59" i="31"/>
  <c r="H59" i="31"/>
  <c r="F59" i="31"/>
  <c r="E59" i="31"/>
  <c r="O58" i="31"/>
  <c r="N58" i="31"/>
  <c r="L58" i="31"/>
  <c r="K58" i="31"/>
  <c r="I58" i="31"/>
  <c r="H58" i="31"/>
  <c r="F58" i="31"/>
  <c r="E58" i="31"/>
  <c r="O57" i="31"/>
  <c r="N57" i="31"/>
  <c r="L57" i="31"/>
  <c r="K57" i="31"/>
  <c r="I57" i="31"/>
  <c r="H57" i="31"/>
  <c r="F57" i="31"/>
  <c r="E57" i="31"/>
  <c r="O56" i="31"/>
  <c r="N56" i="31"/>
  <c r="L56" i="31"/>
  <c r="K56" i="31"/>
  <c r="I56" i="31"/>
  <c r="H56" i="31"/>
  <c r="F56" i="31"/>
  <c r="E56" i="31"/>
  <c r="O55" i="31"/>
  <c r="N55" i="31"/>
  <c r="L55" i="31"/>
  <c r="K55" i="31"/>
  <c r="I55" i="31"/>
  <c r="H55" i="31"/>
  <c r="F55" i="31"/>
  <c r="E55" i="31"/>
  <c r="O54" i="31"/>
  <c r="N54" i="31"/>
  <c r="L54" i="31"/>
  <c r="K54" i="31"/>
  <c r="I54" i="31"/>
  <c r="H54" i="31"/>
  <c r="F54" i="31"/>
  <c r="E54" i="31"/>
  <c r="O53" i="31"/>
  <c r="N53" i="31"/>
  <c r="L53" i="31"/>
  <c r="K53" i="31"/>
  <c r="I53" i="31"/>
  <c r="H53" i="31"/>
  <c r="F53" i="31"/>
  <c r="E53" i="31"/>
  <c r="O52" i="31"/>
  <c r="N52" i="31"/>
  <c r="L52" i="31"/>
  <c r="K52" i="31"/>
  <c r="I52" i="31"/>
  <c r="H52" i="31"/>
  <c r="F52" i="31"/>
  <c r="E52" i="31"/>
  <c r="O51" i="31"/>
  <c r="N51" i="31"/>
  <c r="L51" i="31"/>
  <c r="K51" i="31"/>
  <c r="I51" i="31"/>
  <c r="H51" i="31"/>
  <c r="F51" i="31"/>
  <c r="E51" i="31"/>
  <c r="O50" i="31"/>
  <c r="N50" i="31"/>
  <c r="L50" i="31"/>
  <c r="K50" i="31"/>
  <c r="I50" i="31"/>
  <c r="H50" i="31"/>
  <c r="F50" i="31"/>
  <c r="E50" i="31"/>
  <c r="O49" i="31"/>
  <c r="N49" i="31"/>
  <c r="L49" i="31"/>
  <c r="K49" i="31"/>
  <c r="I49" i="31"/>
  <c r="H49" i="31"/>
  <c r="F49" i="31"/>
  <c r="E49" i="31"/>
  <c r="O48" i="31"/>
  <c r="N48" i="31"/>
  <c r="L48" i="31"/>
  <c r="K48" i="31"/>
  <c r="I48" i="31"/>
  <c r="H48" i="31"/>
  <c r="F48" i="31"/>
  <c r="E48" i="31"/>
  <c r="O47" i="31"/>
  <c r="N47" i="31"/>
  <c r="L47" i="31"/>
  <c r="K47" i="31"/>
  <c r="I47" i="31"/>
  <c r="H47" i="31"/>
  <c r="F47" i="31"/>
  <c r="E47" i="31"/>
  <c r="O46" i="31"/>
  <c r="N46" i="31"/>
  <c r="L46" i="31"/>
  <c r="K46" i="31"/>
  <c r="I46" i="31"/>
  <c r="H46" i="31"/>
  <c r="F46" i="31"/>
  <c r="E46" i="31"/>
  <c r="O45" i="31"/>
  <c r="N45" i="31"/>
  <c r="L45" i="31"/>
  <c r="K45" i="31"/>
  <c r="I45" i="31"/>
  <c r="H45" i="31"/>
  <c r="F45" i="31"/>
  <c r="E45" i="31"/>
  <c r="O44" i="31"/>
  <c r="O64" i="31" s="1"/>
  <c r="N44" i="31"/>
  <c r="N64" i="31" s="1"/>
  <c r="L44" i="31"/>
  <c r="L64" i="31" s="1"/>
  <c r="K44" i="31"/>
  <c r="K64" i="31" s="1"/>
  <c r="I44" i="31"/>
  <c r="I64" i="31" s="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I198" i="30"/>
  <c r="H198" i="30"/>
  <c r="E198" i="30"/>
  <c r="F198" i="30" s="1"/>
  <c r="O197" i="30"/>
  <c r="N197" i="30"/>
  <c r="K197" i="30"/>
  <c r="L197" i="30" s="1"/>
  <c r="H197" i="30"/>
  <c r="I197" i="30" s="1"/>
  <c r="E197" i="30"/>
  <c r="F197" i="30" s="1"/>
  <c r="O196" i="30"/>
  <c r="N196" i="30"/>
  <c r="L196" i="30"/>
  <c r="K196" i="30"/>
  <c r="I196" i="30"/>
  <c r="H196" i="30"/>
  <c r="E196" i="30"/>
  <c r="F196" i="30" s="1"/>
  <c r="O195" i="30"/>
  <c r="N195" i="30"/>
  <c r="L195" i="30"/>
  <c r="K195" i="30"/>
  <c r="H195" i="30"/>
  <c r="I195" i="30" s="1"/>
  <c r="E195" i="30"/>
  <c r="F195" i="30" s="1"/>
  <c r="O194" i="30"/>
  <c r="N194" i="30"/>
  <c r="K194" i="30"/>
  <c r="L194" i="30" s="1"/>
  <c r="I194" i="30"/>
  <c r="H194" i="30"/>
  <c r="E194" i="30"/>
  <c r="F194" i="30" s="1"/>
  <c r="O193" i="30"/>
  <c r="N193" i="30"/>
  <c r="K193" i="30"/>
  <c r="L193" i="30" s="1"/>
  <c r="H193" i="30"/>
  <c r="I193" i="30" s="1"/>
  <c r="E193" i="30"/>
  <c r="F193" i="30" s="1"/>
  <c r="O192" i="30"/>
  <c r="N192" i="30"/>
  <c r="K192" i="30"/>
  <c r="L192" i="30" s="1"/>
  <c r="I192" i="30"/>
  <c r="H192" i="30"/>
  <c r="E192" i="30"/>
  <c r="F192" i="30" s="1"/>
  <c r="O191" i="30"/>
  <c r="N191" i="30"/>
  <c r="K191" i="30"/>
  <c r="L191" i="30" s="1"/>
  <c r="H191" i="30"/>
  <c r="I191" i="30" s="1"/>
  <c r="E191" i="30"/>
  <c r="F191" i="30" s="1"/>
  <c r="O190" i="30"/>
  <c r="N190" i="30"/>
  <c r="L190" i="30"/>
  <c r="K190" i="30"/>
  <c r="I190" i="30"/>
  <c r="H190" i="30"/>
  <c r="E190" i="30"/>
  <c r="F190" i="30" s="1"/>
  <c r="O189" i="30"/>
  <c r="N189" i="30"/>
  <c r="K189" i="30"/>
  <c r="L189" i="30" s="1"/>
  <c r="H189" i="30"/>
  <c r="I189" i="30" s="1"/>
  <c r="E189" i="30"/>
  <c r="F189" i="30" s="1"/>
  <c r="O188" i="30"/>
  <c r="N188" i="30"/>
  <c r="K188" i="30"/>
  <c r="L188" i="30" s="1"/>
  <c r="I188" i="30"/>
  <c r="H188" i="30"/>
  <c r="E188" i="30"/>
  <c r="F188" i="30" s="1"/>
  <c r="O187" i="30"/>
  <c r="N187" i="30"/>
  <c r="L187" i="30"/>
  <c r="K187" i="30"/>
  <c r="H187" i="30"/>
  <c r="I187" i="30" s="1"/>
  <c r="E187" i="30"/>
  <c r="F187" i="30" s="1"/>
  <c r="O186" i="30"/>
  <c r="N186" i="30"/>
  <c r="K186" i="30"/>
  <c r="L186" i="30" s="1"/>
  <c r="I186" i="30"/>
  <c r="H186" i="30"/>
  <c r="E186" i="30"/>
  <c r="F186" i="30" s="1"/>
  <c r="O185" i="30"/>
  <c r="N185" i="30"/>
  <c r="K185" i="30"/>
  <c r="L185" i="30" s="1"/>
  <c r="H185" i="30"/>
  <c r="I185" i="30" s="1"/>
  <c r="E185" i="30"/>
  <c r="F185" i="30" s="1"/>
  <c r="O184" i="30"/>
  <c r="N184" i="30"/>
  <c r="K184" i="30"/>
  <c r="L184" i="30" s="1"/>
  <c r="I184" i="30"/>
  <c r="H184" i="30"/>
  <c r="E184" i="30"/>
  <c r="F184" i="30" s="1"/>
  <c r="O183" i="30"/>
  <c r="N183" i="30"/>
  <c r="K183" i="30"/>
  <c r="L183" i="30" s="1"/>
  <c r="H183" i="30"/>
  <c r="I183" i="30" s="1"/>
  <c r="E183" i="30"/>
  <c r="F183" i="30" s="1"/>
  <c r="O182" i="30"/>
  <c r="N182" i="30"/>
  <c r="L182" i="30"/>
  <c r="K182" i="30"/>
  <c r="I182" i="30"/>
  <c r="H182" i="30"/>
  <c r="E182" i="30"/>
  <c r="F182" i="30" s="1"/>
  <c r="O181" i="30"/>
  <c r="N181" i="30"/>
  <c r="K181" i="30"/>
  <c r="L181" i="30" s="1"/>
  <c r="H181" i="30"/>
  <c r="I181" i="30" s="1"/>
  <c r="E181" i="30"/>
  <c r="F181" i="30" s="1"/>
  <c r="O180" i="30"/>
  <c r="N180" i="30"/>
  <c r="L180" i="30"/>
  <c r="K180" i="30"/>
  <c r="I180" i="30"/>
  <c r="H180" i="30"/>
  <c r="E180" i="30"/>
  <c r="F180" i="30" s="1"/>
  <c r="O179" i="30"/>
  <c r="O199" i="30" s="1"/>
  <c r="N179" i="30"/>
  <c r="N199" i="30" s="1"/>
  <c r="L179" i="30"/>
  <c r="K179" i="30"/>
  <c r="H179" i="30"/>
  <c r="H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K171" i="30"/>
  <c r="L171" i="30" s="1"/>
  <c r="H171" i="30"/>
  <c r="I171" i="30" s="1"/>
  <c r="E171" i="30"/>
  <c r="F171" i="30" s="1"/>
  <c r="O170" i="30"/>
  <c r="N170" i="30"/>
  <c r="L170" i="30"/>
  <c r="K170" i="30"/>
  <c r="H170" i="30"/>
  <c r="I170" i="30" s="1"/>
  <c r="E170" i="30"/>
  <c r="F170" i="30" s="1"/>
  <c r="O169" i="30"/>
  <c r="N169" i="30"/>
  <c r="K169" i="30"/>
  <c r="L169" i="30" s="1"/>
  <c r="I169" i="30"/>
  <c r="H169" i="30"/>
  <c r="E169" i="30"/>
  <c r="F169" i="30" s="1"/>
  <c r="O168" i="30"/>
  <c r="N168" i="30"/>
  <c r="K168" i="30"/>
  <c r="L168" i="30" s="1"/>
  <c r="H168" i="30"/>
  <c r="I168" i="30" s="1"/>
  <c r="E168" i="30"/>
  <c r="F168" i="30" s="1"/>
  <c r="O167" i="30"/>
  <c r="N167" i="30"/>
  <c r="K167" i="30"/>
  <c r="L167" i="30" s="1"/>
  <c r="H167" i="30"/>
  <c r="I167" i="30" s="1"/>
  <c r="E167" i="30"/>
  <c r="F167" i="30" s="1"/>
  <c r="O166" i="30"/>
  <c r="N166" i="30"/>
  <c r="K166" i="30"/>
  <c r="L166" i="30" s="1"/>
  <c r="H166" i="30"/>
  <c r="I166" i="30" s="1"/>
  <c r="E166" i="30"/>
  <c r="F166" i="30" s="1"/>
  <c r="O165" i="30"/>
  <c r="N165" i="30"/>
  <c r="K165" i="30"/>
  <c r="L165" i="30" s="1"/>
  <c r="I165" i="30"/>
  <c r="H165" i="30"/>
  <c r="E165" i="30"/>
  <c r="F165" i="30" s="1"/>
  <c r="O164" i="30"/>
  <c r="N164" i="30"/>
  <c r="K164" i="30"/>
  <c r="L164" i="30" s="1"/>
  <c r="H164" i="30"/>
  <c r="I164" i="30" s="1"/>
  <c r="E164" i="30"/>
  <c r="F164" i="30" s="1"/>
  <c r="O163" i="30"/>
  <c r="N163" i="30"/>
  <c r="L163" i="30"/>
  <c r="K163" i="30"/>
  <c r="H163" i="30"/>
  <c r="I163" i="30" s="1"/>
  <c r="E163" i="30"/>
  <c r="F163" i="30" s="1"/>
  <c r="O162" i="30"/>
  <c r="N162" i="30"/>
  <c r="K162" i="30"/>
  <c r="L162" i="30" s="1"/>
  <c r="H162" i="30"/>
  <c r="I162" i="30" s="1"/>
  <c r="E162" i="30"/>
  <c r="F162" i="30" s="1"/>
  <c r="O161" i="30"/>
  <c r="N161" i="30"/>
  <c r="L161" i="30"/>
  <c r="K161" i="30"/>
  <c r="I161" i="30"/>
  <c r="H161" i="30"/>
  <c r="E161" i="30"/>
  <c r="F161" i="30" s="1"/>
  <c r="O160" i="30"/>
  <c r="N160" i="30"/>
  <c r="K160" i="30"/>
  <c r="L160" i="30" s="1"/>
  <c r="H160" i="30"/>
  <c r="I160" i="30" s="1"/>
  <c r="E160" i="30"/>
  <c r="F160" i="30" s="1"/>
  <c r="O159" i="30"/>
  <c r="N159" i="30"/>
  <c r="K159" i="30"/>
  <c r="L159" i="30" s="1"/>
  <c r="H159" i="30"/>
  <c r="I159" i="30" s="1"/>
  <c r="E159" i="30"/>
  <c r="F159" i="30" s="1"/>
  <c r="O158" i="30"/>
  <c r="N158" i="30"/>
  <c r="K158" i="30"/>
  <c r="L158" i="30" s="1"/>
  <c r="H158" i="30"/>
  <c r="I158" i="30" s="1"/>
  <c r="E158" i="30"/>
  <c r="F158" i="30" s="1"/>
  <c r="O157" i="30"/>
  <c r="N157" i="30"/>
  <c r="K157" i="30"/>
  <c r="L157" i="30" s="1"/>
  <c r="I157" i="30"/>
  <c r="H157" i="30"/>
  <c r="E157" i="30"/>
  <c r="F157" i="30" s="1"/>
  <c r="O156" i="30"/>
  <c r="N156" i="30"/>
  <c r="L156" i="30"/>
  <c r="K156" i="30"/>
  <c r="H156" i="30"/>
  <c r="I156" i="30" s="1"/>
  <c r="E156" i="30"/>
  <c r="F156" i="30" s="1"/>
  <c r="O155" i="30"/>
  <c r="N155" i="30"/>
  <c r="K155" i="30"/>
  <c r="L155" i="30" s="1"/>
  <c r="H155" i="30"/>
  <c r="I155" i="30" s="1"/>
  <c r="E155" i="30"/>
  <c r="F155" i="30" s="1"/>
  <c r="O154" i="30"/>
  <c r="N154" i="30"/>
  <c r="L154" i="30"/>
  <c r="K154" i="30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O172" i="30" s="1"/>
  <c r="N152" i="30"/>
  <c r="N172" i="30" s="1"/>
  <c r="K152" i="30"/>
  <c r="H152" i="30"/>
  <c r="H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K144" i="30"/>
  <c r="L144" i="30" s="1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E140" i="30"/>
  <c r="F140" i="30" s="1"/>
  <c r="O139" i="30"/>
  <c r="N139" i="30"/>
  <c r="K139" i="30"/>
  <c r="L139" i="30" s="1"/>
  <c r="H139" i="30"/>
  <c r="I139" i="30" s="1"/>
  <c r="E139" i="30"/>
  <c r="F139" i="30" s="1"/>
  <c r="O138" i="30"/>
  <c r="N138" i="30"/>
  <c r="L138" i="30"/>
  <c r="K138" i="30"/>
  <c r="I138" i="30"/>
  <c r="H138" i="30"/>
  <c r="E138" i="30"/>
  <c r="F138" i="30" s="1"/>
  <c r="O137" i="30"/>
  <c r="N137" i="30"/>
  <c r="K137" i="30"/>
  <c r="L137" i="30" s="1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O135" i="30"/>
  <c r="N135" i="30"/>
  <c r="K135" i="30"/>
  <c r="L135" i="30" s="1"/>
  <c r="H135" i="30"/>
  <c r="I135" i="30" s="1"/>
  <c r="E135" i="30"/>
  <c r="F135" i="30" s="1"/>
  <c r="O134" i="30"/>
  <c r="N134" i="30"/>
  <c r="K134" i="30"/>
  <c r="L134" i="30" s="1"/>
  <c r="I134" i="30"/>
  <c r="H134" i="30"/>
  <c r="E134" i="30"/>
  <c r="F134" i="30" s="1"/>
  <c r="O133" i="30"/>
  <c r="N133" i="30"/>
  <c r="L133" i="30"/>
  <c r="K133" i="30"/>
  <c r="H133" i="30"/>
  <c r="I133" i="30" s="1"/>
  <c r="E133" i="30"/>
  <c r="F133" i="30" s="1"/>
  <c r="O132" i="30"/>
  <c r="N132" i="30"/>
  <c r="K132" i="30"/>
  <c r="L132" i="30" s="1"/>
  <c r="H132" i="30"/>
  <c r="I132" i="30" s="1"/>
  <c r="E132" i="30"/>
  <c r="F132" i="30" s="1"/>
  <c r="O131" i="30"/>
  <c r="N131" i="30"/>
  <c r="L131" i="30"/>
  <c r="K131" i="30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O129" i="30"/>
  <c r="N129" i="30"/>
  <c r="K129" i="30"/>
  <c r="L129" i="30" s="1"/>
  <c r="H129" i="30"/>
  <c r="I129" i="30" s="1"/>
  <c r="E129" i="30"/>
  <c r="F129" i="30" s="1"/>
  <c r="O128" i="30"/>
  <c r="N128" i="30"/>
  <c r="K128" i="30"/>
  <c r="L128" i="30" s="1"/>
  <c r="H128" i="30"/>
  <c r="I128" i="30" s="1"/>
  <c r="E128" i="30"/>
  <c r="F128" i="30" s="1"/>
  <c r="O127" i="30"/>
  <c r="N127" i="30"/>
  <c r="K127" i="30"/>
  <c r="L127" i="30" s="1"/>
  <c r="H127" i="30"/>
  <c r="I127" i="30" s="1"/>
  <c r="E127" i="30"/>
  <c r="F127" i="30" s="1"/>
  <c r="O126" i="30"/>
  <c r="N126" i="30"/>
  <c r="K126" i="30"/>
  <c r="L126" i="30" s="1"/>
  <c r="I126" i="30"/>
  <c r="H126" i="30"/>
  <c r="E126" i="30"/>
  <c r="F126" i="30" s="1"/>
  <c r="O125" i="30"/>
  <c r="O145" i="30" s="1"/>
  <c r="N125" i="30"/>
  <c r="N145" i="30" s="1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F116" i="30" s="1"/>
  <c r="O115" i="30"/>
  <c r="N115" i="30"/>
  <c r="L115" i="30"/>
  <c r="K115" i="30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O113" i="30"/>
  <c r="N113" i="30"/>
  <c r="L113" i="30"/>
  <c r="K113" i="30"/>
  <c r="H113" i="30"/>
  <c r="I113" i="30" s="1"/>
  <c r="E113" i="30"/>
  <c r="F113" i="30" s="1"/>
  <c r="O112" i="30"/>
  <c r="N112" i="30"/>
  <c r="K112" i="30"/>
  <c r="L112" i="30" s="1"/>
  <c r="H112" i="30"/>
  <c r="I112" i="30" s="1"/>
  <c r="E112" i="30"/>
  <c r="F112" i="30" s="1"/>
  <c r="O111" i="30"/>
  <c r="N111" i="30"/>
  <c r="L111" i="30"/>
  <c r="K111" i="30"/>
  <c r="I111" i="30"/>
  <c r="H111" i="30"/>
  <c r="E111" i="30"/>
  <c r="F111" i="30" s="1"/>
  <c r="O110" i="30"/>
  <c r="N110" i="30"/>
  <c r="L110" i="30"/>
  <c r="K110" i="30"/>
  <c r="H110" i="30"/>
  <c r="I110" i="30" s="1"/>
  <c r="E110" i="30"/>
  <c r="F110" i="30" s="1"/>
  <c r="O109" i="30"/>
  <c r="N109" i="30"/>
  <c r="K109" i="30"/>
  <c r="L109" i="30" s="1"/>
  <c r="H109" i="30"/>
  <c r="I109" i="30" s="1"/>
  <c r="E109" i="30"/>
  <c r="F109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O106" i="30"/>
  <c r="N106" i="30"/>
  <c r="K106" i="30"/>
  <c r="L106" i="30" s="1"/>
  <c r="H106" i="30"/>
  <c r="I106" i="30" s="1"/>
  <c r="E106" i="30"/>
  <c r="F106" i="30" s="1"/>
  <c r="O105" i="30"/>
  <c r="N105" i="30"/>
  <c r="K105" i="30"/>
  <c r="L105" i="30" s="1"/>
  <c r="H105" i="30"/>
  <c r="I105" i="30" s="1"/>
  <c r="E105" i="30"/>
  <c r="F105" i="30" s="1"/>
  <c r="O104" i="30"/>
  <c r="N104" i="30"/>
  <c r="L104" i="30"/>
  <c r="K104" i="30"/>
  <c r="H104" i="30"/>
  <c r="I104" i="30" s="1"/>
  <c r="E104" i="30"/>
  <c r="F104" i="30" s="1"/>
  <c r="O103" i="30"/>
  <c r="N103" i="30"/>
  <c r="K103" i="30"/>
  <c r="L103" i="30" s="1"/>
  <c r="I103" i="30"/>
  <c r="H103" i="30"/>
  <c r="E103" i="30"/>
  <c r="F103" i="30" s="1"/>
  <c r="O102" i="30"/>
  <c r="N102" i="30"/>
  <c r="K102" i="30"/>
  <c r="L102" i="30" s="1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O100" i="30"/>
  <c r="N100" i="30"/>
  <c r="K100" i="30"/>
  <c r="L100" i="30" s="1"/>
  <c r="I100" i="30"/>
  <c r="H100" i="30"/>
  <c r="E100" i="30"/>
  <c r="F100" i="30" s="1"/>
  <c r="O99" i="30"/>
  <c r="N99" i="30"/>
  <c r="K99" i="30"/>
  <c r="L99" i="30" s="1"/>
  <c r="I99" i="30"/>
  <c r="H99" i="30"/>
  <c r="E99" i="30"/>
  <c r="F99" i="30" s="1"/>
  <c r="O98" i="30"/>
  <c r="O118" i="30" s="1"/>
  <c r="N98" i="30"/>
  <c r="N118" i="30" s="1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O88" i="30"/>
  <c r="N88" i="30"/>
  <c r="K88" i="30"/>
  <c r="L88" i="30" s="1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K86" i="30"/>
  <c r="L86" i="30" s="1"/>
  <c r="H86" i="30"/>
  <c r="I86" i="30" s="1"/>
  <c r="E86" i="30"/>
  <c r="F86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L82" i="30"/>
  <c r="K82" i="30"/>
  <c r="H82" i="30"/>
  <c r="I82" i="30" s="1"/>
  <c r="E82" i="30"/>
  <c r="F82" i="30" s="1"/>
  <c r="O81" i="30"/>
  <c r="N81" i="30"/>
  <c r="K81" i="30"/>
  <c r="L81" i="30" s="1"/>
  <c r="H81" i="30"/>
  <c r="I81" i="30" s="1"/>
  <c r="E81" i="30"/>
  <c r="F81" i="30" s="1"/>
  <c r="O80" i="30"/>
  <c r="N80" i="30"/>
  <c r="L80" i="30"/>
  <c r="K80" i="30"/>
  <c r="I80" i="30"/>
  <c r="H80" i="30"/>
  <c r="E80" i="30"/>
  <c r="F80" i="30" s="1"/>
  <c r="O79" i="30"/>
  <c r="N79" i="30"/>
  <c r="K79" i="30"/>
  <c r="L79" i="30" s="1"/>
  <c r="H79" i="30"/>
  <c r="I79" i="30" s="1"/>
  <c r="F79" i="30"/>
  <c r="E79" i="30"/>
  <c r="O78" i="30"/>
  <c r="N78" i="30"/>
  <c r="K78" i="30"/>
  <c r="L78" i="30" s="1"/>
  <c r="H78" i="30"/>
  <c r="I78" i="30" s="1"/>
  <c r="F78" i="30"/>
  <c r="E78" i="30"/>
  <c r="O77" i="30"/>
  <c r="N77" i="30"/>
  <c r="K77" i="30"/>
  <c r="L77" i="30" s="1"/>
  <c r="H77" i="30"/>
  <c r="I77" i="30" s="1"/>
  <c r="F77" i="30"/>
  <c r="E77" i="30"/>
  <c r="O76" i="30"/>
  <c r="N76" i="30"/>
  <c r="L76" i="30"/>
  <c r="K76" i="30"/>
  <c r="H76" i="30"/>
  <c r="I76" i="30" s="1"/>
  <c r="F76" i="30"/>
  <c r="E76" i="30"/>
  <c r="O75" i="30"/>
  <c r="N75" i="30"/>
  <c r="K75" i="30"/>
  <c r="L75" i="30" s="1"/>
  <c r="H75" i="30"/>
  <c r="I75" i="30" s="1"/>
  <c r="F75" i="30"/>
  <c r="E75" i="30"/>
  <c r="O74" i="30"/>
  <c r="N74" i="30"/>
  <c r="K74" i="30"/>
  <c r="L74" i="30" s="1"/>
  <c r="H74" i="30"/>
  <c r="I74" i="30" s="1"/>
  <c r="F74" i="30"/>
  <c r="E74" i="30"/>
  <c r="O73" i="30"/>
  <c r="N73" i="30"/>
  <c r="K73" i="30"/>
  <c r="L73" i="30" s="1"/>
  <c r="H73" i="30"/>
  <c r="I73" i="30" s="1"/>
  <c r="F73" i="30"/>
  <c r="E73" i="30"/>
  <c r="O72" i="30"/>
  <c r="N72" i="30"/>
  <c r="L72" i="30"/>
  <c r="K72" i="30"/>
  <c r="H72" i="30"/>
  <c r="I72" i="30" s="1"/>
  <c r="F72" i="30"/>
  <c r="E72" i="30"/>
  <c r="O71" i="30"/>
  <c r="O91" i="30" s="1"/>
  <c r="N71" i="30"/>
  <c r="N91" i="30" s="1"/>
  <c r="K71" i="30"/>
  <c r="K91" i="30" s="1"/>
  <c r="H71" i="30"/>
  <c r="H91" i="30" s="1"/>
  <c r="F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O61" i="30"/>
  <c r="N61" i="30"/>
  <c r="K61" i="30"/>
  <c r="L61" i="30" s="1"/>
  <c r="H61" i="30"/>
  <c r="I61" i="30" s="1"/>
  <c r="E61" i="30"/>
  <c r="F61" i="30" s="1"/>
  <c r="O60" i="30"/>
  <c r="N60" i="30"/>
  <c r="L60" i="30"/>
  <c r="K60" i="30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O58" i="30"/>
  <c r="N58" i="30"/>
  <c r="K58" i="30"/>
  <c r="L58" i="30" s="1"/>
  <c r="H58" i="30"/>
  <c r="I58" i="30" s="1"/>
  <c r="E58" i="30"/>
  <c r="F58" i="30" s="1"/>
  <c r="O57" i="30"/>
  <c r="N57" i="30"/>
  <c r="K57" i="30"/>
  <c r="L57" i="30" s="1"/>
  <c r="H57" i="30"/>
  <c r="I57" i="30" s="1"/>
  <c r="E57" i="30"/>
  <c r="F57" i="30" s="1"/>
  <c r="O56" i="30"/>
  <c r="N56" i="30"/>
  <c r="L56" i="30"/>
  <c r="K56" i="30"/>
  <c r="I56" i="30"/>
  <c r="H56" i="30"/>
  <c r="E56" i="30"/>
  <c r="F56" i="30" s="1"/>
  <c r="O55" i="30"/>
  <c r="N55" i="30"/>
  <c r="L55" i="30"/>
  <c r="K55" i="30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O53" i="30"/>
  <c r="N53" i="30"/>
  <c r="L53" i="30"/>
  <c r="K53" i="30"/>
  <c r="H53" i="30"/>
  <c r="I53" i="30" s="1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H51" i="30"/>
  <c r="I51" i="30" s="1"/>
  <c r="E51" i="30"/>
  <c r="F51" i="30" s="1"/>
  <c r="O50" i="30"/>
  <c r="N50" i="30"/>
  <c r="K50" i="30"/>
  <c r="L50" i="30" s="1"/>
  <c r="H50" i="30"/>
  <c r="I50" i="30" s="1"/>
  <c r="E50" i="30"/>
  <c r="F50" i="30" s="1"/>
  <c r="O49" i="30"/>
  <c r="N49" i="30"/>
  <c r="K49" i="30"/>
  <c r="L49" i="30" s="1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L46" i="30"/>
  <c r="K46" i="30"/>
  <c r="H46" i="30"/>
  <c r="I46" i="30" s="1"/>
  <c r="E46" i="30"/>
  <c r="F46" i="30" s="1"/>
  <c r="O45" i="30"/>
  <c r="N45" i="30"/>
  <c r="K45" i="30"/>
  <c r="L45" i="30" s="1"/>
  <c r="H45" i="30"/>
  <c r="I45" i="30" s="1"/>
  <c r="E45" i="30"/>
  <c r="F45" i="30" s="1"/>
  <c r="O44" i="30"/>
  <c r="O64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O192" i="29"/>
  <c r="N192" i="29"/>
  <c r="K192" i="29"/>
  <c r="L192" i="29" s="1"/>
  <c r="H192" i="29"/>
  <c r="I192" i="29" s="1"/>
  <c r="F192" i="29"/>
  <c r="E192" i="29"/>
  <c r="O191" i="29"/>
  <c r="N191" i="29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O142" i="29"/>
  <c r="N142" i="29"/>
  <c r="K142" i="29"/>
  <c r="L142" i="29" s="1"/>
  <c r="H142" i="29"/>
  <c r="I142" i="29" s="1"/>
  <c r="F142" i="29"/>
  <c r="E142" i="29"/>
  <c r="N141" i="29"/>
  <c r="O141" i="29" s="1"/>
  <c r="K141" i="29"/>
  <c r="L141" i="29" s="1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O137" i="29"/>
  <c r="N137" i="29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N134" i="29"/>
  <c r="O134" i="29" s="1"/>
  <c r="K134" i="29"/>
  <c r="L134" i="29" s="1"/>
  <c r="H134" i="29"/>
  <c r="I134" i="29" s="1"/>
  <c r="F134" i="29"/>
  <c r="E134" i="29"/>
  <c r="O133" i="29"/>
  <c r="N133" i="29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O130" i="29"/>
  <c r="N130" i="29"/>
  <c r="K130" i="29"/>
  <c r="L130" i="29" s="1"/>
  <c r="H130" i="29"/>
  <c r="I130" i="29" s="1"/>
  <c r="F130" i="29"/>
  <c r="E130" i="29"/>
  <c r="O129" i="29"/>
  <c r="N129" i="29"/>
  <c r="K129" i="29"/>
  <c r="L129" i="29" s="1"/>
  <c r="H129" i="29"/>
  <c r="I129" i="29" s="1"/>
  <c r="F129" i="29"/>
  <c r="E129" i="29"/>
  <c r="O128" i="29"/>
  <c r="N128" i="29"/>
  <c r="L128" i="29"/>
  <c r="K128" i="29"/>
  <c r="H128" i="29"/>
  <c r="I128" i="29" s="1"/>
  <c r="F128" i="29"/>
  <c r="E128" i="29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K125" i="29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F117" i="29"/>
  <c r="E117" i="29"/>
  <c r="O116" i="29"/>
  <c r="N116" i="29"/>
  <c r="K116" i="29"/>
  <c r="L116" i="29" s="1"/>
  <c r="H116" i="29"/>
  <c r="I116" i="29" s="1"/>
  <c r="F116" i="29"/>
  <c r="E116" i="29"/>
  <c r="O115" i="29"/>
  <c r="N115" i="29"/>
  <c r="K115" i="29"/>
  <c r="L115" i="29" s="1"/>
  <c r="H115" i="29"/>
  <c r="I115" i="29" s="1"/>
  <c r="F115" i="29"/>
  <c r="E115" i="29"/>
  <c r="O114" i="29"/>
  <c r="N114" i="29"/>
  <c r="L114" i="29"/>
  <c r="K114" i="29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O111" i="29"/>
  <c r="N111" i="29"/>
  <c r="K111" i="29"/>
  <c r="L111" i="29" s="1"/>
  <c r="H111" i="29"/>
  <c r="I111" i="29" s="1"/>
  <c r="F111" i="29"/>
  <c r="E111" i="29"/>
  <c r="O110" i="29"/>
  <c r="N110" i="29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K107" i="29"/>
  <c r="L107" i="29" s="1"/>
  <c r="H107" i="29"/>
  <c r="I107" i="29" s="1"/>
  <c r="F107" i="29"/>
  <c r="E107" i="29"/>
  <c r="N106" i="29"/>
  <c r="O106" i="29" s="1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O104" i="29"/>
  <c r="N104" i="29"/>
  <c r="K104" i="29"/>
  <c r="L104" i="29" s="1"/>
  <c r="H104" i="29"/>
  <c r="I104" i="29" s="1"/>
  <c r="F104" i="29"/>
  <c r="E104" i="29"/>
  <c r="N103" i="29"/>
  <c r="O103" i="29" s="1"/>
  <c r="K103" i="29"/>
  <c r="L103" i="29" s="1"/>
  <c r="H103" i="29"/>
  <c r="I103" i="29" s="1"/>
  <c r="F103" i="29"/>
  <c r="E103" i="29"/>
  <c r="O102" i="29"/>
  <c r="N102" i="29"/>
  <c r="K102" i="29"/>
  <c r="L102" i="29" s="1"/>
  <c r="H102" i="29"/>
  <c r="I102" i="29" s="1"/>
  <c r="F102" i="29"/>
  <c r="E102" i="29"/>
  <c r="N101" i="29"/>
  <c r="O101" i="29" s="1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K99" i="29"/>
  <c r="L99" i="29" s="1"/>
  <c r="H99" i="29"/>
  <c r="I99" i="29" s="1"/>
  <c r="F99" i="29"/>
  <c r="E99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O83" i="29"/>
  <c r="N83" i="29"/>
  <c r="L83" i="29"/>
  <c r="K83" i="29"/>
  <c r="H83" i="29"/>
  <c r="I83" i="29" s="1"/>
  <c r="F83" i="29"/>
  <c r="E83" i="29"/>
  <c r="N82" i="29"/>
  <c r="O82" i="29" s="1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N79" i="29"/>
  <c r="O79" i="29" s="1"/>
  <c r="L79" i="29"/>
  <c r="K79" i="29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O75" i="29"/>
  <c r="N75" i="29"/>
  <c r="L75" i="29"/>
  <c r="K75" i="29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O72" i="29"/>
  <c r="N72" i="29"/>
  <c r="K72" i="29"/>
  <c r="L72" i="29" s="1"/>
  <c r="H72" i="29"/>
  <c r="I72" i="29" s="1"/>
  <c r="F72" i="29"/>
  <c r="E72" i="29"/>
  <c r="N71" i="29"/>
  <c r="L71" i="29"/>
  <c r="K71" i="29"/>
  <c r="H71" i="29"/>
  <c r="H91" i="29" s="1"/>
  <c r="F71" i="29"/>
  <c r="F91" i="29" s="1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O62" i="29"/>
  <c r="N62" i="29"/>
  <c r="K62" i="29"/>
  <c r="L62" i="29" s="1"/>
  <c r="H62" i="29"/>
  <c r="I62" i="29" s="1"/>
  <c r="F62" i="29"/>
  <c r="E62" i="29"/>
  <c r="N61" i="29"/>
  <c r="O61" i="29" s="1"/>
  <c r="K61" i="29"/>
  <c r="L61" i="29" s="1"/>
  <c r="H61" i="29"/>
  <c r="I61" i="29" s="1"/>
  <c r="F61" i="29"/>
  <c r="E61" i="29"/>
  <c r="O60" i="29"/>
  <c r="N60" i="29"/>
  <c r="K60" i="29"/>
  <c r="L60" i="29" s="1"/>
  <c r="H60" i="29"/>
  <c r="I60" i="29" s="1"/>
  <c r="F60" i="29"/>
  <c r="E60" i="29"/>
  <c r="N59" i="29"/>
  <c r="O59" i="29" s="1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N54" i="29"/>
  <c r="O54" i="29" s="1"/>
  <c r="K54" i="29"/>
  <c r="L54" i="29" s="1"/>
  <c r="H54" i="29"/>
  <c r="I54" i="29" s="1"/>
  <c r="F54" i="29"/>
  <c r="E54" i="29"/>
  <c r="O53" i="29"/>
  <c r="N53" i="29"/>
  <c r="K53" i="29"/>
  <c r="L53" i="29" s="1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O51" i="29"/>
  <c r="N51" i="29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I197" i="28"/>
  <c r="H197" i="28"/>
  <c r="F197" i="28"/>
  <c r="E197" i="28"/>
  <c r="N196" i="28"/>
  <c r="O196" i="28" s="1"/>
  <c r="L196" i="28"/>
  <c r="K196" i="28"/>
  <c r="I196" i="28"/>
  <c r="H196" i="28"/>
  <c r="F196" i="28"/>
  <c r="E196" i="28"/>
  <c r="N195" i="28"/>
  <c r="O195" i="28" s="1"/>
  <c r="L195" i="28"/>
  <c r="K195" i="28"/>
  <c r="I195" i="28"/>
  <c r="H195" i="28"/>
  <c r="F195" i="28"/>
  <c r="E195" i="28"/>
  <c r="N194" i="28"/>
  <c r="O194" i="28" s="1"/>
  <c r="L194" i="28"/>
  <c r="K194" i="28"/>
  <c r="I194" i="28"/>
  <c r="H194" i="28"/>
  <c r="F194" i="28"/>
  <c r="E194" i="28"/>
  <c r="N193" i="28"/>
  <c r="O193" i="28" s="1"/>
  <c r="L193" i="28"/>
  <c r="K193" i="28"/>
  <c r="I193" i="28"/>
  <c r="H193" i="28"/>
  <c r="F193" i="28"/>
  <c r="E193" i="28"/>
  <c r="N192" i="28"/>
  <c r="O192" i="28" s="1"/>
  <c r="L192" i="28"/>
  <c r="K192" i="28"/>
  <c r="I192" i="28"/>
  <c r="H192" i="28"/>
  <c r="F192" i="28"/>
  <c r="E192" i="28"/>
  <c r="N191" i="28"/>
  <c r="O191" i="28" s="1"/>
  <c r="L191" i="28"/>
  <c r="K191" i="28"/>
  <c r="I191" i="28"/>
  <c r="H191" i="28"/>
  <c r="F191" i="28"/>
  <c r="E191" i="28"/>
  <c r="N190" i="28"/>
  <c r="O190" i="28" s="1"/>
  <c r="L190" i="28"/>
  <c r="K190" i="28"/>
  <c r="I190" i="28"/>
  <c r="H190" i="28"/>
  <c r="F190" i="28"/>
  <c r="E190" i="28"/>
  <c r="N189" i="28"/>
  <c r="O189" i="28" s="1"/>
  <c r="L189" i="28"/>
  <c r="K189" i="28"/>
  <c r="I189" i="28"/>
  <c r="H189" i="28"/>
  <c r="F189" i="28"/>
  <c r="E189" i="28"/>
  <c r="N188" i="28"/>
  <c r="O188" i="28" s="1"/>
  <c r="L188" i="28"/>
  <c r="K188" i="28"/>
  <c r="I188" i="28"/>
  <c r="H188" i="28"/>
  <c r="F188" i="28"/>
  <c r="E188" i="28"/>
  <c r="N187" i="28"/>
  <c r="O187" i="28" s="1"/>
  <c r="L187" i="28"/>
  <c r="K187" i="28"/>
  <c r="I187" i="28"/>
  <c r="H187" i="28"/>
  <c r="F187" i="28"/>
  <c r="E187" i="28"/>
  <c r="N186" i="28"/>
  <c r="O186" i="28" s="1"/>
  <c r="L186" i="28"/>
  <c r="K186" i="28"/>
  <c r="I186" i="28"/>
  <c r="H186" i="28"/>
  <c r="F186" i="28"/>
  <c r="E186" i="28"/>
  <c r="N185" i="28"/>
  <c r="O185" i="28" s="1"/>
  <c r="L185" i="28"/>
  <c r="K185" i="28"/>
  <c r="I185" i="28"/>
  <c r="H185" i="28"/>
  <c r="F185" i="28"/>
  <c r="E185" i="28"/>
  <c r="N184" i="28"/>
  <c r="O184" i="28" s="1"/>
  <c r="L184" i="28"/>
  <c r="K184" i="28"/>
  <c r="I184" i="28"/>
  <c r="H184" i="28"/>
  <c r="F184" i="28"/>
  <c r="E184" i="28"/>
  <c r="N183" i="28"/>
  <c r="O183" i="28" s="1"/>
  <c r="L183" i="28"/>
  <c r="K183" i="28"/>
  <c r="I183" i="28"/>
  <c r="H183" i="28"/>
  <c r="F183" i="28"/>
  <c r="E183" i="28"/>
  <c r="N182" i="28"/>
  <c r="O182" i="28" s="1"/>
  <c r="L182" i="28"/>
  <c r="K182" i="28"/>
  <c r="I182" i="28"/>
  <c r="H182" i="28"/>
  <c r="F182" i="28"/>
  <c r="E182" i="28"/>
  <c r="N181" i="28"/>
  <c r="O181" i="28" s="1"/>
  <c r="L181" i="28"/>
  <c r="K181" i="28"/>
  <c r="I181" i="28"/>
  <c r="H181" i="28"/>
  <c r="F181" i="28"/>
  <c r="E181" i="28"/>
  <c r="N180" i="28"/>
  <c r="O180" i="28" s="1"/>
  <c r="L180" i="28"/>
  <c r="K180" i="28"/>
  <c r="I180" i="28"/>
  <c r="H180" i="28"/>
  <c r="F180" i="28"/>
  <c r="E180" i="28"/>
  <c r="N179" i="28"/>
  <c r="N199" i="28" s="1"/>
  <c r="L179" i="28"/>
  <c r="L199" i="28" s="1"/>
  <c r="K179" i="28"/>
  <c r="K199" i="28" s="1"/>
  <c r="I179" i="28"/>
  <c r="I199" i="28" s="1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N126" i="28"/>
  <c r="O126" i="28" s="1"/>
  <c r="K126" i="28"/>
  <c r="L126" i="28" s="1"/>
  <c r="H126" i="28"/>
  <c r="I126" i="28" s="1"/>
  <c r="F126" i="28"/>
  <c r="E126" i="28"/>
  <c r="N125" i="28"/>
  <c r="K125" i="28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L114" i="28"/>
  <c r="K114" i="28"/>
  <c r="H114" i="28"/>
  <c r="I114" i="28" s="1"/>
  <c r="F114" i="28"/>
  <c r="E114" i="28"/>
  <c r="N113" i="28"/>
  <c r="O113" i="28" s="1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O111" i="28"/>
  <c r="N111" i="28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O109" i="28"/>
  <c r="N109" i="28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O102" i="28"/>
  <c r="N102" i="28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K87" i="28"/>
  <c r="L87" i="28" s="1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N84" i="28"/>
  <c r="O84" i="28" s="1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N81" i="28"/>
  <c r="O81" i="28" s="1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N79" i="28"/>
  <c r="O79" i="28" s="1"/>
  <c r="L79" i="28"/>
  <c r="K79" i="28"/>
  <c r="H79" i="28"/>
  <c r="I79" i="28" s="1"/>
  <c r="F79" i="28"/>
  <c r="E79" i="28"/>
  <c r="O78" i="28"/>
  <c r="N78" i="28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N76" i="28"/>
  <c r="O76" i="28" s="1"/>
  <c r="K76" i="28"/>
  <c r="L76" i="28" s="1"/>
  <c r="H76" i="28"/>
  <c r="I76" i="28" s="1"/>
  <c r="F76" i="28"/>
  <c r="E76" i="28"/>
  <c r="N75" i="28"/>
  <c r="O75" i="28" s="1"/>
  <c r="K75" i="28"/>
  <c r="L75" i="28" s="1"/>
  <c r="H75" i="28"/>
  <c r="I75" i="28" s="1"/>
  <c r="F75" i="28"/>
  <c r="E75" i="28"/>
  <c r="N74" i="28"/>
  <c r="O74" i="28" s="1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H63" i="28"/>
  <c r="I63" i="28" s="1"/>
  <c r="F63" i="28"/>
  <c r="E63" i="28"/>
  <c r="N62" i="28"/>
  <c r="O62" i="28" s="1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N60" i="28"/>
  <c r="O60" i="28" s="1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O58" i="28"/>
  <c r="N58" i="28"/>
  <c r="K58" i="28"/>
  <c r="L58" i="28" s="1"/>
  <c r="H58" i="28"/>
  <c r="I58" i="28" s="1"/>
  <c r="F58" i="28"/>
  <c r="E58" i="28"/>
  <c r="N57" i="28"/>
  <c r="O57" i="28" s="1"/>
  <c r="K57" i="28"/>
  <c r="L57" i="28" s="1"/>
  <c r="H57" i="28"/>
  <c r="I57" i="28" s="1"/>
  <c r="F57" i="28"/>
  <c r="E57" i="28"/>
  <c r="O56" i="28"/>
  <c r="N56" i="28"/>
  <c r="K56" i="28"/>
  <c r="L56" i="28" s="1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N54" i="28"/>
  <c r="O54" i="28" s="1"/>
  <c r="K54" i="28"/>
  <c r="L54" i="28" s="1"/>
  <c r="H54" i="28"/>
  <c r="I54" i="28" s="1"/>
  <c r="F54" i="28"/>
  <c r="E54" i="28"/>
  <c r="N53" i="28"/>
  <c r="O53" i="28" s="1"/>
  <c r="K53" i="28"/>
  <c r="L53" i="28" s="1"/>
  <c r="H53" i="28"/>
  <c r="I53" i="28" s="1"/>
  <c r="F53" i="28"/>
  <c r="E53" i="28"/>
  <c r="N52" i="28"/>
  <c r="O52" i="28" s="1"/>
  <c r="K52" i="28"/>
  <c r="L52" i="28" s="1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N50" i="28"/>
  <c r="O50" i="28" s="1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N48" i="28"/>
  <c r="O48" i="28" s="1"/>
  <c r="K48" i="28"/>
  <c r="L48" i="28" s="1"/>
  <c r="H48" i="28"/>
  <c r="I48" i="28" s="1"/>
  <c r="F48" i="28"/>
  <c r="E48" i="28"/>
  <c r="O47" i="28"/>
  <c r="N47" i="28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N45" i="28"/>
  <c r="O45" i="28" s="1"/>
  <c r="K45" i="28"/>
  <c r="L45" i="28" s="1"/>
  <c r="H45" i="28"/>
  <c r="I45" i="28" s="1"/>
  <c r="F45" i="28"/>
  <c r="E45" i="28"/>
  <c r="N44" i="28"/>
  <c r="N64" i="28" s="1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N189" i="27"/>
  <c r="O189" i="27" s="1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O165" i="27"/>
  <c r="N165" i="27"/>
  <c r="K165" i="27"/>
  <c r="L165" i="27" s="1"/>
  <c r="H165" i="27"/>
  <c r="I165" i="27" s="1"/>
  <c r="F165" i="27"/>
  <c r="E165" i="27"/>
  <c r="N164" i="27"/>
  <c r="O164" i="27" s="1"/>
  <c r="L164" i="27"/>
  <c r="K164" i="27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K143" i="27"/>
  <c r="L143" i="27" s="1"/>
  <c r="H143" i="27"/>
  <c r="I143" i="27" s="1"/>
  <c r="E143" i="27"/>
  <c r="F143" i="27" s="1"/>
  <c r="N142" i="27"/>
  <c r="O142" i="27" s="1"/>
  <c r="K142" i="27"/>
  <c r="L142" i="27" s="1"/>
  <c r="H142" i="27"/>
  <c r="I142" i="27" s="1"/>
  <c r="E142" i="27"/>
  <c r="F142" i="27" s="1"/>
  <c r="O141" i="27"/>
  <c r="N141" i="27"/>
  <c r="K141" i="27"/>
  <c r="L141" i="27" s="1"/>
  <c r="I141" i="27"/>
  <c r="H141" i="27"/>
  <c r="E141" i="27"/>
  <c r="F141" i="27" s="1"/>
  <c r="N140" i="27"/>
  <c r="O140" i="27" s="1"/>
  <c r="L140" i="27"/>
  <c r="K140" i="27"/>
  <c r="H140" i="27"/>
  <c r="I140" i="27" s="1"/>
  <c r="E140" i="27"/>
  <c r="F140" i="27" s="1"/>
  <c r="O139" i="27"/>
  <c r="N139" i="27"/>
  <c r="L139" i="27"/>
  <c r="K139" i="27"/>
  <c r="H139" i="27"/>
  <c r="I139" i="27" s="1"/>
  <c r="E139" i="27"/>
  <c r="F139" i="27" s="1"/>
  <c r="N138" i="27"/>
  <c r="O138" i="27" s="1"/>
  <c r="L138" i="27"/>
  <c r="K138" i="27"/>
  <c r="H138" i="27"/>
  <c r="I138" i="27" s="1"/>
  <c r="E138" i="27"/>
  <c r="F138" i="27" s="1"/>
  <c r="O137" i="27"/>
  <c r="N137" i="27"/>
  <c r="L137" i="27"/>
  <c r="K137" i="27"/>
  <c r="I137" i="27"/>
  <c r="H137" i="27"/>
  <c r="E137" i="27"/>
  <c r="F137" i="27" s="1"/>
  <c r="N136" i="27"/>
  <c r="O136" i="27" s="1"/>
  <c r="K136" i="27"/>
  <c r="L136" i="27" s="1"/>
  <c r="H136" i="27"/>
  <c r="I136" i="27" s="1"/>
  <c r="E136" i="27"/>
  <c r="F136" i="27" s="1"/>
  <c r="O135" i="27"/>
  <c r="N135" i="27"/>
  <c r="K135" i="27"/>
  <c r="L135" i="27" s="1"/>
  <c r="H135" i="27"/>
  <c r="I135" i="27" s="1"/>
  <c r="E135" i="27"/>
  <c r="F135" i="27" s="1"/>
  <c r="O134" i="27"/>
  <c r="N134" i="27"/>
  <c r="K134" i="27"/>
  <c r="L134" i="27" s="1"/>
  <c r="H134" i="27"/>
  <c r="I134" i="27" s="1"/>
  <c r="E134" i="27"/>
  <c r="F134" i="27" s="1"/>
  <c r="N133" i="27"/>
  <c r="O133" i="27" s="1"/>
  <c r="K133" i="27"/>
  <c r="L133" i="27" s="1"/>
  <c r="I133" i="27"/>
  <c r="H133" i="27"/>
  <c r="E133" i="27"/>
  <c r="F133" i="27" s="1"/>
  <c r="O132" i="27"/>
  <c r="N132" i="27"/>
  <c r="L132" i="27"/>
  <c r="K132" i="27"/>
  <c r="H132" i="27"/>
  <c r="I132" i="27" s="1"/>
  <c r="E132" i="27"/>
  <c r="F132" i="27" s="1"/>
  <c r="N131" i="27"/>
  <c r="O131" i="27" s="1"/>
  <c r="L131" i="27"/>
  <c r="K131" i="27"/>
  <c r="H131" i="27"/>
  <c r="I131" i="27" s="1"/>
  <c r="E131" i="27"/>
  <c r="F131" i="27" s="1"/>
  <c r="O130" i="27"/>
  <c r="N130" i="27"/>
  <c r="L130" i="27"/>
  <c r="K130" i="27"/>
  <c r="H130" i="27"/>
  <c r="I130" i="27" s="1"/>
  <c r="E130" i="27"/>
  <c r="F130" i="27" s="1"/>
  <c r="N129" i="27"/>
  <c r="O129" i="27" s="1"/>
  <c r="L129" i="27"/>
  <c r="K129" i="27"/>
  <c r="I129" i="27"/>
  <c r="H129" i="27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F127" i="27" s="1"/>
  <c r="N126" i="27"/>
  <c r="O126" i="27" s="1"/>
  <c r="K126" i="27"/>
  <c r="L126" i="27" s="1"/>
  <c r="H126" i="27"/>
  <c r="I126" i="27" s="1"/>
  <c r="E126" i="27"/>
  <c r="F126" i="27" s="1"/>
  <c r="O125" i="27"/>
  <c r="N125" i="27"/>
  <c r="K125" i="27"/>
  <c r="K145" i="27" s="1"/>
  <c r="I125" i="27"/>
  <c r="H125" i="27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N116" i="27"/>
  <c r="O116" i="27" s="1"/>
  <c r="L116" i="27"/>
  <c r="K116" i="27"/>
  <c r="H116" i="27"/>
  <c r="I116" i="27" s="1"/>
  <c r="E116" i="27"/>
  <c r="F116" i="27" s="1"/>
  <c r="N115" i="27"/>
  <c r="O115" i="27" s="1"/>
  <c r="K115" i="27"/>
  <c r="L115" i="27" s="1"/>
  <c r="H115" i="27"/>
  <c r="I115" i="27" s="1"/>
  <c r="E115" i="27"/>
  <c r="F115" i="27" s="1"/>
  <c r="N114" i="27"/>
  <c r="O114" i="27" s="1"/>
  <c r="L114" i="27"/>
  <c r="K114" i="27"/>
  <c r="I114" i="27"/>
  <c r="H114" i="27"/>
  <c r="E114" i="27"/>
  <c r="F114" i="27" s="1"/>
  <c r="N113" i="27"/>
  <c r="O113" i="27" s="1"/>
  <c r="K113" i="27"/>
  <c r="L113" i="27" s="1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K111" i="27"/>
  <c r="L111" i="27" s="1"/>
  <c r="H111" i="27"/>
  <c r="I111" i="27" s="1"/>
  <c r="E111" i="27"/>
  <c r="F111" i="27" s="1"/>
  <c r="N110" i="27"/>
  <c r="O110" i="27" s="1"/>
  <c r="L110" i="27"/>
  <c r="K110" i="27"/>
  <c r="I110" i="27"/>
  <c r="H110" i="27"/>
  <c r="E110" i="27"/>
  <c r="F110" i="27" s="1"/>
  <c r="O109" i="27"/>
  <c r="N109" i="27"/>
  <c r="L109" i="27"/>
  <c r="K109" i="27"/>
  <c r="H109" i="27"/>
  <c r="I109" i="27" s="1"/>
  <c r="E109" i="27"/>
  <c r="F109" i="27" s="1"/>
  <c r="O108" i="27"/>
  <c r="N108" i="27"/>
  <c r="K108" i="27"/>
  <c r="L108" i="27" s="1"/>
  <c r="H108" i="27"/>
  <c r="I108" i="27" s="1"/>
  <c r="E108" i="27"/>
  <c r="F108" i="27" s="1"/>
  <c r="N107" i="27"/>
  <c r="O107" i="27" s="1"/>
  <c r="L107" i="27"/>
  <c r="K107" i="27"/>
  <c r="H107" i="27"/>
  <c r="I107" i="27" s="1"/>
  <c r="E107" i="27"/>
  <c r="F107" i="27" s="1"/>
  <c r="N106" i="27"/>
  <c r="O106" i="27" s="1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N104" i="27"/>
  <c r="O104" i="27" s="1"/>
  <c r="K104" i="27"/>
  <c r="L104" i="27" s="1"/>
  <c r="H104" i="27"/>
  <c r="I104" i="27" s="1"/>
  <c r="E104" i="27"/>
  <c r="F104" i="27" s="1"/>
  <c r="O103" i="27"/>
  <c r="N103" i="27"/>
  <c r="L103" i="27"/>
  <c r="K103" i="27"/>
  <c r="H103" i="27"/>
  <c r="I103" i="27" s="1"/>
  <c r="E103" i="27"/>
  <c r="F103" i="27" s="1"/>
  <c r="O102" i="27"/>
  <c r="N102" i="27"/>
  <c r="K102" i="27"/>
  <c r="L102" i="27" s="1"/>
  <c r="I102" i="27"/>
  <c r="H102" i="27"/>
  <c r="E102" i="27"/>
  <c r="F102" i="27" s="1"/>
  <c r="N101" i="27"/>
  <c r="O101" i="27" s="1"/>
  <c r="K101" i="27"/>
  <c r="L101" i="27" s="1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K99" i="27"/>
  <c r="L99" i="27" s="1"/>
  <c r="H99" i="27"/>
  <c r="I99" i="27" s="1"/>
  <c r="E99" i="27"/>
  <c r="F99" i="27" s="1"/>
  <c r="N98" i="27"/>
  <c r="L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E90" i="27"/>
  <c r="F90" i="27" s="1"/>
  <c r="O89" i="27"/>
  <c r="N89" i="27"/>
  <c r="K89" i="27"/>
  <c r="L89" i="27" s="1"/>
  <c r="H89" i="27"/>
  <c r="I89" i="27" s="1"/>
  <c r="E89" i="27"/>
  <c r="F89" i="27" s="1"/>
  <c r="N88" i="27"/>
  <c r="O88" i="27" s="1"/>
  <c r="L88" i="27"/>
  <c r="K88" i="27"/>
  <c r="H88" i="27"/>
  <c r="I88" i="27" s="1"/>
  <c r="E88" i="27"/>
  <c r="F88" i="27" s="1"/>
  <c r="N87" i="27"/>
  <c r="O87" i="27" s="1"/>
  <c r="K87" i="27"/>
  <c r="L87" i="27" s="1"/>
  <c r="H87" i="27"/>
  <c r="I87" i="27" s="1"/>
  <c r="E87" i="27"/>
  <c r="F87" i="27" s="1"/>
  <c r="O86" i="27"/>
  <c r="N86" i="27"/>
  <c r="L86" i="27"/>
  <c r="K86" i="27"/>
  <c r="I86" i="27"/>
  <c r="H86" i="27"/>
  <c r="E86" i="27"/>
  <c r="F86" i="27" s="1"/>
  <c r="N85" i="27"/>
  <c r="O85" i="27" s="1"/>
  <c r="L85" i="27"/>
  <c r="K85" i="27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L83" i="27"/>
  <c r="K83" i="27"/>
  <c r="H83" i="27"/>
  <c r="I83" i="27" s="1"/>
  <c r="E83" i="27"/>
  <c r="F83" i="27" s="1"/>
  <c r="O82" i="27"/>
  <c r="N82" i="27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O79" i="27"/>
  <c r="N79" i="27"/>
  <c r="L79" i="27"/>
  <c r="K79" i="27"/>
  <c r="H79" i="27"/>
  <c r="I79" i="27" s="1"/>
  <c r="E79" i="27"/>
  <c r="F79" i="27" s="1"/>
  <c r="O78" i="27"/>
  <c r="N78" i="27"/>
  <c r="K78" i="27"/>
  <c r="L78" i="27" s="1"/>
  <c r="I78" i="27"/>
  <c r="H78" i="27"/>
  <c r="E78" i="27"/>
  <c r="F78" i="27" s="1"/>
  <c r="O77" i="27"/>
  <c r="N77" i="27"/>
  <c r="L77" i="27"/>
  <c r="K77" i="27"/>
  <c r="H77" i="27"/>
  <c r="I77" i="27" s="1"/>
  <c r="E77" i="27"/>
  <c r="F77" i="27" s="1"/>
  <c r="O76" i="27"/>
  <c r="N76" i="27"/>
  <c r="L76" i="27"/>
  <c r="K76" i="27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O74" i="27"/>
  <c r="N74" i="27"/>
  <c r="L74" i="27"/>
  <c r="K74" i="27"/>
  <c r="I74" i="27"/>
  <c r="H74" i="27"/>
  <c r="E74" i="27"/>
  <c r="F74" i="27" s="1"/>
  <c r="N73" i="27"/>
  <c r="O73" i="27" s="1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O71" i="27"/>
  <c r="N71" i="27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H63" i="27"/>
  <c r="I63" i="27" s="1"/>
  <c r="E63" i="27"/>
  <c r="F63" i="27" s="1"/>
  <c r="N62" i="27"/>
  <c r="O62" i="27" s="1"/>
  <c r="L62" i="27"/>
  <c r="K62" i="27"/>
  <c r="I62" i="27"/>
  <c r="H62" i="27"/>
  <c r="E62" i="27"/>
  <c r="F62" i="27" s="1"/>
  <c r="O61" i="27"/>
  <c r="N61" i="27"/>
  <c r="K61" i="27"/>
  <c r="L61" i="27" s="1"/>
  <c r="H61" i="27"/>
  <c r="I61" i="27" s="1"/>
  <c r="E61" i="27"/>
  <c r="F61" i="27" s="1"/>
  <c r="N60" i="27"/>
  <c r="O60" i="27" s="1"/>
  <c r="K60" i="27"/>
  <c r="L60" i="27" s="1"/>
  <c r="H60" i="27"/>
  <c r="I60" i="27" s="1"/>
  <c r="E60" i="27"/>
  <c r="F60" i="27" s="1"/>
  <c r="N59" i="27"/>
  <c r="O59" i="27" s="1"/>
  <c r="K59" i="27"/>
  <c r="L59" i="27" s="1"/>
  <c r="H59" i="27"/>
  <c r="I59" i="27" s="1"/>
  <c r="E59" i="27"/>
  <c r="F59" i="27" s="1"/>
  <c r="N58" i="27"/>
  <c r="O58" i="27" s="1"/>
  <c r="K58" i="27"/>
  <c r="L58" i="27" s="1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H55" i="27"/>
  <c r="I55" i="27" s="1"/>
  <c r="E55" i="27"/>
  <c r="F55" i="27" s="1"/>
  <c r="N54" i="27"/>
  <c r="O54" i="27" s="1"/>
  <c r="L54" i="27"/>
  <c r="K54" i="27"/>
  <c r="I54" i="27"/>
  <c r="H54" i="27"/>
  <c r="E54" i="27"/>
  <c r="F54" i="27" s="1"/>
  <c r="N53" i="27"/>
  <c r="O53" i="27" s="1"/>
  <c r="K53" i="27"/>
  <c r="L53" i="27" s="1"/>
  <c r="H53" i="27"/>
  <c r="I53" i="27" s="1"/>
  <c r="E53" i="27"/>
  <c r="F53" i="27" s="1"/>
  <c r="N52" i="27"/>
  <c r="O52" i="27" s="1"/>
  <c r="K52" i="27"/>
  <c r="L52" i="27" s="1"/>
  <c r="H52" i="27"/>
  <c r="I52" i="27" s="1"/>
  <c r="E52" i="27"/>
  <c r="F52" i="27" s="1"/>
  <c r="O51" i="27"/>
  <c r="N51" i="27"/>
  <c r="K51" i="27"/>
  <c r="L51" i="27" s="1"/>
  <c r="H51" i="27"/>
  <c r="I51" i="27" s="1"/>
  <c r="E51" i="27"/>
  <c r="F51" i="27" s="1"/>
  <c r="N50" i="27"/>
  <c r="O50" i="27" s="1"/>
  <c r="K50" i="27"/>
  <c r="L50" i="27" s="1"/>
  <c r="I50" i="27"/>
  <c r="H50" i="27"/>
  <c r="E50" i="27"/>
  <c r="F50" i="27" s="1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H48" i="27"/>
  <c r="I48" i="27" s="1"/>
  <c r="E48" i="27"/>
  <c r="F48" i="27" s="1"/>
  <c r="N47" i="27"/>
  <c r="O47" i="27" s="1"/>
  <c r="L47" i="27"/>
  <c r="K47" i="27"/>
  <c r="H47" i="27"/>
  <c r="I47" i="27" s="1"/>
  <c r="E47" i="27"/>
  <c r="F47" i="27" s="1"/>
  <c r="N46" i="27"/>
  <c r="O46" i="27" s="1"/>
  <c r="L46" i="27"/>
  <c r="K46" i="27"/>
  <c r="I46" i="27"/>
  <c r="H46" i="27"/>
  <c r="E46" i="27"/>
  <c r="F46" i="27" s="1"/>
  <c r="O45" i="27"/>
  <c r="N45" i="27"/>
  <c r="K45" i="27"/>
  <c r="L45" i="27" s="1"/>
  <c r="H45" i="27"/>
  <c r="I45" i="27" s="1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O196" i="26"/>
  <c r="N196" i="26"/>
  <c r="K196" i="26"/>
  <c r="L196" i="26" s="1"/>
  <c r="H196" i="26"/>
  <c r="I196" i="26" s="1"/>
  <c r="F196" i="26"/>
  <c r="E196" i="26"/>
  <c r="N195" i="26"/>
  <c r="O195" i="26" s="1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O188" i="26"/>
  <c r="N188" i="26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O186" i="26"/>
  <c r="N186" i="26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L163" i="26"/>
  <c r="K163" i="26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O158" i="26"/>
  <c r="N158" i="26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O156" i="26"/>
  <c r="N156" i="26"/>
  <c r="K156" i="26"/>
  <c r="L156" i="26" s="1"/>
  <c r="H156" i="26"/>
  <c r="I156" i="26" s="1"/>
  <c r="F156" i="26"/>
  <c r="E156" i="26"/>
  <c r="N155" i="26"/>
  <c r="O155" i="26" s="1"/>
  <c r="L155" i="26"/>
  <c r="K155" i="26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N144" i="26"/>
  <c r="O144" i="26" s="1"/>
  <c r="L144" i="26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K138" i="26"/>
  <c r="L138" i="26" s="1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O135" i="26"/>
  <c r="N135" i="26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O126" i="26"/>
  <c r="N126" i="26"/>
  <c r="K126" i="26"/>
  <c r="L126" i="26" s="1"/>
  <c r="H126" i="26"/>
  <c r="I126" i="26" s="1"/>
  <c r="F126" i="26"/>
  <c r="E126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O109" i="26"/>
  <c r="N109" i="26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O104" i="26"/>
  <c r="N104" i="26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O102" i="26"/>
  <c r="N102" i="26"/>
  <c r="L102" i="26"/>
  <c r="K102" i="26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L86" i="26"/>
  <c r="K86" i="26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L82" i="26"/>
  <c r="K82" i="26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L78" i="26"/>
  <c r="K78" i="26"/>
  <c r="H78" i="26"/>
  <c r="I78" i="26" s="1"/>
  <c r="F78" i="26"/>
  <c r="E78" i="26"/>
  <c r="O77" i="26"/>
  <c r="N77" i="26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O75" i="26"/>
  <c r="N75" i="26"/>
  <c r="L75" i="26"/>
  <c r="K75" i="26"/>
  <c r="H75" i="26"/>
  <c r="I75" i="26" s="1"/>
  <c r="F75" i="26"/>
  <c r="E75" i="26"/>
  <c r="N74" i="26"/>
  <c r="O74" i="26" s="1"/>
  <c r="L74" i="26"/>
  <c r="K74" i="26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L63" i="26"/>
  <c r="K63" i="26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L59" i="26"/>
  <c r="K59" i="26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L55" i="26"/>
  <c r="K55" i="26"/>
  <c r="H55" i="26"/>
  <c r="I55" i="26" s="1"/>
  <c r="F55" i="26"/>
  <c r="E55" i="26"/>
  <c r="O54" i="26"/>
  <c r="N54" i="26"/>
  <c r="K54" i="26"/>
  <c r="L54" i="26" s="1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L51" i="26"/>
  <c r="K51" i="26"/>
  <c r="H51" i="26"/>
  <c r="I51" i="26" s="1"/>
  <c r="F51" i="26"/>
  <c r="E51" i="26"/>
  <c r="N50" i="26"/>
  <c r="O50" i="26" s="1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L47" i="26"/>
  <c r="K47" i="26"/>
  <c r="H47" i="26"/>
  <c r="I47" i="26" s="1"/>
  <c r="F47" i="26"/>
  <c r="E47" i="26"/>
  <c r="O46" i="26"/>
  <c r="N46" i="26"/>
  <c r="K46" i="26"/>
  <c r="L46" i="26" s="1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N168" i="25"/>
  <c r="O168" i="25" s="1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O166" i="25"/>
  <c r="N166" i="25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O164" i="25"/>
  <c r="N164" i="25"/>
  <c r="K164" i="25"/>
  <c r="L164" i="25" s="1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O158" i="25"/>
  <c r="N158" i="25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O156" i="25"/>
  <c r="N156" i="25"/>
  <c r="K156" i="25"/>
  <c r="L156" i="25" s="1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L144" i="25"/>
  <c r="K144" i="25"/>
  <c r="H144" i="25"/>
  <c r="I144" i="25" s="1"/>
  <c r="E144" i="25"/>
  <c r="F144" i="25" s="1"/>
  <c r="N143" i="25"/>
  <c r="O143" i="25" s="1"/>
  <c r="K143" i="25"/>
  <c r="L143" i="25" s="1"/>
  <c r="H143" i="25"/>
  <c r="I143" i="25" s="1"/>
  <c r="E143" i="25"/>
  <c r="F143" i="25" s="1"/>
  <c r="N142" i="25"/>
  <c r="O142" i="25" s="1"/>
  <c r="L142" i="25"/>
  <c r="K142" i="25"/>
  <c r="I142" i="25"/>
  <c r="H142" i="25"/>
  <c r="E142" i="25"/>
  <c r="F142" i="25" s="1"/>
  <c r="N141" i="25"/>
  <c r="O141" i="25" s="1"/>
  <c r="K141" i="25"/>
  <c r="L141" i="25" s="1"/>
  <c r="H141" i="25"/>
  <c r="I141" i="25" s="1"/>
  <c r="E141" i="25"/>
  <c r="F141" i="25" s="1"/>
  <c r="N140" i="25"/>
  <c r="O140" i="25" s="1"/>
  <c r="L140" i="25"/>
  <c r="K140" i="25"/>
  <c r="H140" i="25"/>
  <c r="I140" i="25" s="1"/>
  <c r="E140" i="25"/>
  <c r="F140" i="25" s="1"/>
  <c r="O139" i="25"/>
  <c r="N139" i="25"/>
  <c r="K139" i="25"/>
  <c r="L139" i="25" s="1"/>
  <c r="H139" i="25"/>
  <c r="I139" i="25" s="1"/>
  <c r="E139" i="25"/>
  <c r="F139" i="25" s="1"/>
  <c r="N138" i="25"/>
  <c r="O138" i="25" s="1"/>
  <c r="L138" i="25"/>
  <c r="K138" i="25"/>
  <c r="I138" i="25"/>
  <c r="H138" i="25"/>
  <c r="E138" i="25"/>
  <c r="F138" i="25" s="1"/>
  <c r="O137" i="25"/>
  <c r="N137" i="25"/>
  <c r="L137" i="25"/>
  <c r="K137" i="25"/>
  <c r="H137" i="25"/>
  <c r="I137" i="25" s="1"/>
  <c r="E137" i="25"/>
  <c r="F137" i="25" s="1"/>
  <c r="N136" i="25"/>
  <c r="O136" i="25" s="1"/>
  <c r="K136" i="25"/>
  <c r="L136" i="25" s="1"/>
  <c r="H136" i="25"/>
  <c r="I136" i="25" s="1"/>
  <c r="E136" i="25"/>
  <c r="F136" i="25" s="1"/>
  <c r="N135" i="25"/>
  <c r="O135" i="25" s="1"/>
  <c r="L135" i="25"/>
  <c r="K135" i="25"/>
  <c r="H135" i="25"/>
  <c r="I135" i="25" s="1"/>
  <c r="E135" i="25"/>
  <c r="F135" i="25" s="1"/>
  <c r="N134" i="25"/>
  <c r="O134" i="25" s="1"/>
  <c r="K134" i="25"/>
  <c r="L134" i="25" s="1"/>
  <c r="I134" i="25"/>
  <c r="H134" i="25"/>
  <c r="E134" i="25"/>
  <c r="F134" i="25" s="1"/>
  <c r="N133" i="25"/>
  <c r="O133" i="25" s="1"/>
  <c r="L133" i="25"/>
  <c r="K133" i="25"/>
  <c r="H133" i="25"/>
  <c r="I133" i="25" s="1"/>
  <c r="E133" i="25"/>
  <c r="F133" i="25" s="1"/>
  <c r="N132" i="25"/>
  <c r="O132" i="25" s="1"/>
  <c r="K132" i="25"/>
  <c r="L132" i="25" s="1"/>
  <c r="H132" i="25"/>
  <c r="I132" i="25" s="1"/>
  <c r="E132" i="25"/>
  <c r="F132" i="25" s="1"/>
  <c r="N131" i="25"/>
  <c r="O131" i="25" s="1"/>
  <c r="L131" i="25"/>
  <c r="K131" i="25"/>
  <c r="H131" i="25"/>
  <c r="I131" i="25" s="1"/>
  <c r="E131" i="25"/>
  <c r="F131" i="25" s="1"/>
  <c r="O130" i="25"/>
  <c r="N130" i="25"/>
  <c r="K130" i="25"/>
  <c r="L130" i="25" s="1"/>
  <c r="I130" i="25"/>
  <c r="H130" i="25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H128" i="25"/>
  <c r="I128" i="25" s="1"/>
  <c r="E128" i="25"/>
  <c r="F128" i="25" s="1"/>
  <c r="N127" i="25"/>
  <c r="O127" i="25" s="1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L125" i="25"/>
  <c r="K125" i="25"/>
  <c r="H125" i="25"/>
  <c r="F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O116" i="25"/>
  <c r="N116" i="25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O114" i="25"/>
  <c r="N114" i="25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I112" i="25"/>
  <c r="H112" i="25"/>
  <c r="E112" i="25"/>
  <c r="F112" i="25" s="1"/>
  <c r="O111" i="25"/>
  <c r="N111" i="25"/>
  <c r="K111" i="25"/>
  <c r="L111" i="25" s="1"/>
  <c r="H111" i="25"/>
  <c r="I111" i="25" s="1"/>
  <c r="E111" i="25"/>
  <c r="F111" i="25" s="1"/>
  <c r="N110" i="25"/>
  <c r="O110" i="25" s="1"/>
  <c r="K110" i="25"/>
  <c r="L110" i="25" s="1"/>
  <c r="H110" i="25"/>
  <c r="I110" i="25" s="1"/>
  <c r="E110" i="25"/>
  <c r="F110" i="25" s="1"/>
  <c r="O109" i="25"/>
  <c r="N109" i="25"/>
  <c r="K109" i="25"/>
  <c r="L109" i="25" s="1"/>
  <c r="H109" i="25"/>
  <c r="I109" i="25" s="1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K107" i="25"/>
  <c r="L107" i="25" s="1"/>
  <c r="H107" i="25"/>
  <c r="I107" i="25" s="1"/>
  <c r="E107" i="25"/>
  <c r="F107" i="25" s="1"/>
  <c r="O106" i="25"/>
  <c r="N106" i="25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L104" i="25"/>
  <c r="K104" i="25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O101" i="25"/>
  <c r="N101" i="25"/>
  <c r="K101" i="25"/>
  <c r="L101" i="25" s="1"/>
  <c r="H101" i="25"/>
  <c r="I101" i="25" s="1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E90" i="25"/>
  <c r="F90" i="25" s="1"/>
  <c r="O89" i="25"/>
  <c r="N89" i="25"/>
  <c r="K89" i="25"/>
  <c r="L89" i="25" s="1"/>
  <c r="I89" i="25"/>
  <c r="H89" i="25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N86" i="25"/>
  <c r="O86" i="25" s="1"/>
  <c r="K86" i="25"/>
  <c r="L86" i="25" s="1"/>
  <c r="H86" i="25"/>
  <c r="I86" i="25" s="1"/>
  <c r="E86" i="25"/>
  <c r="F86" i="25" s="1"/>
  <c r="N85" i="25"/>
  <c r="O85" i="25" s="1"/>
  <c r="L85" i="25"/>
  <c r="K85" i="25"/>
  <c r="I85" i="25"/>
  <c r="H85" i="25"/>
  <c r="E85" i="25"/>
  <c r="F85" i="25" s="1"/>
  <c r="N84" i="25"/>
  <c r="O84" i="25" s="1"/>
  <c r="K84" i="25"/>
  <c r="L84" i="25" s="1"/>
  <c r="H84" i="25"/>
  <c r="I84" i="25" s="1"/>
  <c r="E84" i="25"/>
  <c r="F84" i="25" s="1"/>
  <c r="N83" i="25"/>
  <c r="O83" i="25" s="1"/>
  <c r="L83" i="25"/>
  <c r="K83" i="25"/>
  <c r="I83" i="25"/>
  <c r="H83" i="25"/>
  <c r="E83" i="25"/>
  <c r="F83" i="25" s="1"/>
  <c r="N82" i="25"/>
  <c r="O82" i="25" s="1"/>
  <c r="L82" i="25"/>
  <c r="K82" i="25"/>
  <c r="I82" i="25"/>
  <c r="H82" i="25"/>
  <c r="E82" i="25"/>
  <c r="F82" i="25" s="1"/>
  <c r="O81" i="25"/>
  <c r="N81" i="25"/>
  <c r="K81" i="25"/>
  <c r="L81" i="25" s="1"/>
  <c r="I81" i="25"/>
  <c r="H81" i="25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L79" i="25"/>
  <c r="K79" i="25"/>
  <c r="H79" i="25"/>
  <c r="I79" i="25" s="1"/>
  <c r="E79" i="25"/>
  <c r="F79" i="25" s="1"/>
  <c r="N78" i="25"/>
  <c r="O78" i="25" s="1"/>
  <c r="K78" i="25"/>
  <c r="L78" i="25" s="1"/>
  <c r="H78" i="25"/>
  <c r="I78" i="25" s="1"/>
  <c r="E78" i="25"/>
  <c r="F78" i="25" s="1"/>
  <c r="O77" i="25"/>
  <c r="N77" i="25"/>
  <c r="L77" i="25"/>
  <c r="K77" i="25"/>
  <c r="I77" i="25"/>
  <c r="H77" i="25"/>
  <c r="E77" i="25"/>
  <c r="F77" i="25" s="1"/>
  <c r="N76" i="25"/>
  <c r="O76" i="25" s="1"/>
  <c r="K76" i="25"/>
  <c r="L76" i="25" s="1"/>
  <c r="H76" i="25"/>
  <c r="I76" i="25" s="1"/>
  <c r="E76" i="25"/>
  <c r="F76" i="25" s="1"/>
  <c r="O75" i="25"/>
  <c r="N75" i="25"/>
  <c r="L75" i="25"/>
  <c r="K75" i="25"/>
  <c r="I75" i="25"/>
  <c r="H75" i="25"/>
  <c r="E75" i="25"/>
  <c r="F75" i="25" s="1"/>
  <c r="N74" i="25"/>
  <c r="O74" i="25" s="1"/>
  <c r="L74" i="25"/>
  <c r="K74" i="25"/>
  <c r="H74" i="25"/>
  <c r="I74" i="25" s="1"/>
  <c r="E74" i="25"/>
  <c r="F74" i="25" s="1"/>
  <c r="N73" i="25"/>
  <c r="O73" i="25" s="1"/>
  <c r="K73" i="25"/>
  <c r="L73" i="25" s="1"/>
  <c r="I73" i="25"/>
  <c r="H73" i="25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K71" i="25"/>
  <c r="K91" i="25" s="1"/>
  <c r="I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K63" i="25"/>
  <c r="L63" i="25" s="1"/>
  <c r="I63" i="25"/>
  <c r="H63" i="25"/>
  <c r="F63" i="25"/>
  <c r="E63" i="25"/>
  <c r="N62" i="25"/>
  <c r="O62" i="25" s="1"/>
  <c r="K62" i="25"/>
  <c r="L62" i="25" s="1"/>
  <c r="I62" i="25"/>
  <c r="H62" i="25"/>
  <c r="F62" i="25"/>
  <c r="E62" i="25"/>
  <c r="N61" i="25"/>
  <c r="O61" i="25" s="1"/>
  <c r="K61" i="25"/>
  <c r="L61" i="25" s="1"/>
  <c r="I61" i="25"/>
  <c r="H61" i="25"/>
  <c r="F61" i="25"/>
  <c r="E61" i="25"/>
  <c r="O60" i="25"/>
  <c r="N60" i="25"/>
  <c r="K60" i="25"/>
  <c r="L60" i="25" s="1"/>
  <c r="I60" i="25"/>
  <c r="H60" i="25"/>
  <c r="F60" i="25"/>
  <c r="E60" i="25"/>
  <c r="O59" i="25"/>
  <c r="N59" i="25"/>
  <c r="K59" i="25"/>
  <c r="L59" i="25" s="1"/>
  <c r="I59" i="25"/>
  <c r="H59" i="25"/>
  <c r="F59" i="25"/>
  <c r="E59" i="25"/>
  <c r="N58" i="25"/>
  <c r="O58" i="25" s="1"/>
  <c r="K58" i="25"/>
  <c r="L58" i="25" s="1"/>
  <c r="I58" i="25"/>
  <c r="H58" i="25"/>
  <c r="F58" i="25"/>
  <c r="E58" i="25"/>
  <c r="N57" i="25"/>
  <c r="O57" i="25" s="1"/>
  <c r="K57" i="25"/>
  <c r="L57" i="25" s="1"/>
  <c r="I57" i="25"/>
  <c r="H57" i="25"/>
  <c r="F57" i="25"/>
  <c r="E57" i="25"/>
  <c r="O56" i="25"/>
  <c r="N56" i="25"/>
  <c r="K56" i="25"/>
  <c r="L56" i="25" s="1"/>
  <c r="I56" i="25"/>
  <c r="H56" i="25"/>
  <c r="F56" i="25"/>
  <c r="E56" i="25"/>
  <c r="O55" i="25"/>
  <c r="N55" i="25"/>
  <c r="K55" i="25"/>
  <c r="L55" i="25" s="1"/>
  <c r="I55" i="25"/>
  <c r="H55" i="25"/>
  <c r="F55" i="25"/>
  <c r="E55" i="25"/>
  <c r="N54" i="25"/>
  <c r="O54" i="25" s="1"/>
  <c r="K54" i="25"/>
  <c r="L54" i="25" s="1"/>
  <c r="I54" i="25"/>
  <c r="H54" i="25"/>
  <c r="F54" i="25"/>
  <c r="E54" i="25"/>
  <c r="N53" i="25"/>
  <c r="O53" i="25" s="1"/>
  <c r="K53" i="25"/>
  <c r="L53" i="25" s="1"/>
  <c r="I53" i="25"/>
  <c r="H53" i="25"/>
  <c r="F53" i="25"/>
  <c r="E53" i="25"/>
  <c r="N52" i="25"/>
  <c r="O52" i="25" s="1"/>
  <c r="K52" i="25"/>
  <c r="L52" i="25" s="1"/>
  <c r="I52" i="25"/>
  <c r="H52" i="25"/>
  <c r="F52" i="25"/>
  <c r="E52" i="25"/>
  <c r="O51" i="25"/>
  <c r="N51" i="25"/>
  <c r="K51" i="25"/>
  <c r="L51" i="25" s="1"/>
  <c r="I51" i="25"/>
  <c r="H51" i="25"/>
  <c r="F51" i="25"/>
  <c r="E51" i="25"/>
  <c r="N50" i="25"/>
  <c r="O50" i="25" s="1"/>
  <c r="K50" i="25"/>
  <c r="L50" i="25" s="1"/>
  <c r="I50" i="25"/>
  <c r="H50" i="25"/>
  <c r="F50" i="25"/>
  <c r="E50" i="25"/>
  <c r="N49" i="25"/>
  <c r="O49" i="25" s="1"/>
  <c r="K49" i="25"/>
  <c r="L49" i="25" s="1"/>
  <c r="I49" i="25"/>
  <c r="H49" i="25"/>
  <c r="F49" i="25"/>
  <c r="E49" i="25"/>
  <c r="N48" i="25"/>
  <c r="O48" i="25" s="1"/>
  <c r="K48" i="25"/>
  <c r="L48" i="25" s="1"/>
  <c r="I48" i="25"/>
  <c r="H48" i="25"/>
  <c r="F48" i="25"/>
  <c r="E48" i="25"/>
  <c r="O47" i="25"/>
  <c r="N47" i="25"/>
  <c r="K47" i="25"/>
  <c r="L47" i="25" s="1"/>
  <c r="I47" i="25"/>
  <c r="H47" i="25"/>
  <c r="F47" i="25"/>
  <c r="E47" i="25"/>
  <c r="N46" i="25"/>
  <c r="O46" i="25" s="1"/>
  <c r="K46" i="25"/>
  <c r="L46" i="25" s="1"/>
  <c r="I46" i="25"/>
  <c r="H46" i="25"/>
  <c r="F46" i="25"/>
  <c r="E46" i="25"/>
  <c r="N45" i="25"/>
  <c r="O45" i="25" s="1"/>
  <c r="K45" i="25"/>
  <c r="L45" i="25" s="1"/>
  <c r="I45" i="25"/>
  <c r="H45" i="25"/>
  <c r="F45" i="25"/>
  <c r="E45" i="25"/>
  <c r="N44" i="25"/>
  <c r="K44" i="25"/>
  <c r="K64" i="25" s="1"/>
  <c r="I44" i="25"/>
  <c r="I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O197" i="24"/>
  <c r="N197" i="24"/>
  <c r="K197" i="24"/>
  <c r="L197" i="24" s="1"/>
  <c r="I197" i="24"/>
  <c r="H197" i="24"/>
  <c r="E197" i="24"/>
  <c r="F197" i="24" s="1"/>
  <c r="N196" i="24"/>
  <c r="O196" i="24" s="1"/>
  <c r="K196" i="24"/>
  <c r="L196" i="24" s="1"/>
  <c r="I196" i="24"/>
  <c r="H196" i="24"/>
  <c r="E196" i="24"/>
  <c r="F196" i="24" s="1"/>
  <c r="O195" i="24"/>
  <c r="N195" i="24"/>
  <c r="L195" i="24"/>
  <c r="K195" i="24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L193" i="24"/>
  <c r="K193" i="24"/>
  <c r="I193" i="24"/>
  <c r="H193" i="24"/>
  <c r="E193" i="24"/>
  <c r="F193" i="24" s="1"/>
  <c r="N192" i="24"/>
  <c r="O192" i="24" s="1"/>
  <c r="K192" i="24"/>
  <c r="L192" i="24" s="1"/>
  <c r="I192" i="24"/>
  <c r="H192" i="24"/>
  <c r="E192" i="24"/>
  <c r="F192" i="24" s="1"/>
  <c r="O191" i="24"/>
  <c r="N191" i="24"/>
  <c r="K191" i="24"/>
  <c r="L191" i="24" s="1"/>
  <c r="H191" i="24"/>
  <c r="I191" i="24" s="1"/>
  <c r="E191" i="24"/>
  <c r="F191" i="24" s="1"/>
  <c r="N190" i="24"/>
  <c r="O190" i="24" s="1"/>
  <c r="L190" i="24"/>
  <c r="K190" i="24"/>
  <c r="H190" i="24"/>
  <c r="I190" i="24" s="1"/>
  <c r="E190" i="24"/>
  <c r="F190" i="24" s="1"/>
  <c r="N189" i="24"/>
  <c r="O189" i="24" s="1"/>
  <c r="K189" i="24"/>
  <c r="L189" i="24" s="1"/>
  <c r="I189" i="24"/>
  <c r="H189" i="24"/>
  <c r="E189" i="24"/>
  <c r="F189" i="24" s="1"/>
  <c r="N188" i="24"/>
  <c r="O188" i="24" s="1"/>
  <c r="K188" i="24"/>
  <c r="L188" i="24" s="1"/>
  <c r="I188" i="24"/>
  <c r="H188" i="24"/>
  <c r="E188" i="24"/>
  <c r="F188" i="24" s="1"/>
  <c r="N187" i="24"/>
  <c r="O187" i="24" s="1"/>
  <c r="L187" i="24"/>
  <c r="K187" i="24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N185" i="24"/>
  <c r="O185" i="24" s="1"/>
  <c r="L185" i="24"/>
  <c r="K185" i="24"/>
  <c r="I185" i="24"/>
  <c r="H185" i="24"/>
  <c r="E185" i="24"/>
  <c r="F185" i="24" s="1"/>
  <c r="N184" i="24"/>
  <c r="O184" i="24" s="1"/>
  <c r="K184" i="24"/>
  <c r="L184" i="24" s="1"/>
  <c r="I184" i="24"/>
  <c r="H184" i="24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L182" i="24"/>
  <c r="K182" i="24"/>
  <c r="H182" i="24"/>
  <c r="I182" i="24" s="1"/>
  <c r="E182" i="24"/>
  <c r="F182" i="24" s="1"/>
  <c r="N181" i="24"/>
  <c r="O181" i="24" s="1"/>
  <c r="K181" i="24"/>
  <c r="L181" i="24" s="1"/>
  <c r="I181" i="24"/>
  <c r="H181" i="24"/>
  <c r="E181" i="24"/>
  <c r="F181" i="24" s="1"/>
  <c r="O180" i="24"/>
  <c r="N180" i="24"/>
  <c r="K180" i="24"/>
  <c r="L180" i="24" s="1"/>
  <c r="I180" i="24"/>
  <c r="H180" i="24"/>
  <c r="E180" i="24"/>
  <c r="F180" i="24" s="1"/>
  <c r="N179" i="24"/>
  <c r="O179" i="24" s="1"/>
  <c r="L179" i="24"/>
  <c r="K179" i="24"/>
  <c r="H179" i="24"/>
  <c r="H199" i="24" s="1"/>
  <c r="E179" i="24"/>
  <c r="M177" i="24"/>
  <c r="J177" i="24"/>
  <c r="G177" i="24"/>
  <c r="D177" i="24"/>
  <c r="B177" i="24"/>
  <c r="M176" i="24"/>
  <c r="G176" i="24"/>
  <c r="B172" i="24"/>
  <c r="F155" i="24" s="1"/>
  <c r="O171" i="24"/>
  <c r="N171" i="24"/>
  <c r="K171" i="24"/>
  <c r="L171" i="24" s="1"/>
  <c r="I171" i="24"/>
  <c r="H171" i="24"/>
  <c r="E171" i="24"/>
  <c r="O170" i="24"/>
  <c r="N170" i="24"/>
  <c r="K170" i="24"/>
  <c r="L170" i="24" s="1"/>
  <c r="H170" i="24"/>
  <c r="I170" i="24" s="1"/>
  <c r="E170" i="24"/>
  <c r="N169" i="24"/>
  <c r="O169" i="24" s="1"/>
  <c r="K169" i="24"/>
  <c r="L169" i="24" s="1"/>
  <c r="I169" i="24"/>
  <c r="H169" i="24"/>
  <c r="E169" i="24"/>
  <c r="N168" i="24"/>
  <c r="O168" i="24" s="1"/>
  <c r="K168" i="24"/>
  <c r="L168" i="24" s="1"/>
  <c r="H168" i="24"/>
  <c r="I168" i="24" s="1"/>
  <c r="E168" i="24"/>
  <c r="O167" i="24"/>
  <c r="N167" i="24"/>
  <c r="L167" i="24"/>
  <c r="K167" i="24"/>
  <c r="I167" i="24"/>
  <c r="H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L165" i="24" s="1"/>
  <c r="I165" i="24"/>
  <c r="H165" i="24"/>
  <c r="E165" i="24"/>
  <c r="O164" i="24"/>
  <c r="N164" i="24"/>
  <c r="L164" i="24"/>
  <c r="K164" i="24"/>
  <c r="H164" i="24"/>
  <c r="I164" i="24" s="1"/>
  <c r="E164" i="24"/>
  <c r="O163" i="24"/>
  <c r="N163" i="24"/>
  <c r="K163" i="24"/>
  <c r="L163" i="24" s="1"/>
  <c r="I163" i="24"/>
  <c r="H163" i="24"/>
  <c r="E163" i="24"/>
  <c r="O162" i="24"/>
  <c r="N162" i="24"/>
  <c r="K162" i="24"/>
  <c r="L162" i="24" s="1"/>
  <c r="H162" i="24"/>
  <c r="I162" i="24" s="1"/>
  <c r="E162" i="24"/>
  <c r="N161" i="24"/>
  <c r="O161" i="24" s="1"/>
  <c r="K161" i="24"/>
  <c r="L161" i="24" s="1"/>
  <c r="I161" i="24"/>
  <c r="H161" i="24"/>
  <c r="E161" i="24"/>
  <c r="N160" i="24"/>
  <c r="O160" i="24" s="1"/>
  <c r="K160" i="24"/>
  <c r="L160" i="24" s="1"/>
  <c r="H160" i="24"/>
  <c r="I160" i="24" s="1"/>
  <c r="E160" i="24"/>
  <c r="O159" i="24"/>
  <c r="N159" i="24"/>
  <c r="L159" i="24"/>
  <c r="K159" i="24"/>
  <c r="I159" i="24"/>
  <c r="H159" i="24"/>
  <c r="E159" i="24"/>
  <c r="N158" i="24"/>
  <c r="O158" i="24" s="1"/>
  <c r="K158" i="24"/>
  <c r="L158" i="24" s="1"/>
  <c r="H158" i="24"/>
  <c r="I158" i="24" s="1"/>
  <c r="E158" i="24"/>
  <c r="O157" i="24"/>
  <c r="N157" i="24"/>
  <c r="K157" i="24"/>
  <c r="L157" i="24" s="1"/>
  <c r="I157" i="24"/>
  <c r="H157" i="24"/>
  <c r="E157" i="24"/>
  <c r="O156" i="24"/>
  <c r="N156" i="24"/>
  <c r="L156" i="24"/>
  <c r="K156" i="24"/>
  <c r="H156" i="24"/>
  <c r="I156" i="24" s="1"/>
  <c r="E156" i="24"/>
  <c r="O155" i="24"/>
  <c r="N155" i="24"/>
  <c r="K155" i="24"/>
  <c r="L155" i="24" s="1"/>
  <c r="I155" i="24"/>
  <c r="H155" i="24"/>
  <c r="E155" i="24"/>
  <c r="O154" i="24"/>
  <c r="N154" i="24"/>
  <c r="K154" i="24"/>
  <c r="L154" i="24" s="1"/>
  <c r="H154" i="24"/>
  <c r="I154" i="24" s="1"/>
  <c r="E154" i="24"/>
  <c r="N153" i="24"/>
  <c r="O153" i="24" s="1"/>
  <c r="K153" i="24"/>
  <c r="L153" i="24" s="1"/>
  <c r="I153" i="24"/>
  <c r="H153" i="24"/>
  <c r="E153" i="24"/>
  <c r="N152" i="24"/>
  <c r="K152" i="24"/>
  <c r="H152" i="24"/>
  <c r="H172" i="24" s="1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I144" i="24"/>
  <c r="H144" i="24"/>
  <c r="E144" i="24"/>
  <c r="F144" i="24" s="1"/>
  <c r="N143" i="24"/>
  <c r="O143" i="24" s="1"/>
  <c r="K143" i="24"/>
  <c r="L143" i="24" s="1"/>
  <c r="H143" i="24"/>
  <c r="I143" i="24" s="1"/>
  <c r="E143" i="24"/>
  <c r="N142" i="24"/>
  <c r="O142" i="24" s="1"/>
  <c r="L142" i="24"/>
  <c r="K142" i="24"/>
  <c r="I142" i="24"/>
  <c r="H142" i="24"/>
  <c r="E142" i="24"/>
  <c r="F142" i="24" s="1"/>
  <c r="N141" i="24"/>
  <c r="O141" i="24" s="1"/>
  <c r="L141" i="24"/>
  <c r="K141" i="24"/>
  <c r="H141" i="24"/>
  <c r="I141" i="24" s="1"/>
  <c r="E141" i="24"/>
  <c r="F141" i="24" s="1"/>
  <c r="N140" i="24"/>
  <c r="O140" i="24" s="1"/>
  <c r="K140" i="24"/>
  <c r="L140" i="24" s="1"/>
  <c r="I140" i="24"/>
  <c r="H140" i="24"/>
  <c r="E140" i="24"/>
  <c r="F140" i="24" s="1"/>
  <c r="N139" i="24"/>
  <c r="O139" i="24" s="1"/>
  <c r="K139" i="24"/>
  <c r="L139" i="24" s="1"/>
  <c r="H139" i="24"/>
  <c r="I139" i="24" s="1"/>
  <c r="E139" i="24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H137" i="24"/>
  <c r="I137" i="24" s="1"/>
  <c r="E137" i="24"/>
  <c r="F137" i="24" s="1"/>
  <c r="N136" i="24"/>
  <c r="O136" i="24" s="1"/>
  <c r="L136" i="24"/>
  <c r="K136" i="24"/>
  <c r="I136" i="24"/>
  <c r="H136" i="24"/>
  <c r="E136" i="24"/>
  <c r="F136" i="24" s="1"/>
  <c r="N135" i="24"/>
  <c r="O135" i="24" s="1"/>
  <c r="K135" i="24"/>
  <c r="L135" i="24" s="1"/>
  <c r="H135" i="24"/>
  <c r="I135" i="24" s="1"/>
  <c r="E135" i="24"/>
  <c r="N134" i="24"/>
  <c r="O134" i="24" s="1"/>
  <c r="K134" i="24"/>
  <c r="L134" i="24" s="1"/>
  <c r="I134" i="24"/>
  <c r="H134" i="24"/>
  <c r="E134" i="24"/>
  <c r="F134" i="24" s="1"/>
  <c r="O133" i="24"/>
  <c r="N133" i="24"/>
  <c r="L133" i="24"/>
  <c r="K133" i="24"/>
  <c r="H133" i="24"/>
  <c r="I133" i="24" s="1"/>
  <c r="E133" i="24"/>
  <c r="F133" i="24" s="1"/>
  <c r="N132" i="24"/>
  <c r="O132" i="24" s="1"/>
  <c r="K132" i="24"/>
  <c r="L132" i="24" s="1"/>
  <c r="I132" i="24"/>
  <c r="H132" i="24"/>
  <c r="E132" i="24"/>
  <c r="F132" i="24" s="1"/>
  <c r="O131" i="24"/>
  <c r="N131" i="24"/>
  <c r="K131" i="24"/>
  <c r="L131" i="24" s="1"/>
  <c r="H131" i="24"/>
  <c r="I131" i="24" s="1"/>
  <c r="E131" i="24"/>
  <c r="N130" i="24"/>
  <c r="O130" i="24" s="1"/>
  <c r="K130" i="24"/>
  <c r="L130" i="24" s="1"/>
  <c r="I130" i="24"/>
  <c r="H130" i="24"/>
  <c r="E130" i="24"/>
  <c r="F130" i="24" s="1"/>
  <c r="N129" i="24"/>
  <c r="O129" i="24" s="1"/>
  <c r="K129" i="24"/>
  <c r="L129" i="24" s="1"/>
  <c r="H129" i="24"/>
  <c r="I129" i="24" s="1"/>
  <c r="E129" i="24"/>
  <c r="F129" i="24" s="1"/>
  <c r="O128" i="24"/>
  <c r="N128" i="24"/>
  <c r="L128" i="24"/>
  <c r="K128" i="24"/>
  <c r="I128" i="24"/>
  <c r="H128" i="24"/>
  <c r="E128" i="24"/>
  <c r="F128" i="24" s="1"/>
  <c r="N127" i="24"/>
  <c r="O127" i="24" s="1"/>
  <c r="K127" i="24"/>
  <c r="L127" i="24" s="1"/>
  <c r="H127" i="24"/>
  <c r="I127" i="24" s="1"/>
  <c r="E127" i="24"/>
  <c r="O126" i="24"/>
  <c r="N126" i="24"/>
  <c r="L126" i="24"/>
  <c r="K126" i="24"/>
  <c r="I126" i="24"/>
  <c r="H126" i="24"/>
  <c r="E126" i="24"/>
  <c r="F126" i="24" s="1"/>
  <c r="N125" i="24"/>
  <c r="N145" i="24" s="1"/>
  <c r="L125" i="24"/>
  <c r="K125" i="24"/>
  <c r="H125" i="24"/>
  <c r="H14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O115" i="24"/>
  <c r="N115" i="24"/>
  <c r="K115" i="24"/>
  <c r="L115" i="24" s="1"/>
  <c r="I115" i="24"/>
  <c r="H115" i="24"/>
  <c r="E115" i="24"/>
  <c r="F115" i="24" s="1"/>
  <c r="O114" i="24"/>
  <c r="N114" i="24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N111" i="24"/>
  <c r="O111" i="24" s="1"/>
  <c r="K111" i="24"/>
  <c r="L111" i="24" s="1"/>
  <c r="I111" i="24"/>
  <c r="H111" i="24"/>
  <c r="E111" i="24"/>
  <c r="F111" i="24" s="1"/>
  <c r="N110" i="24"/>
  <c r="O110" i="24" s="1"/>
  <c r="K110" i="24"/>
  <c r="L110" i="24" s="1"/>
  <c r="H110" i="24"/>
  <c r="I110" i="24" s="1"/>
  <c r="E110" i="24"/>
  <c r="F110" i="24" s="1"/>
  <c r="O109" i="24"/>
  <c r="N109" i="24"/>
  <c r="L109" i="24"/>
  <c r="K109" i="24"/>
  <c r="H109" i="24"/>
  <c r="I109" i="24" s="1"/>
  <c r="E109" i="24"/>
  <c r="F109" i="24" s="1"/>
  <c r="O108" i="24"/>
  <c r="N108" i="24"/>
  <c r="K108" i="24"/>
  <c r="L108" i="24" s="1"/>
  <c r="H108" i="24"/>
  <c r="I108" i="24" s="1"/>
  <c r="E108" i="24"/>
  <c r="N107" i="24"/>
  <c r="O107" i="24" s="1"/>
  <c r="L107" i="24"/>
  <c r="K107" i="24"/>
  <c r="I107" i="24"/>
  <c r="H107" i="24"/>
  <c r="E107" i="24"/>
  <c r="F107" i="24" s="1"/>
  <c r="O106" i="24"/>
  <c r="N106" i="24"/>
  <c r="K106" i="24"/>
  <c r="L106" i="24" s="1"/>
  <c r="H106" i="24"/>
  <c r="I106" i="24" s="1"/>
  <c r="E106" i="24"/>
  <c r="F106" i="24" s="1"/>
  <c r="N105" i="24"/>
  <c r="O105" i="24" s="1"/>
  <c r="L105" i="24"/>
  <c r="K105" i="24"/>
  <c r="H105" i="24"/>
  <c r="I105" i="24" s="1"/>
  <c r="E105" i="24"/>
  <c r="F105" i="24" s="1"/>
  <c r="N104" i="24"/>
  <c r="O104" i="24" s="1"/>
  <c r="K104" i="24"/>
  <c r="L104" i="24" s="1"/>
  <c r="I104" i="24"/>
  <c r="H104" i="24"/>
  <c r="E104" i="24"/>
  <c r="N103" i="24"/>
  <c r="O103" i="24" s="1"/>
  <c r="K103" i="24"/>
  <c r="L103" i="24" s="1"/>
  <c r="I103" i="24"/>
  <c r="H103" i="24"/>
  <c r="E103" i="24"/>
  <c r="F103" i="24" s="1"/>
  <c r="N102" i="24"/>
  <c r="O102" i="24" s="1"/>
  <c r="K102" i="24"/>
  <c r="L102" i="24" s="1"/>
  <c r="H102" i="24"/>
  <c r="I102" i="24" s="1"/>
  <c r="E102" i="24"/>
  <c r="F102" i="24" s="1"/>
  <c r="O101" i="24"/>
  <c r="N101" i="24"/>
  <c r="K101" i="24"/>
  <c r="L101" i="24" s="1"/>
  <c r="H101" i="24"/>
  <c r="I101" i="24" s="1"/>
  <c r="E101" i="24"/>
  <c r="F101" i="24" s="1"/>
  <c r="N100" i="24"/>
  <c r="O100" i="24" s="1"/>
  <c r="K100" i="24"/>
  <c r="L100" i="24" s="1"/>
  <c r="I100" i="24"/>
  <c r="H100" i="24"/>
  <c r="E100" i="24"/>
  <c r="N99" i="24"/>
  <c r="O99" i="24" s="1"/>
  <c r="L99" i="24"/>
  <c r="K99" i="24"/>
  <c r="I99" i="24"/>
  <c r="H99" i="24"/>
  <c r="E99" i="24"/>
  <c r="F99" i="24" s="1"/>
  <c r="O98" i="24"/>
  <c r="N98" i="24"/>
  <c r="K98" i="24"/>
  <c r="L98" i="24" s="1"/>
  <c r="H98" i="24"/>
  <c r="H118" i="24" s="1"/>
  <c r="E98" i="24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O89" i="24"/>
  <c r="N89" i="24"/>
  <c r="K89" i="24"/>
  <c r="L89" i="24" s="1"/>
  <c r="I89" i="24"/>
  <c r="H89" i="24"/>
  <c r="E89" i="24"/>
  <c r="F89" i="24" s="1"/>
  <c r="O88" i="24"/>
  <c r="N88" i="24"/>
  <c r="L88" i="24"/>
  <c r="K88" i="24"/>
  <c r="I88" i="24"/>
  <c r="H88" i="24"/>
  <c r="E88" i="24"/>
  <c r="N87" i="24"/>
  <c r="O87" i="24" s="1"/>
  <c r="K87" i="24"/>
  <c r="L87" i="24" s="1"/>
  <c r="H87" i="24"/>
  <c r="I87" i="24" s="1"/>
  <c r="E87" i="24"/>
  <c r="F87" i="24" s="1"/>
  <c r="O86" i="24"/>
  <c r="N86" i="24"/>
  <c r="K86" i="24"/>
  <c r="L86" i="24" s="1"/>
  <c r="H86" i="24"/>
  <c r="I86" i="24" s="1"/>
  <c r="E86" i="24"/>
  <c r="N85" i="24"/>
  <c r="O85" i="24" s="1"/>
  <c r="K85" i="24"/>
  <c r="L85" i="24" s="1"/>
  <c r="I85" i="24"/>
  <c r="H85" i="24"/>
  <c r="E85" i="24"/>
  <c r="F85" i="24" s="1"/>
  <c r="N84" i="24"/>
  <c r="O84" i="24" s="1"/>
  <c r="L84" i="24"/>
  <c r="K84" i="24"/>
  <c r="I84" i="24"/>
  <c r="H84" i="24"/>
  <c r="E84" i="24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O81" i="24"/>
  <c r="N81" i="24"/>
  <c r="K81" i="24"/>
  <c r="L81" i="24" s="1"/>
  <c r="I81" i="24"/>
  <c r="H81" i="24"/>
  <c r="E81" i="24"/>
  <c r="F81" i="24" s="1"/>
  <c r="N80" i="24"/>
  <c r="O80" i="24" s="1"/>
  <c r="L80" i="24"/>
  <c r="K80" i="24"/>
  <c r="I80" i="24"/>
  <c r="H80" i="24"/>
  <c r="E80" i="24"/>
  <c r="N79" i="24"/>
  <c r="O79" i="24" s="1"/>
  <c r="K79" i="24"/>
  <c r="L79" i="24" s="1"/>
  <c r="H79" i="24"/>
  <c r="I79" i="24" s="1"/>
  <c r="E79" i="24"/>
  <c r="F79" i="24" s="1"/>
  <c r="O78" i="24"/>
  <c r="N78" i="24"/>
  <c r="K78" i="24"/>
  <c r="L78" i="24" s="1"/>
  <c r="H78" i="24"/>
  <c r="I78" i="24" s="1"/>
  <c r="E78" i="24"/>
  <c r="N77" i="24"/>
  <c r="O77" i="24" s="1"/>
  <c r="K77" i="24"/>
  <c r="L77" i="24" s="1"/>
  <c r="I77" i="24"/>
  <c r="H77" i="24"/>
  <c r="E77" i="24"/>
  <c r="F77" i="24" s="1"/>
  <c r="N76" i="24"/>
  <c r="O76" i="24" s="1"/>
  <c r="L76" i="24"/>
  <c r="K76" i="24"/>
  <c r="I76" i="24"/>
  <c r="H76" i="24"/>
  <c r="E76" i="24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O73" i="24"/>
  <c r="N73" i="24"/>
  <c r="K73" i="24"/>
  <c r="L73" i="24" s="1"/>
  <c r="I73" i="24"/>
  <c r="H73" i="24"/>
  <c r="E73" i="24"/>
  <c r="F73" i="24" s="1"/>
  <c r="O72" i="24"/>
  <c r="N72" i="24"/>
  <c r="L72" i="24"/>
  <c r="K72" i="24"/>
  <c r="I72" i="24"/>
  <c r="H72" i="24"/>
  <c r="E72" i="24"/>
  <c r="N71" i="24"/>
  <c r="O71" i="24" s="1"/>
  <c r="O91" i="24" s="1"/>
  <c r="K71" i="24"/>
  <c r="L71" i="24" s="1"/>
  <c r="H71" i="24"/>
  <c r="I71" i="24" s="1"/>
  <c r="E71" i="24"/>
  <c r="M69" i="24"/>
  <c r="J69" i="24"/>
  <c r="G69" i="24"/>
  <c r="D69" i="24"/>
  <c r="B69" i="24"/>
  <c r="M68" i="24"/>
  <c r="G68" i="24"/>
  <c r="B64" i="24"/>
  <c r="N63" i="24"/>
  <c r="O63" i="24" s="1"/>
  <c r="L63" i="24"/>
  <c r="K63" i="24"/>
  <c r="H63" i="24"/>
  <c r="I63" i="24" s="1"/>
  <c r="F63" i="24"/>
  <c r="E63" i="24"/>
  <c r="O62" i="24"/>
  <c r="N62" i="24"/>
  <c r="K62" i="24"/>
  <c r="L62" i="24" s="1"/>
  <c r="H62" i="24"/>
  <c r="I62" i="24" s="1"/>
  <c r="F62" i="24"/>
  <c r="E62" i="24"/>
  <c r="N61" i="24"/>
  <c r="O61" i="24" s="1"/>
  <c r="K61" i="24"/>
  <c r="L61" i="24" s="1"/>
  <c r="H61" i="24"/>
  <c r="I61" i="24" s="1"/>
  <c r="F61" i="24"/>
  <c r="E61" i="24"/>
  <c r="O60" i="24"/>
  <c r="N60" i="24"/>
  <c r="L60" i="24"/>
  <c r="K60" i="24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N58" i="24"/>
  <c r="O58" i="24" s="1"/>
  <c r="K58" i="24"/>
  <c r="L58" i="24" s="1"/>
  <c r="H58" i="24"/>
  <c r="I58" i="24" s="1"/>
  <c r="F58" i="24"/>
  <c r="E58" i="24"/>
  <c r="O57" i="24"/>
  <c r="N57" i="24"/>
  <c r="K57" i="24"/>
  <c r="L57" i="24" s="1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N55" i="24"/>
  <c r="O55" i="24" s="1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K53" i="24"/>
  <c r="L53" i="24" s="1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N50" i="24"/>
  <c r="O50" i="24" s="1"/>
  <c r="K50" i="24"/>
  <c r="L50" i="24" s="1"/>
  <c r="H50" i="24"/>
  <c r="I50" i="24" s="1"/>
  <c r="F50" i="24"/>
  <c r="E50" i="24"/>
  <c r="O49" i="24"/>
  <c r="N49" i="24"/>
  <c r="K49" i="24"/>
  <c r="L49" i="24" s="1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N47" i="24"/>
  <c r="O47" i="24" s="1"/>
  <c r="L47" i="24"/>
  <c r="K47" i="24"/>
  <c r="H47" i="24"/>
  <c r="I47" i="24" s="1"/>
  <c r="F47" i="24"/>
  <c r="E47" i="24"/>
  <c r="O46" i="24"/>
  <c r="N46" i="24"/>
  <c r="K46" i="24"/>
  <c r="L46" i="24" s="1"/>
  <c r="H46" i="24"/>
  <c r="I46" i="24" s="1"/>
  <c r="F46" i="24"/>
  <c r="E46" i="24"/>
  <c r="N45" i="24"/>
  <c r="O45" i="24" s="1"/>
  <c r="K45" i="24"/>
  <c r="L45" i="24" s="1"/>
  <c r="H45" i="24"/>
  <c r="I45" i="24" s="1"/>
  <c r="F45" i="24"/>
  <c r="E45" i="24"/>
  <c r="O44" i="24"/>
  <c r="N44" i="24"/>
  <c r="N64" i="24" s="1"/>
  <c r="L44" i="24"/>
  <c r="K44" i="24"/>
  <c r="H44" i="24"/>
  <c r="H64" i="24" s="1"/>
  <c r="F44" i="24"/>
  <c r="F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F37" i="31" l="1"/>
  <c r="N37" i="31"/>
  <c r="O37" i="31"/>
  <c r="K37" i="31"/>
  <c r="E37" i="31"/>
  <c r="I37" i="31"/>
  <c r="L37" i="31"/>
  <c r="H37" i="31"/>
  <c r="G9" i="31"/>
  <c r="G5" i="31"/>
  <c r="G7" i="31"/>
  <c r="G3" i="31"/>
  <c r="L199" i="30"/>
  <c r="K199" i="30"/>
  <c r="K172" i="30"/>
  <c r="L152" i="30"/>
  <c r="L172" i="30" s="1"/>
  <c r="K145" i="30"/>
  <c r="L125" i="30"/>
  <c r="L145" i="30" s="1"/>
  <c r="L118" i="30"/>
  <c r="K118" i="30"/>
  <c r="L71" i="30"/>
  <c r="L91" i="30" s="1"/>
  <c r="L64" i="30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64" i="30"/>
  <c r="H64" i="30"/>
  <c r="F179" i="30"/>
  <c r="F199" i="30" s="1"/>
  <c r="F152" i="30"/>
  <c r="F172" i="30" s="1"/>
  <c r="F125" i="30"/>
  <c r="F145" i="30" s="1"/>
  <c r="F98" i="30"/>
  <c r="F118" i="30" s="1"/>
  <c r="F91" i="30"/>
  <c r="F44" i="30"/>
  <c r="F64" i="30" s="1"/>
  <c r="N199" i="29"/>
  <c r="O179" i="29"/>
  <c r="O199" i="29" s="1"/>
  <c r="N172" i="29"/>
  <c r="O152" i="29"/>
  <c r="O172" i="29" s="1"/>
  <c r="O125" i="29"/>
  <c r="O145" i="29" s="1"/>
  <c r="N118" i="29"/>
  <c r="O98" i="29"/>
  <c r="O118" i="29" s="1"/>
  <c r="N91" i="29"/>
  <c r="O71" i="29"/>
  <c r="O91" i="29" s="1"/>
  <c r="N64" i="29"/>
  <c r="O44" i="29"/>
  <c r="O64" i="29" s="1"/>
  <c r="E37" i="30"/>
  <c r="I37" i="30"/>
  <c r="F37" i="30"/>
  <c r="N37" i="30"/>
  <c r="K37" i="30"/>
  <c r="O37" i="30"/>
  <c r="H37" i="30"/>
  <c r="L37" i="30"/>
  <c r="G5" i="30"/>
  <c r="G7" i="30"/>
  <c r="G3" i="30"/>
  <c r="G9" i="30"/>
  <c r="K199" i="29"/>
  <c r="L179" i="29"/>
  <c r="L199" i="29" s="1"/>
  <c r="K172" i="29"/>
  <c r="L152" i="29"/>
  <c r="L172" i="29" s="1"/>
  <c r="K145" i="29"/>
  <c r="L125" i="29"/>
  <c r="L145" i="29" s="1"/>
  <c r="K118" i="29"/>
  <c r="L98" i="29"/>
  <c r="L118" i="29" s="1"/>
  <c r="K91" i="29"/>
  <c r="L91" i="29"/>
  <c r="K64" i="29"/>
  <c r="L44" i="29"/>
  <c r="L64" i="29" s="1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O179" i="28"/>
  <c r="O199" i="28" s="1"/>
  <c r="O172" i="28"/>
  <c r="N172" i="28"/>
  <c r="N145" i="28"/>
  <c r="O125" i="28"/>
  <c r="O145" i="28" s="1"/>
  <c r="O98" i="28"/>
  <c r="O118" i="28" s="1"/>
  <c r="G3" i="28" s="1"/>
  <c r="N91" i="28"/>
  <c r="O91" i="28"/>
  <c r="G7" i="28" s="1"/>
  <c r="O44" i="28"/>
  <c r="O64" i="28" s="1"/>
  <c r="G5" i="28" s="1"/>
  <c r="E37" i="29"/>
  <c r="I37" i="29"/>
  <c r="K37" i="29"/>
  <c r="O37" i="29"/>
  <c r="H37" i="29"/>
  <c r="L37" i="29"/>
  <c r="F37" i="29"/>
  <c r="N37" i="29"/>
  <c r="G5" i="29"/>
  <c r="G7" i="29"/>
  <c r="G3" i="29"/>
  <c r="G9" i="29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44" i="28"/>
  <c r="L64" i="28" s="1"/>
  <c r="I152" i="28"/>
  <c r="I172" i="28" s="1"/>
  <c r="I125" i="28"/>
  <c r="I145" i="28" s="1"/>
  <c r="I98" i="28"/>
  <c r="I118" i="28" s="1"/>
  <c r="I71" i="28"/>
  <c r="I91" i="28" s="1"/>
  <c r="I44" i="28"/>
  <c r="I64" i="28" s="1"/>
  <c r="F145" i="28"/>
  <c r="N199" i="27"/>
  <c r="O179" i="27"/>
  <c r="O199" i="27" s="1"/>
  <c r="O152" i="27"/>
  <c r="O172" i="27" s="1"/>
  <c r="O145" i="27"/>
  <c r="N145" i="27"/>
  <c r="N118" i="27"/>
  <c r="O98" i="27"/>
  <c r="O118" i="27" s="1"/>
  <c r="O91" i="27"/>
  <c r="N91" i="27"/>
  <c r="N64" i="27"/>
  <c r="O44" i="27"/>
  <c r="O64" i="27" s="1"/>
  <c r="E37" i="28"/>
  <c r="I37" i="28"/>
  <c r="H37" i="28"/>
  <c r="L37" i="28"/>
  <c r="K37" i="28"/>
  <c r="O37" i="28"/>
  <c r="F37" i="28"/>
  <c r="N37" i="28"/>
  <c r="G9" i="28"/>
  <c r="K199" i="27"/>
  <c r="L179" i="27"/>
  <c r="L199" i="27" s="1"/>
  <c r="K172" i="27"/>
  <c r="L152" i="27"/>
  <c r="L172" i="27" s="1"/>
  <c r="L125" i="27"/>
  <c r="L145" i="27" s="1"/>
  <c r="L118" i="27"/>
  <c r="K118" i="27"/>
  <c r="L71" i="27"/>
  <c r="L91" i="27" s="1"/>
  <c r="K64" i="27"/>
  <c r="L44" i="27"/>
  <c r="L64" i="27" s="1"/>
  <c r="I179" i="27"/>
  <c r="I199" i="27" s="1"/>
  <c r="I152" i="27"/>
  <c r="I172" i="27" s="1"/>
  <c r="I145" i="27"/>
  <c r="H145" i="27"/>
  <c r="I118" i="27"/>
  <c r="H118" i="27"/>
  <c r="H91" i="27"/>
  <c r="I71" i="27"/>
  <c r="I91" i="27" s="1"/>
  <c r="H64" i="27"/>
  <c r="I44" i="27"/>
  <c r="I64" i="27" s="1"/>
  <c r="F125" i="27"/>
  <c r="F145" i="27" s="1"/>
  <c r="F98" i="27"/>
  <c r="F118" i="27" s="1"/>
  <c r="F71" i="27"/>
  <c r="F91" i="27" s="1"/>
  <c r="F44" i="27"/>
  <c r="F64" i="27" s="1"/>
  <c r="O199" i="26"/>
  <c r="N199" i="26"/>
  <c r="N172" i="26"/>
  <c r="O152" i="26"/>
  <c r="O172" i="26" s="1"/>
  <c r="N145" i="26"/>
  <c r="O125" i="26"/>
  <c r="O145" i="26" s="1"/>
  <c r="N118" i="26"/>
  <c r="O98" i="26"/>
  <c r="O118" i="26" s="1"/>
  <c r="N91" i="26"/>
  <c r="O71" i="26"/>
  <c r="O91" i="26" s="1"/>
  <c r="O64" i="26"/>
  <c r="N64" i="26"/>
  <c r="G9" i="27"/>
  <c r="H37" i="27"/>
  <c r="E37" i="27"/>
  <c r="F37" i="27"/>
  <c r="N37" i="27"/>
  <c r="G3" i="27"/>
  <c r="I37" i="27"/>
  <c r="K37" i="27"/>
  <c r="O37" i="27"/>
  <c r="L37" i="27"/>
  <c r="G5" i="27"/>
  <c r="G7" i="27"/>
  <c r="K199" i="26"/>
  <c r="L179" i="26"/>
  <c r="L199" i="26" s="1"/>
  <c r="K172" i="26"/>
  <c r="L152" i="26"/>
  <c r="L172" i="26" s="1"/>
  <c r="K145" i="26"/>
  <c r="L125" i="26"/>
  <c r="L145" i="26" s="1"/>
  <c r="K118" i="26"/>
  <c r="L98" i="26"/>
  <c r="L118" i="26" s="1"/>
  <c r="K91" i="26"/>
  <c r="L91" i="26"/>
  <c r="K64" i="26"/>
  <c r="L44" i="26"/>
  <c r="L64" i="26" s="1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O199" i="25"/>
  <c r="N199" i="25"/>
  <c r="N172" i="25"/>
  <c r="O152" i="25"/>
  <c r="O172" i="25" s="1"/>
  <c r="N145" i="25"/>
  <c r="O125" i="25"/>
  <c r="O145" i="25" s="1"/>
  <c r="N118" i="25"/>
  <c r="O98" i="25"/>
  <c r="O118" i="25" s="1"/>
  <c r="N91" i="25"/>
  <c r="O91" i="25"/>
  <c r="G7" i="25" s="1"/>
  <c r="N64" i="25"/>
  <c r="O44" i="25"/>
  <c r="O64" i="25" s="1"/>
  <c r="G5" i="25" s="1"/>
  <c r="G9" i="26"/>
  <c r="H37" i="26"/>
  <c r="L37" i="26"/>
  <c r="F37" i="26"/>
  <c r="N37" i="26"/>
  <c r="K37" i="26"/>
  <c r="O37" i="26"/>
  <c r="G3" i="26"/>
  <c r="E37" i="26"/>
  <c r="I37" i="26"/>
  <c r="G5" i="26"/>
  <c r="G7" i="26"/>
  <c r="K199" i="25"/>
  <c r="L179" i="25"/>
  <c r="L199" i="25" s="1"/>
  <c r="K172" i="25"/>
  <c r="L152" i="25"/>
  <c r="L172" i="25" s="1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91" i="25"/>
  <c r="F145" i="25"/>
  <c r="F98" i="25"/>
  <c r="F118" i="25" s="1"/>
  <c r="F71" i="25"/>
  <c r="F91" i="25" s="1"/>
  <c r="N199" i="24"/>
  <c r="N172" i="24"/>
  <c r="O152" i="24"/>
  <c r="O125" i="24"/>
  <c r="N118" i="24"/>
  <c r="O64" i="24"/>
  <c r="G9" i="25"/>
  <c r="K37" i="25"/>
  <c r="O37" i="25"/>
  <c r="H37" i="25"/>
  <c r="L37" i="25"/>
  <c r="F37" i="25"/>
  <c r="N37" i="25"/>
  <c r="E37" i="25"/>
  <c r="I37" i="25"/>
  <c r="G3" i="25"/>
  <c r="K172" i="24"/>
  <c r="L152" i="24"/>
  <c r="L172" i="24" s="1"/>
  <c r="K91" i="24"/>
  <c r="K64" i="24"/>
  <c r="L64" i="24"/>
  <c r="I179" i="24"/>
  <c r="I152" i="24"/>
  <c r="I125" i="24"/>
  <c r="I98" i="24"/>
  <c r="I91" i="24"/>
  <c r="I44" i="24"/>
  <c r="I64" i="24" s="1"/>
  <c r="E91" i="24"/>
  <c r="L91" i="24"/>
  <c r="K118" i="24"/>
  <c r="K14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H91" i="24"/>
  <c r="N91" i="24"/>
  <c r="F74" i="24"/>
  <c r="F78" i="24"/>
  <c r="F82" i="24"/>
  <c r="F86" i="24"/>
  <c r="F90" i="24"/>
  <c r="E118" i="24"/>
  <c r="L118" i="24"/>
  <c r="E145" i="24"/>
  <c r="L145" i="24"/>
  <c r="F153" i="24"/>
  <c r="F154" i="24"/>
  <c r="I199" i="24"/>
  <c r="O199" i="24"/>
  <c r="K199" i="24"/>
  <c r="F72" i="24"/>
  <c r="F76" i="24"/>
  <c r="F80" i="24"/>
  <c r="F84" i="24"/>
  <c r="F88" i="24"/>
  <c r="I118" i="24"/>
  <c r="O118" i="24"/>
  <c r="F100" i="24"/>
  <c r="F104" i="24"/>
  <c r="F108" i="24"/>
  <c r="F112" i="24"/>
  <c r="F116" i="24"/>
  <c r="I145" i="24"/>
  <c r="O145" i="24"/>
  <c r="F127" i="24"/>
  <c r="F131" i="24"/>
  <c r="F135" i="24"/>
  <c r="F139" i="24"/>
  <c r="F143" i="24"/>
  <c r="I172" i="24"/>
  <c r="O172" i="24"/>
  <c r="F171" i="24"/>
  <c r="E199" i="24"/>
  <c r="L199" i="24"/>
  <c r="F179" i="24"/>
  <c r="F199" i="24" s="1"/>
  <c r="F152" i="24"/>
  <c r="F125" i="24"/>
  <c r="F98" i="24"/>
  <c r="F71" i="24"/>
  <c r="F91" i="24" s="1"/>
  <c r="G7" i="24" s="1"/>
  <c r="E37" i="24"/>
  <c r="I37" i="24"/>
  <c r="H37" i="24"/>
  <c r="L37" i="24"/>
  <c r="K37" i="24"/>
  <c r="O37" i="24"/>
  <c r="F37" i="24"/>
  <c r="N37" i="24"/>
  <c r="G5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K44" i="6"/>
  <c r="L44" i="6"/>
  <c r="N44" i="6"/>
  <c r="N64" i="6" s="1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1" l="1"/>
  <c r="G11" i="30"/>
  <c r="G11" i="29"/>
  <c r="G11" i="28"/>
  <c r="G11" i="27"/>
  <c r="G11" i="26"/>
  <c r="G11" i="25"/>
  <c r="G9" i="24"/>
  <c r="I64" i="6"/>
  <c r="N91" i="6"/>
  <c r="F145" i="6"/>
  <c r="F118" i="24"/>
  <c r="G3" i="24" s="1"/>
  <c r="F145" i="24"/>
  <c r="H64" i="6"/>
  <c r="F172" i="24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87" i="9"/>
  <c r="I36" i="9"/>
  <c r="L142" i="9"/>
  <c r="C61" i="9"/>
  <c r="O268" i="9"/>
  <c r="G71" i="3"/>
  <c r="H233" i="9"/>
  <c r="I256" i="9"/>
  <c r="G47" i="3"/>
  <c r="H163" i="9"/>
  <c r="K8" i="5"/>
  <c r="I100" i="9"/>
  <c r="C140" i="9"/>
  <c r="K143" i="9"/>
  <c r="C139" i="9"/>
  <c r="E233" i="9"/>
  <c r="L99" i="9"/>
  <c r="F179" i="9"/>
  <c r="H64" i="9"/>
  <c r="I78" i="9"/>
  <c r="F257" i="9"/>
  <c r="C194" i="9"/>
  <c r="K24" i="9"/>
  <c r="I240" i="9"/>
  <c r="C141" i="9"/>
  <c r="C263" i="9"/>
  <c r="I84" i="9"/>
  <c r="H251" i="9"/>
  <c r="H118" i="9"/>
  <c r="E36" i="9"/>
  <c r="K27" i="9"/>
  <c r="K45" i="3"/>
  <c r="K21" i="5"/>
  <c r="F276" i="9"/>
  <c r="E146" i="9"/>
  <c r="F42" i="9"/>
  <c r="C78" i="9"/>
  <c r="O270" i="9"/>
  <c r="K70" i="9"/>
  <c r="H260" i="9"/>
  <c r="F265" i="9"/>
  <c r="N32" i="9"/>
  <c r="E65" i="9"/>
  <c r="E155" i="9"/>
  <c r="N235" i="9"/>
  <c r="C198" i="9"/>
  <c r="F65" i="9"/>
  <c r="C118" i="9"/>
  <c r="F111" i="9"/>
  <c r="N109" i="9"/>
  <c r="N160" i="9"/>
  <c r="F190" i="9"/>
  <c r="H230" i="9"/>
  <c r="N229" i="9"/>
  <c r="K187" i="9"/>
  <c r="H159" i="9"/>
  <c r="N114" i="9"/>
  <c r="H175" i="9"/>
  <c r="L114" i="9"/>
  <c r="F114" i="9"/>
  <c r="O192" i="9"/>
  <c r="I86" i="9"/>
  <c r="F105" i="9"/>
  <c r="L120" i="9"/>
  <c r="O279" i="9"/>
  <c r="N117" i="9"/>
  <c r="L101" i="9"/>
  <c r="K221" i="9"/>
  <c r="H272" i="9"/>
  <c r="L160" i="9"/>
  <c r="I266" i="9"/>
  <c r="F25" i="9"/>
  <c r="K45" i="9"/>
  <c r="C66" i="9"/>
  <c r="H109" i="9"/>
  <c r="K178" i="9"/>
  <c r="K162" i="9"/>
  <c r="F51" i="9"/>
  <c r="E148" i="9"/>
  <c r="C176" i="9"/>
  <c r="F68" i="9"/>
  <c r="H30" i="9"/>
  <c r="K106" i="9"/>
  <c r="E150" i="9"/>
  <c r="N215" i="9"/>
  <c r="F180" i="9"/>
  <c r="H78" i="9"/>
  <c r="N271" i="9"/>
  <c r="L227" i="9"/>
  <c r="E154" i="9"/>
  <c r="N105" i="9"/>
  <c r="O240" i="9"/>
  <c r="I90" i="9"/>
  <c r="C151" i="9"/>
  <c r="L217" i="9"/>
  <c r="I188" i="9"/>
  <c r="O137" i="9"/>
  <c r="O198" i="9"/>
  <c r="C150" i="9"/>
  <c r="O163" i="9"/>
  <c r="I250" i="9"/>
  <c r="O216" i="9"/>
  <c r="H261" i="9"/>
  <c r="O176" i="9"/>
  <c r="H116" i="9"/>
  <c r="H253" i="9"/>
  <c r="E166" i="9"/>
  <c r="O227" i="9"/>
  <c r="N34" i="9"/>
  <c r="E267" i="9"/>
  <c r="K86" i="9"/>
  <c r="O76" i="9"/>
  <c r="I215" i="9"/>
  <c r="H268" i="9"/>
  <c r="L150" i="9"/>
  <c r="H185" i="9"/>
  <c r="F178" i="9"/>
  <c r="E275" i="9"/>
  <c r="C217" i="9"/>
  <c r="L250" i="9"/>
  <c r="F254" i="9"/>
  <c r="F147" i="9"/>
  <c r="K147" i="9"/>
  <c r="N99" i="9"/>
  <c r="L63" i="9"/>
  <c r="N76" i="9"/>
  <c r="E270" i="9"/>
  <c r="F256" i="9"/>
  <c r="O38" i="3"/>
  <c r="F149" i="9"/>
  <c r="F240" i="9"/>
  <c r="O153" i="9"/>
  <c r="G59" i="3"/>
  <c r="C144" i="9"/>
  <c r="C48" i="9"/>
  <c r="E25" i="9"/>
  <c r="E83" i="9"/>
  <c r="E103" i="9"/>
  <c r="H80" i="9"/>
  <c r="O151" i="9"/>
  <c r="N186" i="9"/>
  <c r="E260" i="9"/>
  <c r="E238" i="9"/>
  <c r="I178" i="9"/>
  <c r="K75" i="9"/>
  <c r="F63" i="9"/>
  <c r="I232" i="9"/>
  <c r="E255" i="9"/>
  <c r="O56" i="3"/>
  <c r="H28" i="9"/>
  <c r="O72" i="3"/>
  <c r="K23" i="3"/>
  <c r="L264" i="9"/>
  <c r="N234" i="9"/>
  <c r="H231" i="9"/>
  <c r="F140" i="9"/>
  <c r="H195" i="9"/>
  <c r="H51" i="9"/>
  <c r="N183" i="9"/>
  <c r="C37" i="9"/>
  <c r="I185" i="9"/>
  <c r="I51" i="9"/>
  <c r="C260" i="9"/>
  <c r="O267" i="9"/>
  <c r="L204" i="9"/>
  <c r="L165" i="9"/>
  <c r="I224" i="9"/>
  <c r="H197" i="9"/>
  <c r="K272" i="9"/>
  <c r="N219" i="9"/>
  <c r="H124" i="9"/>
  <c r="C44" i="9"/>
  <c r="H180" i="9"/>
  <c r="I219" i="9"/>
  <c r="H149" i="9"/>
  <c r="L268" i="9"/>
  <c r="F259" i="9"/>
  <c r="I273" i="9"/>
  <c r="F153" i="9"/>
  <c r="H136" i="9"/>
  <c r="L263" i="9"/>
  <c r="C179" i="9"/>
  <c r="L259" i="9"/>
  <c r="F223" i="9"/>
  <c r="I85" i="9"/>
  <c r="N67" i="9"/>
  <c r="H212" i="9"/>
  <c r="N190" i="9"/>
  <c r="H255" i="9"/>
  <c r="K182" i="9"/>
  <c r="O40" i="3"/>
  <c r="K105" i="9"/>
  <c r="H140" i="9"/>
  <c r="H108" i="9"/>
  <c r="O43" i="3"/>
  <c r="H153" i="9"/>
  <c r="O59" i="3"/>
  <c r="O162" i="9"/>
  <c r="C33" i="9"/>
  <c r="E234" i="9"/>
  <c r="K26" i="9"/>
  <c r="H204" i="9"/>
  <c r="F86" i="9"/>
  <c r="O113" i="9"/>
  <c r="C76" i="9"/>
  <c r="L38" i="9"/>
  <c r="L161" i="9"/>
  <c r="H156" i="9"/>
  <c r="K274" i="9"/>
  <c r="I87" i="9"/>
  <c r="C80" i="9"/>
  <c r="K15" i="3"/>
  <c r="L50" i="9"/>
  <c r="G74" i="3"/>
  <c r="O174" i="9"/>
  <c r="F280" i="9"/>
  <c r="O75" i="9"/>
  <c r="I29" i="9"/>
  <c r="F66" i="9"/>
  <c r="I65" i="9"/>
  <c r="F204" i="9"/>
  <c r="L159" i="9"/>
  <c r="O33" i="3"/>
  <c r="F212" i="9"/>
  <c r="H155" i="9"/>
  <c r="I280" i="9"/>
  <c r="F191" i="9"/>
  <c r="E188" i="9"/>
  <c r="E114" i="9"/>
  <c r="G68" i="3"/>
  <c r="C125" i="9"/>
  <c r="K151" i="9"/>
  <c r="N201" i="9"/>
  <c r="E29" i="9"/>
  <c r="F64" i="9"/>
  <c r="K225" i="9"/>
  <c r="O41" i="9"/>
  <c r="H104" i="9"/>
  <c r="C83" i="9"/>
  <c r="I115" i="9"/>
  <c r="K64" i="9"/>
  <c r="K181" i="9"/>
  <c r="E34" i="9"/>
  <c r="H75" i="9"/>
  <c r="N233" i="9"/>
  <c r="O34" i="3"/>
  <c r="N213" i="9"/>
  <c r="N238" i="9"/>
  <c r="O186" i="9"/>
  <c r="K252" i="9"/>
  <c r="O39" i="9"/>
  <c r="C152" i="9"/>
  <c r="L41" i="9"/>
  <c r="L190" i="9"/>
  <c r="K271" i="9"/>
  <c r="L144" i="9"/>
  <c r="K57" i="3"/>
  <c r="O235" i="9"/>
  <c r="I234" i="9"/>
  <c r="K38" i="3"/>
  <c r="L76" i="9"/>
  <c r="F186" i="9"/>
  <c r="F268" i="9"/>
  <c r="K83" i="9"/>
  <c r="C32" i="9"/>
  <c r="N270" i="9"/>
  <c r="C192" i="9"/>
  <c r="G49" i="3"/>
  <c r="O119" i="9"/>
  <c r="O51" i="9"/>
  <c r="F143" i="9"/>
  <c r="C22" i="9"/>
  <c r="K231" i="9"/>
  <c r="L61" i="9"/>
  <c r="F117" i="9"/>
  <c r="H137" i="9"/>
  <c r="O36" i="9"/>
  <c r="F113" i="9"/>
  <c r="O31" i="3"/>
  <c r="L90" i="9"/>
  <c r="O191" i="9"/>
  <c r="K141" i="9"/>
  <c r="F146" i="9"/>
  <c r="F136" i="9"/>
  <c r="N185" i="9"/>
  <c r="H125" i="9"/>
  <c r="C259" i="9"/>
  <c r="C127" i="9"/>
  <c r="F99" i="9"/>
  <c r="O115" i="9"/>
  <c r="E252" i="9"/>
  <c r="F239" i="9"/>
  <c r="L121" i="9"/>
  <c r="F185" i="9"/>
  <c r="L218" i="9"/>
  <c r="E204" i="9"/>
  <c r="O257" i="9"/>
  <c r="G48" i="3"/>
  <c r="L198" i="9"/>
  <c r="I227" i="9"/>
  <c r="C31" i="9"/>
  <c r="L265" i="9"/>
  <c r="H182" i="9"/>
  <c r="N115" i="9"/>
  <c r="E175" i="9"/>
  <c r="N22" i="9"/>
  <c r="O49" i="3"/>
  <c r="F69" i="9"/>
  <c r="N202" i="9"/>
  <c r="O269" i="9"/>
  <c r="O124" i="9"/>
  <c r="H33" i="9"/>
  <c r="H77" i="9"/>
  <c r="F225" i="9"/>
  <c r="O197" i="9"/>
  <c r="O233" i="9"/>
  <c r="K115" i="9"/>
  <c r="N90" i="9"/>
  <c r="I82" i="9"/>
  <c r="I194" i="9"/>
  <c r="N39" i="9"/>
  <c r="G33" i="3"/>
  <c r="C241" i="9"/>
  <c r="C240" i="9"/>
  <c r="C119" i="9"/>
  <c r="O84" i="9"/>
  <c r="I261" i="9"/>
  <c r="E39" i="9"/>
  <c r="N195" i="9"/>
  <c r="C77" i="9"/>
  <c r="L228" i="9"/>
  <c r="H87" i="9"/>
  <c r="F28" i="9"/>
  <c r="H41" i="9"/>
  <c r="I180" i="9"/>
  <c r="L52" i="9"/>
  <c r="N98" i="9"/>
  <c r="C103" i="9"/>
  <c r="E274" i="9"/>
  <c r="F154" i="9"/>
  <c r="H74" i="9"/>
  <c r="K117" i="9"/>
  <c r="O238" i="9"/>
  <c r="L34" i="9"/>
  <c r="O190" i="9"/>
  <c r="N159" i="9"/>
  <c r="L178" i="9"/>
  <c r="F37" i="9"/>
  <c r="H121" i="9"/>
  <c r="K22" i="9"/>
  <c r="F158" i="9"/>
  <c r="L46" i="9"/>
  <c r="O79" i="9"/>
  <c r="H65" i="9"/>
  <c r="F193" i="9"/>
  <c r="N52" i="9"/>
  <c r="N112" i="9"/>
  <c r="I155" i="9"/>
  <c r="C38" i="9"/>
  <c r="H26" i="9"/>
  <c r="C43" i="9"/>
  <c r="I114" i="9"/>
  <c r="E138" i="9"/>
  <c r="F252" i="9"/>
  <c r="C276" i="9"/>
  <c r="I278" i="9"/>
  <c r="I225" i="9"/>
  <c r="K136" i="9"/>
  <c r="E280" i="9"/>
  <c r="L24" i="9"/>
  <c r="O82" i="9"/>
  <c r="L193" i="9"/>
  <c r="F83" i="9"/>
  <c r="E273" i="9"/>
  <c r="I257" i="9"/>
  <c r="O219" i="9"/>
  <c r="E227" i="9"/>
  <c r="F24" i="9"/>
  <c r="C227" i="9"/>
  <c r="K184" i="9"/>
  <c r="I189" i="9"/>
  <c r="L109" i="9"/>
  <c r="N149" i="9"/>
  <c r="C121" i="9"/>
  <c r="L104" i="9"/>
  <c r="I269" i="9"/>
  <c r="H40" i="9"/>
  <c r="E24" i="9"/>
  <c r="I110" i="9"/>
  <c r="K23" i="5"/>
  <c r="F52" i="9"/>
  <c r="C189" i="9"/>
  <c r="L153" i="9"/>
  <c r="L103" i="9"/>
  <c r="N150" i="9"/>
  <c r="L143" i="9"/>
  <c r="O35" i="3"/>
  <c r="K236" i="9"/>
  <c r="I166" i="9"/>
  <c r="F221" i="9"/>
  <c r="H179" i="9"/>
  <c r="K34" i="3"/>
  <c r="L139" i="9"/>
  <c r="E215" i="9"/>
  <c r="O44" i="3"/>
  <c r="I197" i="9"/>
  <c r="L203" i="9"/>
  <c r="E87" i="9"/>
  <c r="E268" i="9"/>
  <c r="O68" i="9"/>
  <c r="N116" i="9"/>
  <c r="K268" i="9"/>
  <c r="F101" i="9"/>
  <c r="H218" i="9"/>
  <c r="F100" i="9"/>
  <c r="N120" i="9"/>
  <c r="K62" i="9"/>
  <c r="K65" i="3"/>
  <c r="L258" i="9"/>
  <c r="I146" i="9"/>
  <c r="N232" i="9"/>
  <c r="O26" i="9"/>
  <c r="H275" i="9"/>
  <c r="O50" i="9"/>
  <c r="K144" i="9"/>
  <c r="F108" i="9"/>
  <c r="O111" i="9"/>
  <c r="L146" i="9"/>
  <c r="E195" i="9"/>
  <c r="H79" i="9"/>
  <c r="O116" i="9"/>
  <c r="F255" i="9"/>
  <c r="O121" i="9"/>
  <c r="F226" i="9"/>
  <c r="O232" i="9"/>
  <c r="E115" i="9"/>
  <c r="K72" i="9"/>
  <c r="F182" i="9"/>
  <c r="L215" i="9"/>
  <c r="E71" i="9"/>
  <c r="I137" i="9"/>
  <c r="K50" i="3"/>
  <c r="N265" i="9"/>
  <c r="E27" i="9"/>
  <c r="F227" i="9"/>
  <c r="L22" i="9"/>
  <c r="H196" i="9"/>
  <c r="I118" i="9"/>
  <c r="O146" i="9"/>
  <c r="I112" i="9"/>
  <c r="H257" i="9"/>
  <c r="N72" i="9"/>
  <c r="K63" i="3"/>
  <c r="K216" i="9"/>
  <c r="H200" i="9"/>
  <c r="O214" i="9"/>
  <c r="L124" i="9"/>
  <c r="H142" i="9"/>
  <c r="O196" i="9"/>
  <c r="L42" i="9"/>
  <c r="C143" i="9"/>
  <c r="H222" i="9"/>
  <c r="O42" i="3"/>
  <c r="C27" i="9"/>
  <c r="N101" i="9"/>
  <c r="C84" i="9"/>
  <c r="H119" i="9"/>
  <c r="O164" i="9"/>
  <c r="E70" i="9"/>
  <c r="I213" i="9"/>
  <c r="I223" i="9"/>
  <c r="O183" i="9"/>
  <c r="L240" i="9"/>
  <c r="E108" i="9"/>
  <c r="L237" i="9"/>
  <c r="N84" i="9"/>
  <c r="H73" i="9"/>
  <c r="C221" i="9"/>
  <c r="I70" i="9"/>
  <c r="K84" i="9"/>
  <c r="K24" i="5"/>
  <c r="E256" i="9"/>
  <c r="L274" i="9"/>
  <c r="E127" i="9"/>
  <c r="N212" i="9"/>
  <c r="I108" i="9"/>
  <c r="L155" i="9"/>
  <c r="N274" i="9"/>
  <c r="E137" i="9"/>
  <c r="I31" i="9"/>
  <c r="I25" i="9"/>
  <c r="E265" i="9"/>
  <c r="K242" i="9"/>
  <c r="N227" i="9"/>
  <c r="K270" i="9"/>
  <c r="C256" i="9"/>
  <c r="N277" i="9"/>
  <c r="L255" i="9"/>
  <c r="I125" i="9"/>
  <c r="O204" i="9"/>
  <c r="I217" i="9"/>
  <c r="O142" i="9"/>
  <c r="K88" i="9"/>
  <c r="K65" i="9"/>
  <c r="O71" i="3"/>
  <c r="E214" i="9"/>
  <c r="C161" i="9"/>
  <c r="L116" i="9"/>
  <c r="F89" i="9"/>
  <c r="O62" i="9"/>
  <c r="E213" i="9"/>
  <c r="I113" i="9"/>
  <c r="G43" i="3"/>
  <c r="K145" i="9"/>
  <c r="L199" i="9"/>
  <c r="N42" i="9"/>
  <c r="H227" i="9"/>
  <c r="O52" i="9"/>
  <c r="F194" i="9"/>
  <c r="O159" i="9"/>
  <c r="H139" i="9"/>
  <c r="N280" i="9"/>
  <c r="O241" i="9"/>
  <c r="N23" i="9"/>
  <c r="N65" i="9"/>
  <c r="H199" i="9"/>
  <c r="E141" i="9"/>
  <c r="F264" i="9"/>
  <c r="C272" i="9"/>
  <c r="F189" i="9"/>
  <c r="C158" i="9"/>
  <c r="C219" i="9"/>
  <c r="E68" i="9"/>
  <c r="O201" i="9"/>
  <c r="F46" i="9"/>
  <c r="C75" i="9"/>
  <c r="K25" i="5"/>
  <c r="H50" i="9"/>
  <c r="F234" i="9"/>
  <c r="N256" i="9"/>
  <c r="K100" i="9"/>
  <c r="E183" i="9"/>
  <c r="I177" i="9"/>
  <c r="E89" i="9"/>
  <c r="E116" i="9"/>
  <c r="O218" i="9"/>
  <c r="C202" i="9"/>
  <c r="F78" i="9"/>
  <c r="C70" i="9"/>
  <c r="N197" i="9"/>
  <c r="E142" i="9"/>
  <c r="O199" i="9"/>
  <c r="E239" i="9"/>
  <c r="N260" i="9"/>
  <c r="F262" i="9"/>
  <c r="F263" i="9"/>
  <c r="L252" i="9"/>
  <c r="H213" i="9"/>
  <c r="I39" i="9"/>
  <c r="O22" i="9"/>
  <c r="F145" i="9"/>
  <c r="C88" i="9"/>
  <c r="C108" i="9"/>
  <c r="C159" i="9"/>
  <c r="K200" i="9"/>
  <c r="O85" i="9"/>
  <c r="F273" i="9"/>
  <c r="L229" i="9"/>
  <c r="K177" i="9"/>
  <c r="K61" i="9"/>
  <c r="O140" i="9"/>
  <c r="N102" i="9"/>
  <c r="C34" i="9"/>
  <c r="E147" i="9"/>
  <c r="C52" i="9"/>
  <c r="O38" i="9"/>
  <c r="N89" i="9"/>
  <c r="C222" i="9"/>
  <c r="F150" i="9"/>
  <c r="F152" i="9"/>
  <c r="C89" i="9"/>
  <c r="L77" i="9"/>
  <c r="K150" i="9"/>
  <c r="I88" i="9"/>
  <c r="E258" i="9"/>
  <c r="L166" i="9"/>
  <c r="E35" i="9"/>
  <c r="F177" i="9"/>
  <c r="I64" i="9"/>
  <c r="O87" i="9"/>
  <c r="F272" i="9"/>
  <c r="H202" i="9"/>
  <c r="C190" i="9"/>
  <c r="C25" i="9"/>
  <c r="H115" i="9"/>
  <c r="C178" i="9"/>
  <c r="H99" i="9"/>
  <c r="F82" i="9"/>
  <c r="H186" i="9"/>
  <c r="F198" i="9"/>
  <c r="N49" i="9"/>
  <c r="H24" i="9"/>
  <c r="K64" i="3"/>
  <c r="K152" i="9"/>
  <c r="E201" i="9"/>
  <c r="C24" i="9"/>
  <c r="O253" i="9"/>
  <c r="H145" i="9"/>
  <c r="K10" i="3"/>
  <c r="K30" i="9"/>
  <c r="I38" i="9"/>
  <c r="E196" i="9"/>
  <c r="K267" i="9"/>
  <c r="L44" i="9"/>
  <c r="K39" i="3"/>
  <c r="C223" i="9"/>
  <c r="C40" i="9"/>
  <c r="N253" i="9"/>
  <c r="O152" i="9"/>
  <c r="E250" i="9"/>
  <c r="F230" i="9"/>
  <c r="L271" i="9"/>
  <c r="H277" i="9"/>
  <c r="F61" i="9"/>
  <c r="K20" i="5"/>
  <c r="H120" i="9"/>
  <c r="L273" i="9"/>
  <c r="E28" i="9"/>
  <c r="H127" i="9"/>
  <c r="C235" i="9"/>
  <c r="I60" i="9"/>
  <c r="C231" i="9"/>
  <c r="L214" i="9"/>
  <c r="K10" i="5"/>
  <c r="O89" i="9"/>
  <c r="E42" i="9"/>
  <c r="K104" i="9"/>
  <c r="I142" i="9"/>
  <c r="K138" i="9"/>
  <c r="F165" i="9"/>
  <c r="N106" i="9"/>
  <c r="E41" i="9"/>
  <c r="O57" i="3"/>
  <c r="C160" i="9"/>
  <c r="E62" i="9"/>
  <c r="H157" i="9"/>
  <c r="I191" i="9"/>
  <c r="I99" i="9"/>
  <c r="K202" i="9"/>
  <c r="C136" i="9"/>
  <c r="O83" i="9"/>
  <c r="I75" i="9"/>
  <c r="C155" i="9"/>
  <c r="C261" i="9"/>
  <c r="L138" i="9"/>
  <c r="F48" i="9"/>
  <c r="K110" i="9"/>
  <c r="N145" i="9"/>
  <c r="H47" i="9"/>
  <c r="H32" i="9"/>
  <c r="N223" i="9"/>
  <c r="E222" i="9"/>
  <c r="O25" i="9"/>
  <c r="N181" i="9"/>
  <c r="E72" i="9"/>
  <c r="K38" i="9"/>
  <c r="L149" i="9"/>
  <c r="O112" i="9"/>
  <c r="H241" i="9"/>
  <c r="K101" i="9"/>
  <c r="L226" i="9"/>
  <c r="I43" i="9"/>
  <c r="O24" i="9"/>
  <c r="N122" i="9"/>
  <c r="C67" i="9"/>
  <c r="I143" i="9"/>
  <c r="O185" i="9"/>
  <c r="H250" i="9"/>
  <c r="F60" i="9"/>
  <c r="I121" i="9"/>
  <c r="C187" i="9"/>
  <c r="K41" i="9"/>
  <c r="F22" i="9"/>
  <c r="I198" i="9"/>
  <c r="L269" i="9"/>
  <c r="C99" i="9"/>
  <c r="K183" i="9"/>
  <c r="H68" i="9"/>
  <c r="N188" i="9"/>
  <c r="N29" i="9"/>
  <c r="O156" i="9"/>
  <c r="N141" i="9"/>
  <c r="K235" i="9"/>
  <c r="F253" i="9"/>
  <c r="H31" i="9"/>
  <c r="L276" i="9"/>
  <c r="F156" i="9"/>
  <c r="K17" i="5"/>
  <c r="I76" i="9"/>
  <c r="K158" i="9"/>
  <c r="K121" i="9"/>
  <c r="O65" i="3"/>
  <c r="F260" i="9"/>
  <c r="E73" i="9"/>
  <c r="E60" i="9"/>
  <c r="N175" i="9"/>
  <c r="E279" i="9"/>
  <c r="K257" i="9"/>
  <c r="N222" i="9"/>
  <c r="C35" i="9"/>
  <c r="I277" i="9"/>
  <c r="K73" i="3"/>
  <c r="C145" i="9"/>
  <c r="H112" i="9"/>
  <c r="L182" i="9"/>
  <c r="L181" i="9"/>
  <c r="N61" i="9"/>
  <c r="L28" i="9"/>
  <c r="N127" i="9"/>
  <c r="C204" i="9"/>
  <c r="L145" i="9"/>
  <c r="I204" i="9"/>
  <c r="K14" i="5"/>
  <c r="E198" i="9"/>
  <c r="N158" i="9"/>
  <c r="G35" i="3"/>
  <c r="O225" i="9"/>
  <c r="L122" i="9"/>
  <c r="H166" i="9"/>
  <c r="K13" i="5"/>
  <c r="G63" i="3"/>
  <c r="C72" i="9"/>
  <c r="E121" i="9"/>
  <c r="E186" i="9"/>
  <c r="N182" i="9"/>
  <c r="L242" i="9"/>
  <c r="L212" i="9"/>
  <c r="K154" i="9"/>
  <c r="I122" i="9"/>
  <c r="I182" i="9"/>
  <c r="O68" i="3"/>
  <c r="K195" i="9"/>
  <c r="C174" i="9"/>
  <c r="O28" i="9"/>
  <c r="L196" i="9"/>
  <c r="L47" i="9"/>
  <c r="K199" i="9"/>
  <c r="I148" i="9"/>
  <c r="F224" i="9"/>
  <c r="N70" i="9"/>
  <c r="H44" i="9"/>
  <c r="H258" i="9"/>
  <c r="H232" i="9"/>
  <c r="E161" i="9"/>
  <c r="N203" i="9"/>
  <c r="K40" i="3"/>
  <c r="L37" i="9"/>
  <c r="H263" i="9"/>
  <c r="C215" i="9"/>
  <c r="O106" i="9"/>
  <c r="G67" i="3"/>
  <c r="I26" i="9"/>
  <c r="E254" i="9"/>
  <c r="I212" i="9"/>
  <c r="L39" i="9"/>
  <c r="O75" i="3"/>
  <c r="H223" i="9"/>
  <c r="E191" i="9"/>
  <c r="K222" i="9"/>
  <c r="F29" i="9"/>
  <c r="E187" i="9"/>
  <c r="H71" i="9"/>
  <c r="E242" i="9"/>
  <c r="G46" i="3"/>
  <c r="K12" i="3"/>
  <c r="O47" i="3"/>
  <c r="I138" i="9"/>
  <c r="C225" i="9"/>
  <c r="I181" i="9"/>
  <c r="K217" i="9"/>
  <c r="L106" i="9"/>
  <c r="K227" i="9"/>
  <c r="H67" i="9"/>
  <c r="K32" i="9"/>
  <c r="O86" i="9"/>
  <c r="L225" i="9"/>
  <c r="I176" i="9"/>
  <c r="N178" i="9"/>
  <c r="K251" i="9"/>
  <c r="L152" i="9"/>
  <c r="C104" i="9"/>
  <c r="F127" i="9"/>
  <c r="K35" i="3"/>
  <c r="E44" i="9"/>
  <c r="L260" i="9"/>
  <c r="H22" i="9"/>
  <c r="E32" i="9"/>
  <c r="C242" i="9"/>
  <c r="F196" i="9"/>
  <c r="N200" i="9"/>
  <c r="K76" i="9"/>
  <c r="F175" i="9"/>
  <c r="F250" i="9"/>
  <c r="L79" i="9"/>
  <c r="N75" i="9"/>
  <c r="N66" i="9"/>
  <c r="O271" i="9"/>
  <c r="H164" i="9"/>
  <c r="F213" i="9"/>
  <c r="N146" i="9"/>
  <c r="F235" i="9"/>
  <c r="C111" i="9"/>
  <c r="I22" i="9"/>
  <c r="E81" i="9"/>
  <c r="H193" i="9"/>
  <c r="E98" i="9"/>
  <c r="K58" i="3"/>
  <c r="N161" i="9"/>
  <c r="L141" i="9"/>
  <c r="C113" i="9"/>
  <c r="F148" i="9"/>
  <c r="N110" i="9"/>
  <c r="L275" i="9"/>
  <c r="K102" i="9"/>
  <c r="C122" i="9"/>
  <c r="K137" i="9"/>
  <c r="H113" i="9"/>
  <c r="O200" i="9"/>
  <c r="F102" i="9"/>
  <c r="E30" i="9"/>
  <c r="N119" i="9"/>
  <c r="O33" i="9"/>
  <c r="K70" i="3"/>
  <c r="K275" i="9"/>
  <c r="E122" i="9"/>
  <c r="F275" i="9"/>
  <c r="C184" i="9"/>
  <c r="K31" i="9"/>
  <c r="O29" i="9"/>
  <c r="K260" i="9"/>
  <c r="K264" i="9"/>
  <c r="L72" i="9"/>
  <c r="C273" i="9"/>
  <c r="F45" i="9"/>
  <c r="E159" i="9"/>
  <c r="H176" i="9"/>
  <c r="H203" i="9"/>
  <c r="N276" i="9"/>
  <c r="I139" i="9"/>
  <c r="H38" i="9"/>
  <c r="E276" i="9"/>
  <c r="K82" i="9"/>
  <c r="H221" i="9"/>
  <c r="F197" i="9"/>
  <c r="K165" i="9"/>
  <c r="F81" i="9"/>
  <c r="K49" i="3"/>
  <c r="I252" i="9"/>
  <c r="E151" i="9"/>
  <c r="G61" i="3"/>
  <c r="K258" i="9"/>
  <c r="K273" i="9"/>
  <c r="I258" i="9"/>
  <c r="L154" i="9"/>
  <c r="F274" i="9"/>
  <c r="E31" i="9"/>
  <c r="O44" i="9"/>
  <c r="O180" i="9"/>
  <c r="O224" i="9"/>
  <c r="F26" i="9"/>
  <c r="F278" i="9"/>
  <c r="K69" i="9"/>
  <c r="N199" i="9"/>
  <c r="H61" i="9"/>
  <c r="G57" i="3"/>
  <c r="E123" i="9"/>
  <c r="O280" i="9"/>
  <c r="K81" i="9"/>
  <c r="N189" i="9"/>
  <c r="K179" i="9"/>
  <c r="O158" i="9"/>
  <c r="E194" i="9"/>
  <c r="F32" i="9"/>
  <c r="F71" i="9"/>
  <c r="H192" i="9"/>
  <c r="L71" i="9"/>
  <c r="F23" i="9"/>
  <c r="E189" i="9"/>
  <c r="G50" i="3"/>
  <c r="H101" i="9"/>
  <c r="O161" i="9"/>
  <c r="G41" i="3"/>
  <c r="E278" i="9"/>
  <c r="N262" i="9"/>
  <c r="K23" i="9"/>
  <c r="K218" i="9"/>
  <c r="I52" i="9"/>
  <c r="H178" i="9"/>
  <c r="E259" i="9"/>
  <c r="K108" i="9"/>
  <c r="L30" i="9"/>
  <c r="K6" i="3"/>
  <c r="E111" i="9"/>
  <c r="O109" i="9"/>
  <c r="L224" i="9"/>
  <c r="I161" i="9"/>
  <c r="G64" i="3"/>
  <c r="K19" i="5"/>
  <c r="K73" i="9"/>
  <c r="K67" i="3"/>
  <c r="N226" i="9"/>
  <c r="F118" i="9"/>
  <c r="K215" i="9"/>
  <c r="K232" i="9"/>
  <c r="N250" i="9"/>
  <c r="N60" i="9"/>
  <c r="C181" i="9"/>
  <c r="C250" i="9"/>
  <c r="K44" i="3"/>
  <c r="N154" i="9"/>
  <c r="H216" i="9"/>
  <c r="H239" i="9"/>
  <c r="N38" i="9"/>
  <c r="N128" i="9"/>
  <c r="C230" i="9"/>
  <c r="H49" i="9"/>
  <c r="N165" i="9"/>
  <c r="N144" i="9"/>
  <c r="O179" i="9"/>
  <c r="I156" i="9"/>
  <c r="E235" i="9"/>
  <c r="C196" i="9"/>
  <c r="C177" i="9"/>
  <c r="K140" i="9"/>
  <c r="K56" i="3"/>
  <c r="F116" i="9"/>
  <c r="N152" i="9"/>
  <c r="F166" i="9"/>
  <c r="H34" i="9"/>
  <c r="C154" i="9"/>
  <c r="L220" i="9"/>
  <c r="I107" i="9"/>
  <c r="L186" i="9"/>
  <c r="F34" i="9"/>
  <c r="I136" i="9"/>
  <c r="K114" i="9"/>
  <c r="C229" i="9"/>
  <c r="C191" i="9"/>
  <c r="I81" i="9"/>
  <c r="E50" i="9"/>
  <c r="N151" i="9"/>
  <c r="C193" i="9"/>
  <c r="K85" i="9"/>
  <c r="E118" i="9"/>
  <c r="H23" i="9"/>
  <c r="N157" i="9"/>
  <c r="F43" i="9"/>
  <c r="L175" i="9"/>
  <c r="K142" i="9"/>
  <c r="N231" i="9"/>
  <c r="E230" i="9"/>
  <c r="F106" i="9"/>
  <c r="H190" i="9"/>
  <c r="F218" i="9"/>
  <c r="L191" i="9"/>
  <c r="O217" i="9"/>
  <c r="K127" i="9"/>
  <c r="O49" i="9"/>
  <c r="I28" i="9"/>
  <c r="I159" i="9"/>
  <c r="O154" i="9"/>
  <c r="F241" i="9"/>
  <c r="C101" i="9"/>
  <c r="E228" i="9"/>
  <c r="C183" i="9"/>
  <c r="F128" i="9"/>
  <c r="H66" i="9"/>
  <c r="C200" i="9"/>
  <c r="K155" i="9"/>
  <c r="I259" i="9"/>
  <c r="C269" i="9"/>
  <c r="N136" i="9"/>
  <c r="L238" i="9"/>
  <c r="L262" i="9"/>
  <c r="I46" i="9"/>
  <c r="K107" i="9"/>
  <c r="I72" i="9"/>
  <c r="K277" i="9"/>
  <c r="L280" i="9"/>
  <c r="F115" i="9"/>
  <c r="F233" i="9"/>
  <c r="L111" i="9"/>
  <c r="H84" i="9"/>
  <c r="E120" i="9"/>
  <c r="O127" i="9"/>
  <c r="K212" i="9"/>
  <c r="E236" i="9"/>
  <c r="F79" i="9"/>
  <c r="N269" i="9"/>
  <c r="E143" i="9"/>
  <c r="F73" i="9"/>
  <c r="F183" i="9"/>
  <c r="F62" i="9"/>
  <c r="O69" i="9"/>
  <c r="K7" i="5"/>
  <c r="K262" i="9"/>
  <c r="F229" i="9"/>
  <c r="L51" i="9"/>
  <c r="K14" i="3"/>
  <c r="I104" i="9"/>
  <c r="K224" i="9"/>
  <c r="N264" i="9"/>
  <c r="H48" i="9"/>
  <c r="I140" i="9"/>
  <c r="I145" i="9"/>
  <c r="O48" i="3"/>
  <c r="I175" i="9"/>
  <c r="K126" i="9"/>
  <c r="C255" i="9"/>
  <c r="F75" i="9"/>
  <c r="K59" i="3"/>
  <c r="E257" i="9"/>
  <c r="K118" i="9"/>
  <c r="O273" i="9"/>
  <c r="K234" i="9"/>
  <c r="K51" i="9"/>
  <c r="K75" i="3"/>
  <c r="L82" i="9"/>
  <c r="O98" i="9"/>
  <c r="H148" i="9"/>
  <c r="N263" i="9"/>
  <c r="G60" i="3"/>
  <c r="C180" i="9"/>
  <c r="E119" i="9"/>
  <c r="L31" i="9"/>
  <c r="F160" i="9"/>
  <c r="K79" i="9"/>
  <c r="H37" i="9"/>
  <c r="C50" i="9"/>
  <c r="C268" i="9"/>
  <c r="L66" i="9"/>
  <c r="K49" i="9"/>
  <c r="E165" i="9"/>
  <c r="F163" i="9"/>
  <c r="H35" i="9"/>
  <c r="F50" i="9"/>
  <c r="L251" i="9"/>
  <c r="K90" i="9"/>
  <c r="K219" i="9"/>
  <c r="K163" i="9"/>
  <c r="O63" i="3"/>
  <c r="E84" i="9"/>
  <c r="F270" i="9"/>
  <c r="K60" i="3"/>
  <c r="O255" i="9"/>
  <c r="H141" i="9"/>
  <c r="F120" i="9"/>
  <c r="N164" i="9"/>
  <c r="I69" i="9"/>
  <c r="I73" i="9"/>
  <c r="C271" i="9"/>
  <c r="F267" i="9"/>
  <c r="F181" i="9"/>
  <c r="N79" i="9"/>
  <c r="F72" i="9"/>
  <c r="C186" i="9"/>
  <c r="O231" i="9"/>
  <c r="E23" i="9"/>
  <c r="K9" i="3"/>
  <c r="H189" i="9"/>
  <c r="F228" i="9"/>
  <c r="O144" i="9"/>
  <c r="N239" i="9"/>
  <c r="K220" i="9"/>
  <c r="O223" i="9"/>
  <c r="K22" i="3"/>
  <c r="L162" i="9"/>
  <c r="E75" i="9"/>
  <c r="E33" i="9"/>
  <c r="K201" i="9"/>
  <c r="E149" i="9"/>
  <c r="K34" i="9"/>
  <c r="O102" i="9"/>
  <c r="G38" i="3"/>
  <c r="L188" i="9"/>
  <c r="C238" i="9"/>
  <c r="I111" i="9"/>
  <c r="I77" i="9"/>
  <c r="F220" i="9"/>
  <c r="I274" i="9"/>
  <c r="C107" i="9"/>
  <c r="N258" i="9"/>
  <c r="O258" i="9"/>
  <c r="O166" i="9"/>
  <c r="H85" i="9"/>
  <c r="N27" i="9"/>
  <c r="I262" i="9"/>
  <c r="K253" i="9"/>
  <c r="E261" i="9"/>
  <c r="C65" i="9"/>
  <c r="I47" i="9"/>
  <c r="F261" i="9"/>
  <c r="C270" i="9"/>
  <c r="O90" i="9"/>
  <c r="O251" i="9"/>
  <c r="K66" i="3"/>
  <c r="C254" i="9"/>
  <c r="O242" i="9"/>
  <c r="K157" i="9"/>
  <c r="L119" i="9"/>
  <c r="K116" i="9"/>
  <c r="O23" i="9"/>
  <c r="E153" i="9"/>
  <c r="I63" i="9"/>
  <c r="I74" i="9"/>
  <c r="C114" i="9"/>
  <c r="O41" i="3"/>
  <c r="N78" i="9"/>
  <c r="F124" i="9"/>
  <c r="L157" i="9"/>
  <c r="E69" i="9"/>
  <c r="F70" i="9"/>
  <c r="K87" i="9"/>
  <c r="I260" i="9"/>
  <c r="F277" i="9"/>
  <c r="N216" i="9"/>
  <c r="K13" i="3"/>
  <c r="F30" i="9"/>
  <c r="F87" i="9"/>
  <c r="H82" i="9"/>
  <c r="K228" i="9"/>
  <c r="O212" i="9"/>
  <c r="O73" i="3"/>
  <c r="K159" i="9"/>
  <c r="N81" i="9"/>
  <c r="E272" i="9"/>
  <c r="H86" i="9"/>
  <c r="N111" i="9"/>
  <c r="E107" i="9"/>
  <c r="E176" i="9"/>
  <c r="O148" i="9"/>
  <c r="L192" i="9"/>
  <c r="K109" i="9"/>
  <c r="O31" i="9"/>
  <c r="L137" i="9"/>
  <c r="O221" i="9"/>
  <c r="I221" i="9"/>
  <c r="E139" i="9"/>
  <c r="C90" i="9"/>
  <c r="I30" i="9"/>
  <c r="L117" i="9"/>
  <c r="H276" i="9"/>
  <c r="K32" i="3"/>
  <c r="K11" i="5"/>
  <c r="C188" i="9"/>
  <c r="I44" i="9"/>
  <c r="C106" i="9"/>
  <c r="I32" i="9"/>
  <c r="H146" i="9"/>
  <c r="F236" i="9"/>
  <c r="C234" i="9"/>
  <c r="O39" i="3"/>
  <c r="L98" i="9"/>
  <c r="O32" i="3"/>
  <c r="K111" i="9"/>
  <c r="I216" i="9"/>
  <c r="C266" i="9"/>
  <c r="N30" i="9"/>
  <c r="F219" i="9"/>
  <c r="H83" i="9"/>
  <c r="F162" i="9"/>
  <c r="K238" i="9"/>
  <c r="I163" i="9"/>
  <c r="F232" i="9"/>
  <c r="G75" i="3"/>
  <c r="G58" i="3"/>
  <c r="N198" i="9"/>
  <c r="H72" i="9"/>
  <c r="H194" i="9"/>
  <c r="H138" i="9"/>
  <c r="I228" i="9"/>
  <c r="E264" i="9"/>
  <c r="N139" i="9"/>
  <c r="I34" i="9"/>
  <c r="N153" i="9"/>
  <c r="H161" i="9"/>
  <c r="O78" i="9"/>
  <c r="H225" i="9"/>
  <c r="E100" i="9"/>
  <c r="E240" i="9"/>
  <c r="H228" i="9"/>
  <c r="L180" i="9"/>
  <c r="E66" i="9"/>
  <c r="N88" i="9"/>
  <c r="F80" i="9"/>
  <c r="G73" i="3"/>
  <c r="I270" i="9"/>
  <c r="E101" i="9"/>
  <c r="E200" i="9"/>
  <c r="F215" i="9"/>
  <c r="L23" i="9"/>
  <c r="I80" i="9"/>
  <c r="E64" i="9"/>
  <c r="K71" i="3"/>
  <c r="H90" i="9"/>
  <c r="I102" i="9"/>
  <c r="N143" i="9"/>
  <c r="O70" i="3"/>
  <c r="K266" i="9"/>
  <c r="H234" i="9"/>
  <c r="H126" i="9"/>
  <c r="L158" i="9"/>
  <c r="L83" i="9"/>
  <c r="C252" i="9"/>
  <c r="O252" i="9"/>
  <c r="I238" i="9"/>
  <c r="N83" i="9"/>
  <c r="E184" i="9"/>
  <c r="F142" i="9"/>
  <c r="O256" i="9"/>
  <c r="F174" i="9"/>
  <c r="L123" i="9"/>
  <c r="I101" i="9"/>
  <c r="E102" i="9"/>
  <c r="C62" i="9"/>
  <c r="F214" i="9"/>
  <c r="O195" i="9"/>
  <c r="L164" i="9"/>
  <c r="O64" i="9"/>
  <c r="I254" i="9"/>
  <c r="N104" i="9"/>
  <c r="O30" i="9"/>
  <c r="F103" i="9"/>
  <c r="H144" i="9"/>
  <c r="K80" i="9"/>
  <c r="O226" i="9"/>
  <c r="F139" i="9"/>
  <c r="F107" i="9"/>
  <c r="C87" i="9"/>
  <c r="C60" i="9"/>
  <c r="L65" i="9"/>
  <c r="C82" i="9"/>
  <c r="F40" i="9"/>
  <c r="K191" i="9"/>
  <c r="K256" i="9"/>
  <c r="N68" i="9"/>
  <c r="H165" i="9"/>
  <c r="H237" i="9"/>
  <c r="I27" i="9"/>
  <c r="O123" i="9"/>
  <c r="C74" i="9"/>
  <c r="C262" i="9"/>
  <c r="F27" i="9"/>
  <c r="L151" i="9"/>
  <c r="E126" i="9"/>
  <c r="O143" i="9"/>
  <c r="F188" i="9"/>
  <c r="F98" i="9"/>
  <c r="I68" i="9"/>
  <c r="L266" i="9"/>
  <c r="N108" i="9"/>
  <c r="K120" i="9"/>
  <c r="L219" i="9"/>
  <c r="C30" i="9"/>
  <c r="I264" i="9"/>
  <c r="L67" i="9"/>
  <c r="H114" i="9"/>
  <c r="O278" i="9"/>
  <c r="H102" i="9"/>
  <c r="O239" i="9"/>
  <c r="H36" i="9"/>
  <c r="L33" i="9"/>
  <c r="K103" i="9"/>
  <c r="O45" i="3"/>
  <c r="H46" i="9"/>
  <c r="L118" i="9"/>
  <c r="E181" i="9"/>
  <c r="H271" i="9"/>
  <c r="F159" i="9"/>
  <c r="L257" i="9"/>
  <c r="E78" i="9"/>
  <c r="K269" i="9"/>
  <c r="O229" i="9"/>
  <c r="L163" i="9"/>
  <c r="C47" i="9"/>
  <c r="F269" i="9"/>
  <c r="N142" i="9"/>
  <c r="L29" i="9"/>
  <c r="E174" i="9"/>
  <c r="K164" i="9"/>
  <c r="K240" i="9"/>
  <c r="O118" i="9"/>
  <c r="I199" i="9"/>
  <c r="K190" i="9"/>
  <c r="K66" i="9"/>
  <c r="L241" i="9"/>
  <c r="C64" i="9"/>
  <c r="C258" i="9"/>
  <c r="N192" i="9"/>
  <c r="H143" i="9"/>
  <c r="L256" i="9"/>
  <c r="E156" i="9"/>
  <c r="L156" i="9"/>
  <c r="I149" i="9"/>
  <c r="L233" i="9"/>
  <c r="C137" i="9"/>
  <c r="C115" i="9"/>
  <c r="E226" i="9"/>
  <c r="E79" i="9"/>
  <c r="E22" i="9"/>
  <c r="L87" i="9"/>
  <c r="O104" i="9"/>
  <c r="E221" i="9"/>
  <c r="E217" i="9"/>
  <c r="I214" i="9"/>
  <c r="C81" i="9"/>
  <c r="N126" i="9"/>
  <c r="L270" i="9"/>
  <c r="L221" i="9"/>
  <c r="C123" i="9"/>
  <c r="L128" i="9"/>
  <c r="N85" i="9"/>
  <c r="O45" i="9"/>
  <c r="N35" i="9"/>
  <c r="O70" i="9"/>
  <c r="L64" i="9"/>
  <c r="E152" i="9"/>
  <c r="K74" i="9"/>
  <c r="N236" i="9"/>
  <c r="O259" i="9"/>
  <c r="H266" i="9"/>
  <c r="K123" i="9"/>
  <c r="I186" i="9"/>
  <c r="I236" i="9"/>
  <c r="L62" i="9"/>
  <c r="K239" i="9"/>
  <c r="O69" i="3"/>
  <c r="E220" i="9"/>
  <c r="C28" i="9"/>
  <c r="O120" i="9"/>
  <c r="O220" i="9"/>
  <c r="K60" i="9"/>
  <c r="E38" i="9"/>
  <c r="K188" i="9"/>
  <c r="K18" i="5"/>
  <c r="L115" i="9"/>
  <c r="K24" i="3"/>
  <c r="F184" i="9"/>
  <c r="I105" i="9"/>
  <c r="I119" i="9"/>
  <c r="O175" i="9"/>
  <c r="C279" i="9"/>
  <c r="C153" i="9"/>
  <c r="K213" i="9"/>
  <c r="G65" i="3"/>
  <c r="H106" i="9"/>
  <c r="C274" i="9"/>
  <c r="K192" i="9"/>
  <c r="E109" i="9"/>
  <c r="N242" i="9"/>
  <c r="E241" i="9"/>
  <c r="O32" i="9"/>
  <c r="K265" i="9"/>
  <c r="E46" i="9"/>
  <c r="O60" i="3"/>
  <c r="L26" i="9"/>
  <c r="H229" i="9"/>
  <c r="L88" i="9"/>
  <c r="G44" i="3"/>
  <c r="L197" i="9"/>
  <c r="C98" i="9"/>
  <c r="K42" i="3"/>
  <c r="L148" i="9"/>
  <c r="O155" i="9"/>
  <c r="O74" i="3"/>
  <c r="C110" i="9"/>
  <c r="E203" i="9"/>
  <c r="N37" i="9"/>
  <c r="F110" i="9"/>
  <c r="G40" i="3"/>
  <c r="K119" i="9"/>
  <c r="I109" i="9"/>
  <c r="H69" i="9"/>
  <c r="C236" i="9"/>
  <c r="E136" i="9"/>
  <c r="C79" i="9"/>
  <c r="E113" i="9"/>
  <c r="H117" i="9"/>
  <c r="H42" i="9"/>
  <c r="N184" i="9"/>
  <c r="C163" i="9"/>
  <c r="L174" i="9"/>
  <c r="K186" i="9"/>
  <c r="O236" i="9"/>
  <c r="O149" i="9"/>
  <c r="H280" i="9"/>
  <c r="C162" i="9"/>
  <c r="E37" i="9"/>
  <c r="L127" i="9"/>
  <c r="I203" i="9"/>
  <c r="K174" i="9"/>
  <c r="K43" i="9"/>
  <c r="L261" i="9"/>
  <c r="O27" i="9"/>
  <c r="K7" i="3"/>
  <c r="K113" i="9"/>
  <c r="H154" i="9"/>
  <c r="L194" i="9"/>
  <c r="K198" i="9"/>
  <c r="E106" i="9"/>
  <c r="C39" i="9"/>
  <c r="N45" i="9"/>
  <c r="I35" i="9"/>
  <c r="O48" i="9"/>
  <c r="I106" i="9"/>
  <c r="O230" i="9"/>
  <c r="L78" i="9"/>
  <c r="E51" i="9"/>
  <c r="K18" i="3"/>
  <c r="C148" i="9"/>
  <c r="O189" i="9"/>
  <c r="O145" i="9"/>
  <c r="F76" i="9"/>
  <c r="I200" i="9"/>
  <c r="E86" i="9"/>
  <c r="I253" i="9"/>
  <c r="O213" i="9"/>
  <c r="C203" i="9"/>
  <c r="C224" i="9"/>
  <c r="K214" i="9"/>
  <c r="C218" i="9"/>
  <c r="N240" i="9"/>
  <c r="H252" i="9"/>
  <c r="K279" i="9"/>
  <c r="K255" i="9"/>
  <c r="E178" i="9"/>
  <c r="F279" i="9"/>
  <c r="H60" i="9"/>
  <c r="K280" i="9"/>
  <c r="I61" i="9"/>
  <c r="L112" i="9"/>
  <c r="O181" i="9"/>
  <c r="L49" i="9"/>
  <c r="I48" i="9"/>
  <c r="I196" i="9"/>
  <c r="O128" i="9"/>
  <c r="C197" i="9"/>
  <c r="K44" i="9"/>
  <c r="C267" i="9"/>
  <c r="I255" i="9"/>
  <c r="N24" i="9"/>
  <c r="K9" i="5"/>
  <c r="N41" i="9"/>
  <c r="K233" i="9"/>
  <c r="F67" i="9"/>
  <c r="N279" i="9"/>
  <c r="L147" i="9"/>
  <c r="F126" i="9"/>
  <c r="H123" i="9"/>
  <c r="O62" i="3"/>
  <c r="O184" i="9"/>
  <c r="F242" i="9"/>
  <c r="F90" i="9"/>
  <c r="H70" i="9"/>
  <c r="H238" i="9"/>
  <c r="C213" i="9"/>
  <c r="K261" i="9"/>
  <c r="O114" i="9"/>
  <c r="O266" i="9"/>
  <c r="K112" i="9"/>
  <c r="C228" i="9"/>
  <c r="L73" i="9"/>
  <c r="I272" i="9"/>
  <c r="I235" i="9"/>
  <c r="O43" i="9"/>
  <c r="I116" i="9"/>
  <c r="I201" i="9"/>
  <c r="F123" i="9"/>
  <c r="E182" i="9"/>
  <c r="E164" i="9"/>
  <c r="I71" i="9"/>
  <c r="E266" i="9"/>
  <c r="H214" i="9"/>
  <c r="K47" i="9"/>
  <c r="O64" i="3"/>
  <c r="N224" i="9"/>
  <c r="E125" i="9"/>
  <c r="N180" i="9"/>
  <c r="N100" i="9"/>
  <c r="K29" i="9"/>
  <c r="K47" i="3"/>
  <c r="F237" i="9"/>
  <c r="L70" i="9"/>
  <c r="O272" i="9"/>
  <c r="C120" i="9"/>
  <c r="F119" i="9"/>
  <c r="K259" i="9"/>
  <c r="I128" i="9"/>
  <c r="H215" i="9"/>
  <c r="H52" i="9"/>
  <c r="H226" i="9"/>
  <c r="I49" i="9"/>
  <c r="E179" i="9"/>
  <c r="H63" i="9"/>
  <c r="E52" i="9"/>
  <c r="O66" i="3"/>
  <c r="C220" i="9"/>
  <c r="L140" i="9"/>
  <c r="K241" i="9"/>
  <c r="L81" i="9"/>
  <c r="G31" i="3"/>
  <c r="L105" i="9"/>
  <c r="H111" i="9"/>
  <c r="L43" i="9"/>
  <c r="E192" i="9"/>
  <c r="O110" i="9"/>
  <c r="G36" i="3"/>
  <c r="N31" i="9"/>
  <c r="K124" i="9"/>
  <c r="O165" i="9"/>
  <c r="F144" i="9"/>
  <c r="O139" i="9"/>
  <c r="K67" i="9"/>
  <c r="H29" i="9"/>
  <c r="K20" i="3"/>
  <c r="F231" i="9"/>
  <c r="C251" i="9"/>
  <c r="K33" i="9"/>
  <c r="K230" i="9"/>
  <c r="H191" i="9"/>
  <c r="N51" i="9"/>
  <c r="C26" i="9"/>
  <c r="N259" i="9"/>
  <c r="N121" i="9"/>
  <c r="O202" i="9"/>
  <c r="E145" i="9"/>
  <c r="C102" i="9"/>
  <c r="H188" i="9"/>
  <c r="I263" i="9"/>
  <c r="N44" i="9"/>
  <c r="L40" i="9"/>
  <c r="H217" i="9"/>
  <c r="L179" i="9"/>
  <c r="L254" i="9"/>
  <c r="H240" i="9"/>
  <c r="L48" i="9"/>
  <c r="F125" i="9"/>
  <c r="C232" i="9"/>
  <c r="E231" i="9"/>
  <c r="C157" i="9"/>
  <c r="G69" i="3"/>
  <c r="N268" i="9"/>
  <c r="N251" i="9"/>
  <c r="C265" i="9"/>
  <c r="I160" i="9"/>
  <c r="O276" i="9"/>
  <c r="F33" i="9"/>
  <c r="H224" i="9"/>
  <c r="L272" i="9"/>
  <c r="K69" i="3"/>
  <c r="C212" i="9"/>
  <c r="K89" i="9"/>
  <c r="C41" i="9"/>
  <c r="I229" i="9"/>
  <c r="L68" i="9"/>
  <c r="L125" i="9"/>
  <c r="H98" i="9"/>
  <c r="E47" i="9"/>
  <c r="F35" i="9"/>
  <c r="F216" i="9"/>
  <c r="I267" i="9"/>
  <c r="C49" i="9"/>
  <c r="F164" i="9"/>
  <c r="K197" i="9"/>
  <c r="O188" i="9"/>
  <c r="E63" i="9"/>
  <c r="I41" i="9"/>
  <c r="N273" i="9"/>
  <c r="O65" i="9"/>
  <c r="F49" i="9"/>
  <c r="L45" i="9"/>
  <c r="H107" i="9"/>
  <c r="C29" i="9"/>
  <c r="L253" i="9"/>
  <c r="N28" i="9"/>
  <c r="I231" i="9"/>
  <c r="C36" i="9"/>
  <c r="H177" i="9"/>
  <c r="I144" i="9"/>
  <c r="K98" i="9"/>
  <c r="I276" i="9"/>
  <c r="L189" i="9"/>
  <c r="K148" i="9"/>
  <c r="C182" i="9"/>
  <c r="O100" i="9"/>
  <c r="E105" i="9"/>
  <c r="E158" i="9"/>
  <c r="H110" i="9"/>
  <c r="N103" i="9"/>
  <c r="F137" i="9"/>
  <c r="N193" i="9"/>
  <c r="N257" i="9"/>
  <c r="I183" i="9"/>
  <c r="K68" i="3"/>
  <c r="K125" i="9"/>
  <c r="E67" i="9"/>
  <c r="H184" i="9"/>
  <c r="L223" i="9"/>
  <c r="C85" i="9"/>
  <c r="E82" i="9"/>
  <c r="E193" i="9"/>
  <c r="F201" i="9"/>
  <c r="I62" i="9"/>
  <c r="I265" i="9"/>
  <c r="H88" i="9"/>
  <c r="O46" i="9"/>
  <c r="I233" i="9"/>
  <c r="F258" i="9"/>
  <c r="K42" i="9"/>
  <c r="H262" i="9"/>
  <c r="N36" i="9"/>
  <c r="L213" i="9"/>
  <c r="K63" i="9"/>
  <c r="I124" i="9"/>
  <c r="H45" i="9"/>
  <c r="H81" i="9"/>
  <c r="C63" i="9"/>
  <c r="G56" i="3"/>
  <c r="I24" i="9"/>
  <c r="F155" i="9"/>
  <c r="E163" i="9"/>
  <c r="H160" i="9"/>
  <c r="N187" i="9"/>
  <c r="H89" i="9"/>
  <c r="L231" i="9"/>
  <c r="N138" i="9"/>
  <c r="O228" i="9"/>
  <c r="L32" i="9"/>
  <c r="E110" i="9"/>
  <c r="H25" i="9"/>
  <c r="E180" i="9"/>
  <c r="E61" i="9"/>
  <c r="I40" i="9"/>
  <c r="I141" i="9"/>
  <c r="E229" i="9"/>
  <c r="N275" i="9"/>
  <c r="C86" i="9"/>
  <c r="I45" i="9"/>
  <c r="N125" i="9"/>
  <c r="N64" i="9"/>
  <c r="C73" i="9"/>
  <c r="O103" i="9"/>
  <c r="L85" i="9"/>
  <c r="O178" i="9"/>
  <c r="E218" i="9"/>
  <c r="K31" i="3"/>
  <c r="H273" i="9"/>
  <c r="N26" i="9"/>
  <c r="O50" i="3"/>
  <c r="I147" i="9"/>
  <c r="G62" i="3"/>
  <c r="N218" i="9"/>
  <c r="I89" i="9"/>
  <c r="K161" i="9"/>
  <c r="N217" i="9"/>
  <c r="O222" i="9"/>
  <c r="K276" i="9"/>
  <c r="K11" i="3"/>
  <c r="K254" i="9"/>
  <c r="C116" i="9"/>
  <c r="K41" i="3"/>
  <c r="C138" i="9"/>
  <c r="I117" i="9"/>
  <c r="N124" i="9"/>
  <c r="H27" i="9"/>
  <c r="K263" i="9"/>
  <c r="N266" i="9"/>
  <c r="E232" i="9"/>
  <c r="N254" i="9"/>
  <c r="K28" i="9"/>
  <c r="O275" i="9"/>
  <c r="E185" i="9"/>
  <c r="E124" i="9"/>
  <c r="I222" i="9"/>
  <c r="E48" i="9"/>
  <c r="O203" i="9"/>
  <c r="N74" i="9"/>
  <c r="H100" i="9"/>
  <c r="O157" i="9"/>
  <c r="I67" i="9"/>
  <c r="N148" i="9"/>
  <c r="H242" i="9"/>
  <c r="K77" i="9"/>
  <c r="I79" i="9"/>
  <c r="K39" i="9"/>
  <c r="F84" i="9"/>
  <c r="E224" i="9"/>
  <c r="N155" i="9"/>
  <c r="F39" i="9"/>
  <c r="N230" i="9"/>
  <c r="K139" i="9"/>
  <c r="C147" i="9"/>
  <c r="N63" i="9"/>
  <c r="C195" i="9"/>
  <c r="O138" i="9"/>
  <c r="O36" i="3"/>
  <c r="I193" i="9"/>
  <c r="N177" i="9"/>
  <c r="C112" i="9"/>
  <c r="C142" i="9"/>
  <c r="O215" i="9"/>
  <c r="L279" i="9"/>
  <c r="H152" i="9"/>
  <c r="O261" i="9"/>
  <c r="K25" i="9"/>
  <c r="E253" i="9"/>
  <c r="H62" i="9"/>
  <c r="H198" i="9"/>
  <c r="N73" i="9"/>
  <c r="F271" i="9"/>
  <c r="K204" i="9"/>
  <c r="I154" i="9"/>
  <c r="K203" i="9"/>
  <c r="H220" i="9"/>
  <c r="F176" i="9"/>
  <c r="K48" i="9"/>
  <c r="K12" i="5"/>
  <c r="O67" i="3"/>
  <c r="O141" i="9"/>
  <c r="L234" i="9"/>
  <c r="I158" i="9"/>
  <c r="O136" i="9"/>
  <c r="O101" i="9"/>
  <c r="C264" i="9"/>
  <c r="K36" i="9"/>
  <c r="O88" i="9"/>
  <c r="O72" i="9"/>
  <c r="E90" i="9"/>
  <c r="G34" i="3"/>
  <c r="E162" i="9"/>
  <c r="F41" i="9"/>
  <c r="K21" i="3"/>
  <c r="C239" i="9"/>
  <c r="K43" i="3"/>
  <c r="K46" i="9"/>
  <c r="N176" i="9"/>
  <c r="E144" i="9"/>
  <c r="N86" i="9"/>
  <c r="K19" i="3"/>
  <c r="L100" i="9"/>
  <c r="O160" i="9"/>
  <c r="C164" i="9"/>
  <c r="I237" i="9"/>
  <c r="E157" i="9"/>
  <c r="I37" i="9"/>
  <c r="I190" i="9"/>
  <c r="E262" i="9"/>
  <c r="F109" i="9"/>
  <c r="N241" i="9"/>
  <c r="L36" i="9"/>
  <c r="E225" i="9"/>
  <c r="I187" i="9"/>
  <c r="O234" i="9"/>
  <c r="L235" i="9"/>
  <c r="O47" i="9"/>
  <c r="H150" i="9"/>
  <c r="K229" i="9"/>
  <c r="E80" i="9"/>
  <c r="C100" i="9"/>
  <c r="G70" i="3"/>
  <c r="H187" i="9"/>
  <c r="F161" i="9"/>
  <c r="C175" i="9"/>
  <c r="L35" i="9"/>
  <c r="N214" i="9"/>
  <c r="E212" i="9"/>
  <c r="F122" i="9"/>
  <c r="K176" i="9"/>
  <c r="E85" i="9"/>
  <c r="O107" i="9"/>
  <c r="O99" i="9"/>
  <c r="O194" i="9"/>
  <c r="L230" i="9"/>
  <c r="L195" i="9"/>
  <c r="O274" i="9"/>
  <c r="E251" i="9"/>
  <c r="I268" i="9"/>
  <c r="H278" i="9"/>
  <c r="H158" i="9"/>
  <c r="O193" i="9"/>
  <c r="N194" i="9"/>
  <c r="L176" i="9"/>
  <c r="I164" i="9"/>
  <c r="C126" i="9"/>
  <c r="E104" i="9"/>
  <c r="F36" i="9"/>
  <c r="O277" i="9"/>
  <c r="L278" i="9"/>
  <c r="C214" i="9"/>
  <c r="F77" i="9"/>
  <c r="N204" i="9"/>
  <c r="F47" i="9"/>
  <c r="K128" i="9"/>
  <c r="I184" i="9"/>
  <c r="I50" i="9"/>
  <c r="O263" i="9"/>
  <c r="O81" i="9"/>
  <c r="O262" i="9"/>
  <c r="N278" i="9"/>
  <c r="E112" i="9"/>
  <c r="F141" i="9"/>
  <c r="C253" i="9"/>
  <c r="E199" i="9"/>
  <c r="O61" i="9"/>
  <c r="I202" i="9"/>
  <c r="L200" i="9"/>
  <c r="E99" i="9"/>
  <c r="H122" i="9"/>
  <c r="K48" i="3"/>
  <c r="F121" i="9"/>
  <c r="C69" i="9"/>
  <c r="L277" i="9"/>
  <c r="C277" i="9"/>
  <c r="C68" i="9"/>
  <c r="I103" i="9"/>
  <c r="N77" i="9"/>
  <c r="H279" i="9"/>
  <c r="L177" i="9"/>
  <c r="I83" i="9"/>
  <c r="K180" i="9"/>
  <c r="F88" i="9"/>
  <c r="K50" i="9"/>
  <c r="H236" i="9"/>
  <c r="E263" i="9"/>
  <c r="C166" i="9"/>
  <c r="N80" i="9"/>
  <c r="N156" i="9"/>
  <c r="K226" i="9"/>
  <c r="K156" i="9"/>
  <c r="C275" i="9"/>
  <c r="H39" i="9"/>
  <c r="N162" i="9"/>
  <c r="H151" i="9"/>
  <c r="K72" i="3"/>
  <c r="C117" i="9"/>
  <c r="H270" i="9"/>
  <c r="I242" i="9"/>
  <c r="E202" i="9"/>
  <c r="L113" i="9"/>
  <c r="N228" i="9"/>
  <c r="N25" i="9"/>
  <c r="L25" i="9"/>
  <c r="N137" i="9"/>
  <c r="N46" i="9"/>
  <c r="L86" i="9"/>
  <c r="F266" i="9"/>
  <c r="C51" i="9"/>
  <c r="I226" i="9"/>
  <c r="G37" i="3"/>
  <c r="E216" i="9"/>
  <c r="L201" i="9"/>
  <c r="N225" i="9"/>
  <c r="L69" i="9"/>
  <c r="E271" i="9"/>
  <c r="F203" i="9"/>
  <c r="K193" i="9"/>
  <c r="K78" i="9"/>
  <c r="L239" i="9"/>
  <c r="O37" i="9"/>
  <c r="E117" i="9"/>
  <c r="I279" i="9"/>
  <c r="K33" i="3"/>
  <c r="E77" i="9"/>
  <c r="O254" i="9"/>
  <c r="H269" i="9"/>
  <c r="K46" i="3"/>
  <c r="L136" i="9"/>
  <c r="L108" i="9"/>
  <c r="I66" i="9"/>
  <c r="O42" i="9"/>
  <c r="O74" i="9"/>
  <c r="C165" i="9"/>
  <c r="C280" i="9"/>
  <c r="O60" i="9"/>
  <c r="F138" i="9"/>
  <c r="K16" i="5"/>
  <c r="N163" i="9"/>
  <c r="F85" i="9"/>
  <c r="L267" i="9"/>
  <c r="K149" i="9"/>
  <c r="K99" i="9"/>
  <c r="L107" i="9"/>
  <c r="E177" i="9"/>
  <c r="O122" i="9"/>
  <c r="K8" i="3"/>
  <c r="C45" i="9"/>
  <c r="K17" i="3"/>
  <c r="C216" i="9"/>
  <c r="I42" i="9"/>
  <c r="K15" i="5"/>
  <c r="N62" i="9"/>
  <c r="N191" i="9"/>
  <c r="L74" i="9"/>
  <c r="L183" i="9"/>
  <c r="K122" i="9"/>
  <c r="H181" i="9"/>
  <c r="O147" i="9"/>
  <c r="G45" i="3"/>
  <c r="O177" i="9"/>
  <c r="N267" i="9"/>
  <c r="F251" i="9"/>
  <c r="C226" i="9"/>
  <c r="N33" i="9"/>
  <c r="I120" i="9"/>
  <c r="N221" i="9"/>
  <c r="H128" i="9"/>
  <c r="F217" i="9"/>
  <c r="F104" i="9"/>
  <c r="E223" i="9"/>
  <c r="I165" i="9"/>
  <c r="N220" i="9"/>
  <c r="E219" i="9"/>
  <c r="I126" i="9"/>
  <c r="K189" i="9"/>
  <c r="I251" i="9"/>
  <c r="K146" i="9"/>
  <c r="N252" i="9"/>
  <c r="C185" i="9"/>
  <c r="F187" i="9"/>
  <c r="I157" i="9"/>
  <c r="O108" i="9"/>
  <c r="I239" i="9"/>
  <c r="O63" i="9"/>
  <c r="K40" i="9"/>
  <c r="E277" i="9"/>
  <c r="E76" i="9"/>
  <c r="I153" i="9"/>
  <c r="E88" i="9"/>
  <c r="I192" i="9"/>
  <c r="C124" i="9"/>
  <c r="E40" i="9"/>
  <c r="H43" i="9"/>
  <c r="L216" i="9"/>
  <c r="K250" i="9"/>
  <c r="C156" i="9"/>
  <c r="I162" i="9"/>
  <c r="K16" i="3"/>
  <c r="I218" i="9"/>
  <c r="G66" i="3"/>
  <c r="N43" i="9"/>
  <c r="K37" i="9"/>
  <c r="L110" i="9"/>
  <c r="E269" i="9"/>
  <c r="I220" i="9"/>
  <c r="I98" i="9"/>
  <c r="N50" i="9"/>
  <c r="O67" i="9"/>
  <c r="O265" i="9"/>
  <c r="G32" i="3"/>
  <c r="I23" i="9"/>
  <c r="K160" i="9"/>
  <c r="N71" i="9"/>
  <c r="O150" i="9"/>
  <c r="E45" i="9"/>
  <c r="L232" i="9"/>
  <c r="K223" i="9"/>
  <c r="E197" i="9"/>
  <c r="K278" i="9"/>
  <c r="C42" i="9"/>
  <c r="C46" i="9"/>
  <c r="O40" i="9"/>
  <c r="O46" i="3"/>
  <c r="N82" i="9"/>
  <c r="K196" i="9"/>
  <c r="N255" i="9"/>
  <c r="H76" i="9"/>
  <c r="N69" i="9"/>
  <c r="I151" i="9"/>
  <c r="F202" i="9"/>
  <c r="K71" i="9"/>
  <c r="F44" i="9"/>
  <c r="K74" i="3"/>
  <c r="O117" i="9"/>
  <c r="N107" i="9"/>
  <c r="O77" i="9"/>
  <c r="I275" i="9"/>
  <c r="N87" i="9"/>
  <c r="L75" i="9"/>
  <c r="N196" i="9"/>
  <c r="L222" i="9"/>
  <c r="O73" i="9"/>
  <c r="K35" i="9"/>
  <c r="N166" i="9"/>
  <c r="F192" i="9"/>
  <c r="C257" i="9"/>
  <c r="N237" i="9"/>
  <c r="I271" i="9"/>
  <c r="O34" i="9"/>
  <c r="I123" i="9"/>
  <c r="N48" i="9"/>
  <c r="C233" i="9"/>
  <c r="K52" i="9"/>
  <c r="F199" i="9"/>
  <c r="C201" i="9"/>
  <c r="H264" i="9"/>
  <c r="H274" i="9"/>
  <c r="H103" i="9"/>
  <c r="K237" i="9"/>
  <c r="N179" i="9"/>
  <c r="K22" i="5"/>
  <c r="C71" i="9"/>
  <c r="N113" i="9"/>
  <c r="K68" i="9"/>
  <c r="H162" i="9"/>
  <c r="F151" i="9"/>
  <c r="C199" i="9"/>
  <c r="K153" i="9"/>
  <c r="C146" i="9"/>
  <c r="I150" i="9"/>
  <c r="K37" i="3"/>
  <c r="C128" i="9"/>
  <c r="H259" i="9"/>
  <c r="F238" i="9"/>
  <c r="L102" i="9"/>
  <c r="C149" i="9"/>
  <c r="H265" i="9"/>
  <c r="F200" i="9"/>
  <c r="K62" i="3"/>
  <c r="E26" i="9"/>
  <c r="C105" i="9"/>
  <c r="L27" i="9"/>
  <c r="H267" i="9"/>
  <c r="H183" i="9"/>
  <c r="N174" i="9"/>
  <c r="K36" i="3"/>
  <c r="O71" i="9"/>
  <c r="O237" i="9"/>
  <c r="O250" i="9"/>
  <c r="O187" i="9"/>
  <c r="E237" i="9"/>
  <c r="K25" i="3"/>
  <c r="L184" i="9"/>
  <c r="N118" i="9"/>
  <c r="F222" i="9"/>
  <c r="G72" i="3"/>
  <c r="E43" i="9"/>
  <c r="O35" i="9"/>
  <c r="G39" i="3"/>
  <c r="L126" i="9"/>
  <c r="O264" i="9"/>
  <c r="I127" i="9"/>
  <c r="H219" i="9"/>
  <c r="L80" i="9"/>
  <c r="H256" i="9"/>
  <c r="O37" i="3"/>
  <c r="E74" i="9"/>
  <c r="E140" i="9"/>
  <c r="N47" i="9"/>
  <c r="F195" i="9"/>
  <c r="K166" i="9"/>
  <c r="L60" i="9"/>
  <c r="O125" i="9"/>
  <c r="C109" i="9"/>
  <c r="F31" i="9"/>
  <c r="H147" i="9"/>
  <c r="O61" i="3"/>
  <c r="H174" i="9"/>
  <c r="C278" i="9"/>
  <c r="K61" i="3"/>
  <c r="N147" i="9"/>
  <c r="N272" i="9"/>
  <c r="N261" i="9"/>
  <c r="O66" i="9"/>
  <c r="E160" i="9"/>
  <c r="E190" i="9"/>
  <c r="N40" i="9"/>
  <c r="I195" i="9"/>
  <c r="L185" i="9"/>
  <c r="E49" i="9"/>
  <c r="F112" i="9"/>
  <c r="I152" i="9"/>
  <c r="O260" i="9"/>
  <c r="O126" i="9"/>
  <c r="F74" i="9"/>
  <c r="K6" i="5"/>
  <c r="L236" i="9"/>
  <c r="H254" i="9"/>
  <c r="C237" i="9"/>
  <c r="K194" i="9"/>
  <c r="H105" i="9"/>
  <c r="I179" i="9"/>
  <c r="L202" i="9"/>
  <c r="O182" i="9"/>
  <c r="O80" i="9"/>
  <c r="K185" i="9"/>
  <c r="G42" i="3"/>
  <c r="I174" i="9"/>
  <c r="K175" i="9"/>
  <c r="I33" i="9"/>
  <c r="O58" i="3"/>
  <c r="I241" i="9"/>
  <c r="I230" i="9"/>
  <c r="O105" i="9"/>
  <c r="E128" i="9"/>
  <c r="N123" i="9"/>
  <c r="H235" i="9"/>
  <c r="N140" i="9"/>
  <c r="H201" i="9"/>
  <c r="F38" i="9"/>
  <c r="L84" i="9"/>
  <c r="C23" i="9"/>
  <c r="F157" i="9"/>
  <c r="L89" i="9"/>
  <c r="J23" i="9" l="1"/>
  <c r="G23" i="9"/>
  <c r="D23" i="9"/>
  <c r="M23" i="9"/>
  <c r="R58" i="3"/>
  <c r="P58" i="3"/>
  <c r="Q58" i="3"/>
  <c r="I206" i="9"/>
  <c r="H206" i="9" s="1"/>
  <c r="G8" i="9" s="1"/>
  <c r="I42" i="3"/>
  <c r="J42" i="3"/>
  <c r="H42" i="3"/>
  <c r="G237" i="9"/>
  <c r="D237" i="9"/>
  <c r="J237" i="9"/>
  <c r="M237" i="9"/>
  <c r="M6" i="5"/>
  <c r="N6" i="5"/>
  <c r="L6" i="5"/>
  <c r="N61" i="3"/>
  <c r="M61" i="3"/>
  <c r="L61" i="3"/>
  <c r="G278" i="9"/>
  <c r="J278" i="9"/>
  <c r="D278" i="9"/>
  <c r="M278" i="9"/>
  <c r="R61" i="3"/>
  <c r="Q61" i="3"/>
  <c r="P61" i="3"/>
  <c r="J109" i="9"/>
  <c r="M109" i="9"/>
  <c r="G109" i="9"/>
  <c r="D109" i="9"/>
  <c r="L92" i="9"/>
  <c r="K92" i="9" s="1"/>
  <c r="J4" i="9" s="1"/>
  <c r="R37" i="3"/>
  <c r="Q37" i="3"/>
  <c r="P37" i="3"/>
  <c r="H39" i="3"/>
  <c r="J39" i="3"/>
  <c r="I39" i="3"/>
  <c r="H72" i="3"/>
  <c r="I72" i="3"/>
  <c r="J72" i="3"/>
  <c r="N25" i="3"/>
  <c r="L25" i="3"/>
  <c r="M25" i="3"/>
  <c r="O282" i="9"/>
  <c r="N282" i="9" s="1"/>
  <c r="M14" i="9" s="1"/>
  <c r="L36" i="3"/>
  <c r="M36" i="3"/>
  <c r="N36" i="3"/>
  <c r="M105" i="9"/>
  <c r="J105" i="9"/>
  <c r="G105" i="9"/>
  <c r="D105" i="9"/>
  <c r="N62" i="3"/>
  <c r="M62" i="3"/>
  <c r="L62" i="3"/>
  <c r="J149" i="9"/>
  <c r="M149" i="9"/>
  <c r="D149" i="9"/>
  <c r="G149" i="9"/>
  <c r="M128" i="9"/>
  <c r="G128" i="9"/>
  <c r="D128" i="9"/>
  <c r="J128" i="9"/>
  <c r="M37" i="3"/>
  <c r="L37" i="3"/>
  <c r="N37" i="3"/>
  <c r="J146" i="9"/>
  <c r="D146" i="9"/>
  <c r="M146" i="9"/>
  <c r="G146" i="9"/>
  <c r="J199" i="9"/>
  <c r="M199" i="9"/>
  <c r="D199" i="9"/>
  <c r="G199" i="9"/>
  <c r="G71" i="9"/>
  <c r="J71" i="9"/>
  <c r="D71" i="9"/>
  <c r="M71" i="9"/>
  <c r="M22" i="5"/>
  <c r="N22" i="5"/>
  <c r="L22" i="5"/>
  <c r="M201" i="9"/>
  <c r="J201" i="9"/>
  <c r="D201" i="9"/>
  <c r="G201" i="9"/>
  <c r="D233" i="9"/>
  <c r="G233" i="9"/>
  <c r="J233" i="9"/>
  <c r="M233" i="9"/>
  <c r="J257" i="9"/>
  <c r="D257" i="9"/>
  <c r="G257" i="9"/>
  <c r="M257" i="9"/>
  <c r="L74" i="3"/>
  <c r="M74" i="3"/>
  <c r="N74" i="3"/>
  <c r="Q46" i="3"/>
  <c r="R46" i="3"/>
  <c r="P46" i="3"/>
  <c r="M46" i="9"/>
  <c r="G46" i="9"/>
  <c r="J46" i="9"/>
  <c r="D46" i="9"/>
  <c r="D42" i="9"/>
  <c r="G42" i="9"/>
  <c r="M42" i="9"/>
  <c r="J42" i="9"/>
  <c r="I32" i="3"/>
  <c r="J32" i="3"/>
  <c r="H32" i="3"/>
  <c r="I130" i="9"/>
  <c r="H130" i="9" s="1"/>
  <c r="G6" i="9" s="1"/>
  <c r="H66" i="3"/>
  <c r="J66" i="3"/>
  <c r="I66" i="3"/>
  <c r="M16" i="3"/>
  <c r="N16" i="3"/>
  <c r="L16" i="3"/>
  <c r="D156" i="9"/>
  <c r="M156" i="9"/>
  <c r="G156" i="9"/>
  <c r="J156" i="9"/>
  <c r="M124" i="9"/>
  <c r="D124" i="9"/>
  <c r="G124" i="9"/>
  <c r="J124" i="9"/>
  <c r="G185" i="9"/>
  <c r="D185" i="9"/>
  <c r="J185" i="9"/>
  <c r="M185" i="9"/>
  <c r="J226" i="9"/>
  <c r="M226" i="9"/>
  <c r="D226" i="9"/>
  <c r="G226" i="9"/>
  <c r="J45" i="3"/>
  <c r="H45" i="3"/>
  <c r="I45" i="3"/>
  <c r="L15" i="5"/>
  <c r="N15" i="5"/>
  <c r="M15" i="5"/>
  <c r="M216" i="9"/>
  <c r="D216" i="9"/>
  <c r="G216" i="9"/>
  <c r="J216" i="9"/>
  <c r="L17" i="3"/>
  <c r="N17" i="3"/>
  <c r="M17" i="3"/>
  <c r="M45" i="9"/>
  <c r="D45" i="9"/>
  <c r="J45" i="9"/>
  <c r="G45" i="9"/>
  <c r="M8" i="3"/>
  <c r="L8" i="3"/>
  <c r="N8" i="3"/>
  <c r="M16" i="5"/>
  <c r="N16" i="5"/>
  <c r="L16" i="5"/>
  <c r="O92" i="9"/>
  <c r="N92" i="9" s="1"/>
  <c r="M4" i="9" s="1"/>
  <c r="D280" i="9"/>
  <c r="J280" i="9"/>
  <c r="G280" i="9"/>
  <c r="M280" i="9"/>
  <c r="J165" i="9"/>
  <c r="M165" i="9"/>
  <c r="D165" i="9"/>
  <c r="G165" i="9"/>
  <c r="L168" i="9"/>
  <c r="K168" i="9" s="1"/>
  <c r="J12" i="9" s="1"/>
  <c r="N46" i="3"/>
  <c r="L46" i="3"/>
  <c r="M46" i="3"/>
  <c r="M33" i="3"/>
  <c r="N33" i="3"/>
  <c r="L33" i="3"/>
  <c r="I37" i="3"/>
  <c r="J37" i="3"/>
  <c r="H37" i="3"/>
  <c r="M51" i="9"/>
  <c r="D51" i="9"/>
  <c r="J51" i="9"/>
  <c r="G51" i="9"/>
  <c r="G117" i="9"/>
  <c r="D117" i="9"/>
  <c r="M117" i="9"/>
  <c r="J117" i="9"/>
  <c r="M72" i="3"/>
  <c r="L72" i="3"/>
  <c r="N72" i="3"/>
  <c r="G275" i="9"/>
  <c r="M275" i="9"/>
  <c r="D275" i="9"/>
  <c r="J275" i="9"/>
  <c r="J166" i="9"/>
  <c r="M166" i="9"/>
  <c r="D166" i="9"/>
  <c r="G166" i="9"/>
  <c r="J68" i="9"/>
  <c r="D68" i="9"/>
  <c r="M68" i="9"/>
  <c r="G68" i="9"/>
  <c r="G277" i="9"/>
  <c r="J277" i="9"/>
  <c r="M277" i="9"/>
  <c r="D277" i="9"/>
  <c r="M69" i="9"/>
  <c r="J69" i="9"/>
  <c r="D69" i="9"/>
  <c r="G69" i="9"/>
  <c r="L48" i="3"/>
  <c r="M48" i="3"/>
  <c r="N48" i="3"/>
  <c r="J253" i="9"/>
  <c r="G253" i="9"/>
  <c r="D253" i="9"/>
  <c r="M253" i="9"/>
  <c r="D214" i="9"/>
  <c r="G214" i="9"/>
  <c r="J214" i="9"/>
  <c r="M214" i="9"/>
  <c r="G126" i="9"/>
  <c r="M126" i="9"/>
  <c r="D126" i="9"/>
  <c r="J126" i="9"/>
  <c r="J175" i="9"/>
  <c r="G175" i="9"/>
  <c r="M175" i="9"/>
  <c r="D175" i="9"/>
  <c r="H70" i="3"/>
  <c r="I70" i="3"/>
  <c r="J70" i="3"/>
  <c r="D100" i="9"/>
  <c r="G100" i="9"/>
  <c r="M100" i="9"/>
  <c r="J100" i="9"/>
  <c r="G164" i="9"/>
  <c r="J164" i="9"/>
  <c r="D164" i="9"/>
  <c r="M164" i="9"/>
  <c r="M19" i="3"/>
  <c r="N19" i="3"/>
  <c r="L19" i="3"/>
  <c r="M43" i="3"/>
  <c r="N43" i="3"/>
  <c r="L43" i="3"/>
  <c r="M239" i="9"/>
  <c r="D239" i="9"/>
  <c r="G239" i="9"/>
  <c r="J239" i="9"/>
  <c r="L21" i="3"/>
  <c r="N21" i="3"/>
  <c r="M21" i="3"/>
  <c r="I34" i="3"/>
  <c r="J34" i="3"/>
  <c r="H34" i="3"/>
  <c r="J264" i="9"/>
  <c r="D264" i="9"/>
  <c r="M264" i="9"/>
  <c r="G264" i="9"/>
  <c r="O168" i="9"/>
  <c r="N168" i="9" s="1"/>
  <c r="M12" i="9" s="1"/>
  <c r="R67" i="3"/>
  <c r="Q67" i="3"/>
  <c r="P67" i="3"/>
  <c r="L12" i="5"/>
  <c r="M12" i="5"/>
  <c r="N12" i="5"/>
  <c r="M142" i="9"/>
  <c r="G142" i="9"/>
  <c r="J142" i="9"/>
  <c r="D142" i="9"/>
  <c r="G112" i="9"/>
  <c r="M112" i="9"/>
  <c r="J112" i="9"/>
  <c r="D112" i="9"/>
  <c r="R36" i="3"/>
  <c r="P36" i="3"/>
  <c r="Q36" i="3"/>
  <c r="G195" i="9"/>
  <c r="D195" i="9"/>
  <c r="M195" i="9"/>
  <c r="J195" i="9"/>
  <c r="G147" i="9"/>
  <c r="M147" i="9"/>
  <c r="J147" i="9"/>
  <c r="D147" i="9"/>
  <c r="M138" i="9"/>
  <c r="J138" i="9"/>
  <c r="G138" i="9"/>
  <c r="D138" i="9"/>
  <c r="L41" i="3"/>
  <c r="N41" i="3"/>
  <c r="M41" i="3"/>
  <c r="D116" i="9"/>
  <c r="J116" i="9"/>
  <c r="M116" i="9"/>
  <c r="G116" i="9"/>
  <c r="L11" i="3"/>
  <c r="M11" i="3"/>
  <c r="N11" i="3"/>
  <c r="J62" i="3"/>
  <c r="H62" i="3"/>
  <c r="I62" i="3"/>
  <c r="Q50" i="3"/>
  <c r="P50" i="3"/>
  <c r="R50" i="3"/>
  <c r="M31" i="3"/>
  <c r="L31" i="3"/>
  <c r="N31" i="3"/>
  <c r="M73" i="9"/>
  <c r="D73" i="9"/>
  <c r="G73" i="9"/>
  <c r="J73" i="9"/>
  <c r="D86" i="9"/>
  <c r="J86" i="9"/>
  <c r="G86" i="9"/>
  <c r="M86" i="9"/>
  <c r="H56" i="3"/>
  <c r="I56" i="3"/>
  <c r="J56" i="3"/>
  <c r="D63" i="9"/>
  <c r="M63" i="9"/>
  <c r="J63" i="9"/>
  <c r="G63" i="9"/>
  <c r="G85" i="9"/>
  <c r="M85" i="9"/>
  <c r="D85" i="9"/>
  <c r="J85" i="9"/>
  <c r="L68" i="3"/>
  <c r="N68" i="3"/>
  <c r="M68" i="3"/>
  <c r="G182" i="9"/>
  <c r="M182" i="9"/>
  <c r="J182" i="9"/>
  <c r="D182" i="9"/>
  <c r="D36" i="9"/>
  <c r="G36" i="9"/>
  <c r="M36" i="9"/>
  <c r="J36" i="9"/>
  <c r="M29" i="9"/>
  <c r="J29" i="9"/>
  <c r="D29" i="9"/>
  <c r="G29" i="9"/>
  <c r="J49" i="9"/>
  <c r="G49" i="9"/>
  <c r="D49" i="9"/>
  <c r="M49" i="9"/>
  <c r="J41" i="9"/>
  <c r="D41" i="9"/>
  <c r="M41" i="9"/>
  <c r="G41" i="9"/>
  <c r="C244" i="9"/>
  <c r="D212" i="9"/>
  <c r="G212" i="9"/>
  <c r="J212" i="9"/>
  <c r="M212" i="9"/>
  <c r="N69" i="3"/>
  <c r="M69" i="3"/>
  <c r="L69" i="3"/>
  <c r="J265" i="9"/>
  <c r="M265" i="9"/>
  <c r="D265" i="9"/>
  <c r="G265" i="9"/>
  <c r="I69" i="3"/>
  <c r="J69" i="3"/>
  <c r="H69" i="3"/>
  <c r="M157" i="9"/>
  <c r="G157" i="9"/>
  <c r="D157" i="9"/>
  <c r="J157" i="9"/>
  <c r="G232" i="9"/>
  <c r="M232" i="9"/>
  <c r="J232" i="9"/>
  <c r="D232" i="9"/>
  <c r="J102" i="9"/>
  <c r="G102" i="9"/>
  <c r="M102" i="9"/>
  <c r="D102" i="9"/>
  <c r="M26" i="9"/>
  <c r="D26" i="9"/>
  <c r="G26" i="9"/>
  <c r="J26" i="9"/>
  <c r="M251" i="9"/>
  <c r="D251" i="9"/>
  <c r="J251" i="9"/>
  <c r="G251" i="9"/>
  <c r="M20" i="3"/>
  <c r="N20" i="3"/>
  <c r="L20" i="3"/>
  <c r="I36" i="3"/>
  <c r="H36" i="3"/>
  <c r="J36" i="3"/>
  <c r="I31" i="3"/>
  <c r="J31" i="3"/>
  <c r="H31" i="3"/>
  <c r="G220" i="9"/>
  <c r="D220" i="9"/>
  <c r="M220" i="9"/>
  <c r="J220" i="9"/>
  <c r="P66" i="3"/>
  <c r="R66" i="3"/>
  <c r="Q66" i="3"/>
  <c r="M120" i="9"/>
  <c r="G120" i="9"/>
  <c r="J120" i="9"/>
  <c r="D120" i="9"/>
  <c r="N47" i="3"/>
  <c r="L47" i="3"/>
  <c r="M47" i="3"/>
  <c r="Q64" i="3"/>
  <c r="R64" i="3"/>
  <c r="P64" i="3"/>
  <c r="M228" i="9"/>
  <c r="D228" i="9"/>
  <c r="G228" i="9"/>
  <c r="J228" i="9"/>
  <c r="J213" i="9"/>
  <c r="G213" i="9"/>
  <c r="M213" i="9"/>
  <c r="D213" i="9"/>
  <c r="R62" i="3"/>
  <c r="P62" i="3"/>
  <c r="Q62" i="3"/>
  <c r="L9" i="5"/>
  <c r="M9" i="5"/>
  <c r="N9" i="5"/>
  <c r="J267" i="9"/>
  <c r="D267" i="9"/>
  <c r="M267" i="9"/>
  <c r="G267" i="9"/>
  <c r="J197" i="9"/>
  <c r="M197" i="9"/>
  <c r="G197" i="9"/>
  <c r="D197" i="9"/>
  <c r="M218" i="9"/>
  <c r="D218" i="9"/>
  <c r="G218" i="9"/>
  <c r="J218" i="9"/>
  <c r="D224" i="9"/>
  <c r="M224" i="9"/>
  <c r="J224" i="9"/>
  <c r="G224" i="9"/>
  <c r="J203" i="9"/>
  <c r="M203" i="9"/>
  <c r="D203" i="9"/>
  <c r="G203" i="9"/>
  <c r="G148" i="9"/>
  <c r="J148" i="9"/>
  <c r="M148" i="9"/>
  <c r="D148" i="9"/>
  <c r="N18" i="3"/>
  <c r="M18" i="3"/>
  <c r="L18" i="3"/>
  <c r="G39" i="9"/>
  <c r="M39" i="9"/>
  <c r="D39" i="9"/>
  <c r="J39" i="9"/>
  <c r="N7" i="3"/>
  <c r="L7" i="3"/>
  <c r="M7" i="3"/>
  <c r="J162" i="9"/>
  <c r="D162" i="9"/>
  <c r="M162" i="9"/>
  <c r="G162" i="9"/>
  <c r="L206" i="9"/>
  <c r="K206" i="9" s="1"/>
  <c r="J8" i="9" s="1"/>
  <c r="J163" i="9"/>
  <c r="G163" i="9"/>
  <c r="D163" i="9"/>
  <c r="M163" i="9"/>
  <c r="J79" i="9"/>
  <c r="D79" i="9"/>
  <c r="G79" i="9"/>
  <c r="M79" i="9"/>
  <c r="J236" i="9"/>
  <c r="G236" i="9"/>
  <c r="D236" i="9"/>
  <c r="M236" i="9"/>
  <c r="H40" i="3"/>
  <c r="I40" i="3"/>
  <c r="J40" i="3"/>
  <c r="M110" i="9"/>
  <c r="J110" i="9"/>
  <c r="D110" i="9"/>
  <c r="G110" i="9"/>
  <c r="R74" i="3"/>
  <c r="P74" i="3"/>
  <c r="Q74" i="3"/>
  <c r="L42" i="3"/>
  <c r="N42" i="3"/>
  <c r="M42" i="3"/>
  <c r="G98" i="9"/>
  <c r="J98" i="9"/>
  <c r="D98" i="9"/>
  <c r="C130" i="9"/>
  <c r="M98" i="9"/>
  <c r="J44" i="3"/>
  <c r="H44" i="3"/>
  <c r="I44" i="3"/>
  <c r="R60" i="3"/>
  <c r="Q60" i="3"/>
  <c r="P60" i="3"/>
  <c r="G274" i="9"/>
  <c r="M274" i="9"/>
  <c r="J274" i="9"/>
  <c r="D274" i="9"/>
  <c r="I65" i="3"/>
  <c r="H65" i="3"/>
  <c r="J65" i="3"/>
  <c r="D153" i="9"/>
  <c r="J153" i="9"/>
  <c r="M153" i="9"/>
  <c r="G153" i="9"/>
  <c r="D279" i="9"/>
  <c r="G279" i="9"/>
  <c r="J279" i="9"/>
  <c r="M279" i="9"/>
  <c r="N24" i="3"/>
  <c r="L24" i="3"/>
  <c r="M24" i="3"/>
  <c r="M18" i="5"/>
  <c r="N18" i="5"/>
  <c r="L18" i="5"/>
  <c r="J28" i="9"/>
  <c r="G28" i="9"/>
  <c r="M28" i="9"/>
  <c r="D28" i="9"/>
  <c r="P69" i="3"/>
  <c r="Q69" i="3"/>
  <c r="R69" i="3"/>
  <c r="G123" i="9"/>
  <c r="D123" i="9"/>
  <c r="J123" i="9"/>
  <c r="M123" i="9"/>
  <c r="J81" i="9"/>
  <c r="D81" i="9"/>
  <c r="G81" i="9"/>
  <c r="M81" i="9"/>
  <c r="M115" i="9"/>
  <c r="G115" i="9"/>
  <c r="D115" i="9"/>
  <c r="J115" i="9"/>
  <c r="G137" i="9"/>
  <c r="J137" i="9"/>
  <c r="M137" i="9"/>
  <c r="D137" i="9"/>
  <c r="J258" i="9"/>
  <c r="M258" i="9"/>
  <c r="G258" i="9"/>
  <c r="D258" i="9"/>
  <c r="J64" i="9"/>
  <c r="G64" i="9"/>
  <c r="M64" i="9"/>
  <c r="D64" i="9"/>
  <c r="J47" i="9"/>
  <c r="G47" i="9"/>
  <c r="M47" i="9"/>
  <c r="D47" i="9"/>
  <c r="R45" i="3"/>
  <c r="Q45" i="3"/>
  <c r="P45" i="3"/>
  <c r="J30" i="9"/>
  <c r="M30" i="9"/>
  <c r="D30" i="9"/>
  <c r="G30" i="9"/>
  <c r="F130" i="9"/>
  <c r="E130" i="9" s="1"/>
  <c r="D6" i="9" s="1"/>
  <c r="M262" i="9"/>
  <c r="J262" i="9"/>
  <c r="D262" i="9"/>
  <c r="G262" i="9"/>
  <c r="D74" i="9"/>
  <c r="J74" i="9"/>
  <c r="G74" i="9"/>
  <c r="M74" i="9"/>
  <c r="J82" i="9"/>
  <c r="M82" i="9"/>
  <c r="D82" i="9"/>
  <c r="G82" i="9"/>
  <c r="D60" i="9"/>
  <c r="J60" i="9"/>
  <c r="M60" i="9"/>
  <c r="C92" i="9"/>
  <c r="G60" i="9"/>
  <c r="M87" i="9"/>
  <c r="D87" i="9"/>
  <c r="J87" i="9"/>
  <c r="G87" i="9"/>
  <c r="D62" i="9"/>
  <c r="G62" i="9"/>
  <c r="J62" i="9"/>
  <c r="M62" i="9"/>
  <c r="F206" i="9"/>
  <c r="E206" i="9" s="1"/>
  <c r="D8" i="9" s="1"/>
  <c r="G252" i="9"/>
  <c r="J252" i="9"/>
  <c r="M252" i="9"/>
  <c r="D252" i="9"/>
  <c r="Q70" i="3"/>
  <c r="R70" i="3"/>
  <c r="P70" i="3"/>
  <c r="M71" i="3"/>
  <c r="L71" i="3"/>
  <c r="N71" i="3"/>
  <c r="H73" i="3"/>
  <c r="J73" i="3"/>
  <c r="I73" i="3"/>
  <c r="I58" i="3"/>
  <c r="H58" i="3"/>
  <c r="J58" i="3"/>
  <c r="I75" i="3"/>
  <c r="H75" i="3"/>
  <c r="J75" i="3"/>
  <c r="D266" i="9"/>
  <c r="G266" i="9"/>
  <c r="M266" i="9"/>
  <c r="J266" i="9"/>
  <c r="R32" i="3"/>
  <c r="P32" i="3"/>
  <c r="Q32" i="3"/>
  <c r="L130" i="9"/>
  <c r="K130" i="9" s="1"/>
  <c r="J6" i="9" s="1"/>
  <c r="Q39" i="3"/>
  <c r="P39" i="3"/>
  <c r="R39" i="3"/>
  <c r="D234" i="9"/>
  <c r="J234" i="9"/>
  <c r="M234" i="9"/>
  <c r="G234" i="9"/>
  <c r="D106" i="9"/>
  <c r="J106" i="9"/>
  <c r="M106" i="9"/>
  <c r="G106" i="9"/>
  <c r="D188" i="9"/>
  <c r="J188" i="9"/>
  <c r="G188" i="9"/>
  <c r="M188" i="9"/>
  <c r="M11" i="5"/>
  <c r="L11" i="5"/>
  <c r="N11" i="5"/>
  <c r="N32" i="3"/>
  <c r="L32" i="3"/>
  <c r="M32" i="3"/>
  <c r="J90" i="9"/>
  <c r="G90" i="9"/>
  <c r="M90" i="9"/>
  <c r="D90" i="9"/>
  <c r="Q73" i="3"/>
  <c r="P73" i="3"/>
  <c r="R73" i="3"/>
  <c r="O244" i="9"/>
  <c r="N244" i="9" s="1"/>
  <c r="M10" i="9" s="1"/>
  <c r="M13" i="3"/>
  <c r="N13" i="3"/>
  <c r="L13" i="3"/>
  <c r="P41" i="3"/>
  <c r="R41" i="3"/>
  <c r="Q41" i="3"/>
  <c r="M114" i="9"/>
  <c r="J114" i="9"/>
  <c r="D114" i="9"/>
  <c r="G114" i="9"/>
  <c r="D254" i="9"/>
  <c r="J254" i="9"/>
  <c r="G254" i="9"/>
  <c r="M254" i="9"/>
  <c r="M66" i="3"/>
  <c r="N66" i="3"/>
  <c r="L66" i="3"/>
  <c r="J270" i="9"/>
  <c r="M270" i="9"/>
  <c r="D270" i="9"/>
  <c r="G270" i="9"/>
  <c r="D65" i="9"/>
  <c r="J65" i="9"/>
  <c r="M65" i="9"/>
  <c r="G65" i="9"/>
  <c r="D107" i="9"/>
  <c r="J107" i="9"/>
  <c r="G107" i="9"/>
  <c r="M107" i="9"/>
  <c r="G238" i="9"/>
  <c r="M238" i="9"/>
  <c r="J238" i="9"/>
  <c r="D238" i="9"/>
  <c r="J38" i="3"/>
  <c r="I38" i="3"/>
  <c r="H38" i="3"/>
  <c r="M22" i="3"/>
  <c r="L22" i="3"/>
  <c r="N22" i="3"/>
  <c r="N9" i="3"/>
  <c r="L9" i="3"/>
  <c r="M9" i="3"/>
  <c r="M186" i="9"/>
  <c r="D186" i="9"/>
  <c r="G186" i="9"/>
  <c r="J186" i="9"/>
  <c r="M271" i="9"/>
  <c r="J271" i="9"/>
  <c r="G271" i="9"/>
  <c r="D271" i="9"/>
  <c r="L60" i="3"/>
  <c r="N60" i="3"/>
  <c r="M60" i="3"/>
  <c r="P63" i="3"/>
  <c r="Q63" i="3"/>
  <c r="R63" i="3"/>
  <c r="M268" i="9"/>
  <c r="J268" i="9"/>
  <c r="G268" i="9"/>
  <c r="D268" i="9"/>
  <c r="D50" i="9"/>
  <c r="G50" i="9"/>
  <c r="M50" i="9"/>
  <c r="J50" i="9"/>
  <c r="G180" i="9"/>
  <c r="D180" i="9"/>
  <c r="J180" i="9"/>
  <c r="M180" i="9"/>
  <c r="H60" i="3"/>
  <c r="I60" i="3"/>
  <c r="J60" i="3"/>
  <c r="O130" i="9"/>
  <c r="N130" i="9" s="1"/>
  <c r="M6" i="9" s="1"/>
  <c r="N75" i="3"/>
  <c r="L75" i="3"/>
  <c r="M75" i="3"/>
  <c r="L59" i="3"/>
  <c r="N59" i="3"/>
  <c r="M59" i="3"/>
  <c r="D255" i="9"/>
  <c r="M255" i="9"/>
  <c r="G255" i="9"/>
  <c r="J255" i="9"/>
  <c r="P48" i="3"/>
  <c r="Q48" i="3"/>
  <c r="R48" i="3"/>
  <c r="L14" i="3"/>
  <c r="N14" i="3"/>
  <c r="M14" i="3"/>
  <c r="M7" i="5"/>
  <c r="N7" i="5"/>
  <c r="L7" i="5"/>
  <c r="D269" i="9"/>
  <c r="G269" i="9"/>
  <c r="M269" i="9"/>
  <c r="J269" i="9"/>
  <c r="D200" i="9"/>
  <c r="G200" i="9"/>
  <c r="J200" i="9"/>
  <c r="M200" i="9"/>
  <c r="G183" i="9"/>
  <c r="J183" i="9"/>
  <c r="M183" i="9"/>
  <c r="D183" i="9"/>
  <c r="D101" i="9"/>
  <c r="M101" i="9"/>
  <c r="J101" i="9"/>
  <c r="G101" i="9"/>
  <c r="J193" i="9"/>
  <c r="D193" i="9"/>
  <c r="G193" i="9"/>
  <c r="M193" i="9"/>
  <c r="D191" i="9"/>
  <c r="J191" i="9"/>
  <c r="G191" i="9"/>
  <c r="M191" i="9"/>
  <c r="J229" i="9"/>
  <c r="D229" i="9"/>
  <c r="M229" i="9"/>
  <c r="G229" i="9"/>
  <c r="I168" i="9"/>
  <c r="H168" i="9" s="1"/>
  <c r="G12" i="9" s="1"/>
  <c r="M154" i="9"/>
  <c r="D154" i="9"/>
  <c r="J154" i="9"/>
  <c r="G154" i="9"/>
  <c r="M56" i="3"/>
  <c r="N56" i="3"/>
  <c r="L56" i="3"/>
  <c r="D177" i="9"/>
  <c r="J177" i="9"/>
  <c r="M177" i="9"/>
  <c r="G177" i="9"/>
  <c r="M196" i="9"/>
  <c r="D196" i="9"/>
  <c r="G196" i="9"/>
  <c r="J196" i="9"/>
  <c r="J230" i="9"/>
  <c r="D230" i="9"/>
  <c r="G230" i="9"/>
  <c r="M230" i="9"/>
  <c r="M44" i="3"/>
  <c r="N44" i="3"/>
  <c r="L44" i="3"/>
  <c r="C282" i="9"/>
  <c r="J250" i="9"/>
  <c r="G250" i="9"/>
  <c r="D250" i="9"/>
  <c r="M250" i="9"/>
  <c r="D181" i="9"/>
  <c r="G181" i="9"/>
  <c r="M181" i="9"/>
  <c r="J181" i="9"/>
  <c r="N67" i="3"/>
  <c r="L67" i="3"/>
  <c r="M67" i="3"/>
  <c r="M19" i="5"/>
  <c r="N19" i="5"/>
  <c r="L19" i="5"/>
  <c r="H64" i="3"/>
  <c r="I64" i="3"/>
  <c r="J64" i="3"/>
  <c r="L6" i="3"/>
  <c r="N6" i="3"/>
  <c r="M6" i="3"/>
  <c r="H41" i="3"/>
  <c r="I41" i="3"/>
  <c r="J41" i="3"/>
  <c r="I50" i="3"/>
  <c r="H50" i="3"/>
  <c r="J50" i="3"/>
  <c r="H57" i="3"/>
  <c r="I57" i="3"/>
  <c r="J57" i="3"/>
  <c r="J61" i="3"/>
  <c r="H61" i="3"/>
  <c r="I61" i="3"/>
  <c r="M49" i="3"/>
  <c r="L49" i="3"/>
  <c r="N49" i="3"/>
  <c r="D273" i="9"/>
  <c r="M273" i="9"/>
  <c r="G273" i="9"/>
  <c r="J273" i="9"/>
  <c r="G184" i="9"/>
  <c r="D184" i="9"/>
  <c r="M184" i="9"/>
  <c r="J184" i="9"/>
  <c r="L70" i="3"/>
  <c r="M70" i="3"/>
  <c r="N70" i="3"/>
  <c r="D122" i="9"/>
  <c r="M122" i="9"/>
  <c r="J122" i="9"/>
  <c r="G122" i="9"/>
  <c r="G113" i="9"/>
  <c r="D113" i="9"/>
  <c r="J113" i="9"/>
  <c r="M113" i="9"/>
  <c r="N58" i="3"/>
  <c r="M58" i="3"/>
  <c r="L58" i="3"/>
  <c r="I54" i="9"/>
  <c r="H54" i="9" s="1"/>
  <c r="G16" i="9" s="1"/>
  <c r="M111" i="9"/>
  <c r="J111" i="9"/>
  <c r="D111" i="9"/>
  <c r="G111" i="9"/>
  <c r="F282" i="9"/>
  <c r="E282" i="9" s="1"/>
  <c r="D14" i="9" s="1"/>
  <c r="J242" i="9"/>
  <c r="G242" i="9"/>
  <c r="D242" i="9"/>
  <c r="M242" i="9"/>
  <c r="M35" i="3"/>
  <c r="L35" i="3"/>
  <c r="N35" i="3"/>
  <c r="J104" i="9"/>
  <c r="G104" i="9"/>
  <c r="D104" i="9"/>
  <c r="M104" i="9"/>
  <c r="G225" i="9"/>
  <c r="J225" i="9"/>
  <c r="M225" i="9"/>
  <c r="D225" i="9"/>
  <c r="Q47" i="3"/>
  <c r="P47" i="3"/>
  <c r="R47" i="3"/>
  <c r="L12" i="3"/>
  <c r="M12" i="3"/>
  <c r="N12" i="3"/>
  <c r="J46" i="3"/>
  <c r="H46" i="3"/>
  <c r="I46" i="3"/>
  <c r="P75" i="3"/>
  <c r="Q75" i="3"/>
  <c r="R75" i="3"/>
  <c r="I244" i="9"/>
  <c r="H244" i="9" s="1"/>
  <c r="G10" i="9" s="1"/>
  <c r="H67" i="3"/>
  <c r="I67" i="3"/>
  <c r="J67" i="3"/>
  <c r="G215" i="9"/>
  <c r="J215" i="9"/>
  <c r="D215" i="9"/>
  <c r="M215" i="9"/>
  <c r="N40" i="3"/>
  <c r="L40" i="3"/>
  <c r="M40" i="3"/>
  <c r="J174" i="9"/>
  <c r="M174" i="9"/>
  <c r="D174" i="9"/>
  <c r="G174" i="9"/>
  <c r="C206" i="9"/>
  <c r="P68" i="3"/>
  <c r="R68" i="3"/>
  <c r="Q68" i="3"/>
  <c r="L244" i="9"/>
  <c r="K244" i="9" s="1"/>
  <c r="J10" i="9" s="1"/>
  <c r="M72" i="9"/>
  <c r="D72" i="9"/>
  <c r="G72" i="9"/>
  <c r="J72" i="9"/>
  <c r="H63" i="3"/>
  <c r="J63" i="3"/>
  <c r="I63" i="3"/>
  <c r="L13" i="5"/>
  <c r="M13" i="5"/>
  <c r="N13" i="5"/>
  <c r="H35" i="3"/>
  <c r="J35" i="3"/>
  <c r="I35" i="3"/>
  <c r="L14" i="5"/>
  <c r="N14" i="5"/>
  <c r="M14" i="5"/>
  <c r="G204" i="9"/>
  <c r="J204" i="9"/>
  <c r="D204" i="9"/>
  <c r="M204" i="9"/>
  <c r="J145" i="9"/>
  <c r="G145" i="9"/>
  <c r="M145" i="9"/>
  <c r="D145" i="9"/>
  <c r="L73" i="3"/>
  <c r="N73" i="3"/>
  <c r="M73" i="3"/>
  <c r="G35" i="9"/>
  <c r="M35" i="9"/>
  <c r="J35" i="9"/>
  <c r="D35" i="9"/>
  <c r="P65" i="3"/>
  <c r="Q65" i="3"/>
  <c r="R65" i="3"/>
  <c r="L17" i="5"/>
  <c r="N17" i="5"/>
  <c r="M17" i="5"/>
  <c r="J99" i="9"/>
  <c r="M99" i="9"/>
  <c r="G99" i="9"/>
  <c r="D99" i="9"/>
  <c r="F54" i="9"/>
  <c r="J187" i="9"/>
  <c r="M187" i="9"/>
  <c r="D187" i="9"/>
  <c r="G187" i="9"/>
  <c r="F92" i="9"/>
  <c r="E92" i="9" s="1"/>
  <c r="D4" i="9" s="1"/>
  <c r="M67" i="9"/>
  <c r="J67" i="9"/>
  <c r="D67" i="9"/>
  <c r="G67" i="9"/>
  <c r="D261" i="9"/>
  <c r="M261" i="9"/>
  <c r="G261" i="9"/>
  <c r="J261" i="9"/>
  <c r="J155" i="9"/>
  <c r="G155" i="9"/>
  <c r="D155" i="9"/>
  <c r="M155" i="9"/>
  <c r="M136" i="9"/>
  <c r="J136" i="9"/>
  <c r="C168" i="9"/>
  <c r="D136" i="9"/>
  <c r="G136" i="9"/>
  <c r="G160" i="9"/>
  <c r="J160" i="9"/>
  <c r="M160" i="9"/>
  <c r="D160" i="9"/>
  <c r="Q57" i="3"/>
  <c r="R57" i="3"/>
  <c r="P57" i="3"/>
  <c r="M10" i="5"/>
  <c r="N10" i="5"/>
  <c r="L10" i="5"/>
  <c r="M231" i="9"/>
  <c r="D231" i="9"/>
  <c r="J231" i="9"/>
  <c r="G231" i="9"/>
  <c r="I92" i="9"/>
  <c r="H92" i="9" s="1"/>
  <c r="G4" i="9" s="1"/>
  <c r="G235" i="9"/>
  <c r="D235" i="9"/>
  <c r="M235" i="9"/>
  <c r="J235" i="9"/>
  <c r="M20" i="5"/>
  <c r="N20" i="5"/>
  <c r="L20" i="5"/>
  <c r="J40" i="9"/>
  <c r="G40" i="9"/>
  <c r="M40" i="9"/>
  <c r="D40" i="9"/>
  <c r="J223" i="9"/>
  <c r="D223" i="9"/>
  <c r="G223" i="9"/>
  <c r="M223" i="9"/>
  <c r="N39" i="3"/>
  <c r="L39" i="3"/>
  <c r="M39" i="3"/>
  <c r="M10" i="3"/>
  <c r="L10" i="3"/>
  <c r="N10" i="3"/>
  <c r="D24" i="9"/>
  <c r="J24" i="9"/>
  <c r="M24" i="9"/>
  <c r="G24" i="9"/>
  <c r="L64" i="3"/>
  <c r="N64" i="3"/>
  <c r="M64" i="3"/>
  <c r="G178" i="9"/>
  <c r="D178" i="9"/>
  <c r="M178" i="9"/>
  <c r="J178" i="9"/>
  <c r="M25" i="9"/>
  <c r="J25" i="9"/>
  <c r="D25" i="9"/>
  <c r="G25" i="9"/>
  <c r="D190" i="9"/>
  <c r="J190" i="9"/>
  <c r="M190" i="9"/>
  <c r="G190" i="9"/>
  <c r="M89" i="9"/>
  <c r="D89" i="9"/>
  <c r="J89" i="9"/>
  <c r="G89" i="9"/>
  <c r="J222" i="9"/>
  <c r="G222" i="9"/>
  <c r="M222" i="9"/>
  <c r="D222" i="9"/>
  <c r="G52" i="9"/>
  <c r="D52" i="9"/>
  <c r="M52" i="9"/>
  <c r="J52" i="9"/>
  <c r="J34" i="9"/>
  <c r="G34" i="9"/>
  <c r="D34" i="9"/>
  <c r="M34" i="9"/>
  <c r="G159" i="9"/>
  <c r="J159" i="9"/>
  <c r="D159" i="9"/>
  <c r="M159" i="9"/>
  <c r="J108" i="9"/>
  <c r="D108" i="9"/>
  <c r="M108" i="9"/>
  <c r="G108" i="9"/>
  <c r="M88" i="9"/>
  <c r="D88" i="9"/>
  <c r="G88" i="9"/>
  <c r="J88" i="9"/>
  <c r="O54" i="9"/>
  <c r="N54" i="9" s="1"/>
  <c r="M16" i="9" s="1"/>
  <c r="D70" i="9"/>
  <c r="G70" i="9"/>
  <c r="M70" i="9"/>
  <c r="J70" i="9"/>
  <c r="M202" i="9"/>
  <c r="J202" i="9"/>
  <c r="D202" i="9"/>
  <c r="G202" i="9"/>
  <c r="M25" i="5"/>
  <c r="L25" i="5"/>
  <c r="N25" i="5"/>
  <c r="M75" i="9"/>
  <c r="J75" i="9"/>
  <c r="G75" i="9"/>
  <c r="D75" i="9"/>
  <c r="D219" i="9"/>
  <c r="G219" i="9"/>
  <c r="J219" i="9"/>
  <c r="M219" i="9"/>
  <c r="J158" i="9"/>
  <c r="M158" i="9"/>
  <c r="G158" i="9"/>
  <c r="D158" i="9"/>
  <c r="G272" i="9"/>
  <c r="D272" i="9"/>
  <c r="J272" i="9"/>
  <c r="M272" i="9"/>
  <c r="J43" i="3"/>
  <c r="I43" i="3"/>
  <c r="H43" i="3"/>
  <c r="J161" i="9"/>
  <c r="M161" i="9"/>
  <c r="G161" i="9"/>
  <c r="D161" i="9"/>
  <c r="R71" i="3"/>
  <c r="P71" i="3"/>
  <c r="Q71" i="3"/>
  <c r="M256" i="9"/>
  <c r="D256" i="9"/>
  <c r="G256" i="9"/>
  <c r="J256" i="9"/>
  <c r="M24" i="5"/>
  <c r="N24" i="5"/>
  <c r="L24" i="5"/>
  <c r="J221" i="9"/>
  <c r="G221" i="9"/>
  <c r="M221" i="9"/>
  <c r="D221" i="9"/>
  <c r="M84" i="9"/>
  <c r="D84" i="9"/>
  <c r="J84" i="9"/>
  <c r="G84" i="9"/>
  <c r="M27" i="9"/>
  <c r="G27" i="9"/>
  <c r="J27" i="9"/>
  <c r="D27" i="9"/>
  <c r="Q42" i="3"/>
  <c r="P42" i="3"/>
  <c r="R42" i="3"/>
  <c r="M143" i="9"/>
  <c r="G143" i="9"/>
  <c r="J143" i="9"/>
  <c r="D143" i="9"/>
  <c r="L63" i="3"/>
  <c r="M63" i="3"/>
  <c r="N63" i="3"/>
  <c r="L54" i="9"/>
  <c r="K54" i="9" s="1"/>
  <c r="J16" i="9" s="1"/>
  <c r="N50" i="3"/>
  <c r="M50" i="3"/>
  <c r="L50" i="3"/>
  <c r="M65" i="3"/>
  <c r="L65" i="3"/>
  <c r="N65" i="3"/>
  <c r="P44" i="3"/>
  <c r="Q44" i="3"/>
  <c r="R44" i="3"/>
  <c r="M34" i="3"/>
  <c r="N34" i="3"/>
  <c r="L34" i="3"/>
  <c r="P35" i="3"/>
  <c r="R35" i="3"/>
  <c r="Q35" i="3"/>
  <c r="G189" i="9"/>
  <c r="J189" i="9"/>
  <c r="M189" i="9"/>
  <c r="D189" i="9"/>
  <c r="L23" i="5"/>
  <c r="N23" i="5"/>
  <c r="M23" i="5"/>
  <c r="J121" i="9"/>
  <c r="D121" i="9"/>
  <c r="M121" i="9"/>
  <c r="G121" i="9"/>
  <c r="D227" i="9"/>
  <c r="J227" i="9"/>
  <c r="G227" i="9"/>
  <c r="M227" i="9"/>
  <c r="D276" i="9"/>
  <c r="G276" i="9"/>
  <c r="J276" i="9"/>
  <c r="M276" i="9"/>
  <c r="J43" i="9"/>
  <c r="D43" i="9"/>
  <c r="G43" i="9"/>
  <c r="M43" i="9"/>
  <c r="M38" i="9"/>
  <c r="J38" i="9"/>
  <c r="D38" i="9"/>
  <c r="G38" i="9"/>
  <c r="J103" i="9"/>
  <c r="M103" i="9"/>
  <c r="G103" i="9"/>
  <c r="D103" i="9"/>
  <c r="G77" i="9"/>
  <c r="D77" i="9"/>
  <c r="J77" i="9"/>
  <c r="M77" i="9"/>
  <c r="M119" i="9"/>
  <c r="D119" i="9"/>
  <c r="G119" i="9"/>
  <c r="J119" i="9"/>
  <c r="J240" i="9"/>
  <c r="M240" i="9"/>
  <c r="G240" i="9"/>
  <c r="D240" i="9"/>
  <c r="J241" i="9"/>
  <c r="G241" i="9"/>
  <c r="D241" i="9"/>
  <c r="M241" i="9"/>
  <c r="J33" i="3"/>
  <c r="I33" i="3"/>
  <c r="H33" i="3"/>
  <c r="P49" i="3"/>
  <c r="Q49" i="3"/>
  <c r="R49" i="3"/>
  <c r="G31" i="9"/>
  <c r="J31" i="9"/>
  <c r="D31" i="9"/>
  <c r="M31" i="9"/>
  <c r="I48" i="3"/>
  <c r="J48" i="3"/>
  <c r="H48" i="3"/>
  <c r="M127" i="9"/>
  <c r="G127" i="9"/>
  <c r="J127" i="9"/>
  <c r="D127" i="9"/>
  <c r="J259" i="9"/>
  <c r="D259" i="9"/>
  <c r="G259" i="9"/>
  <c r="M259" i="9"/>
  <c r="F168" i="9"/>
  <c r="E168" i="9" s="1"/>
  <c r="D12" i="9" s="1"/>
  <c r="P31" i="3"/>
  <c r="Q31" i="3"/>
  <c r="R31" i="3"/>
  <c r="G22" i="9"/>
  <c r="D22" i="9"/>
  <c r="M22" i="9"/>
  <c r="C54" i="9"/>
  <c r="J22" i="9"/>
  <c r="H49" i="3"/>
  <c r="I49" i="3"/>
  <c r="J49" i="3"/>
  <c r="D192" i="9"/>
  <c r="G192" i="9"/>
  <c r="M192" i="9"/>
  <c r="J192" i="9"/>
  <c r="G32" i="9"/>
  <c r="J32" i="9"/>
  <c r="D32" i="9"/>
  <c r="M32" i="9"/>
  <c r="M38" i="3"/>
  <c r="N38" i="3"/>
  <c r="L38" i="3"/>
  <c r="N57" i="3"/>
  <c r="M57" i="3"/>
  <c r="L57" i="3"/>
  <c r="D152" i="9"/>
  <c r="M152" i="9"/>
  <c r="J152" i="9"/>
  <c r="G152" i="9"/>
  <c r="Q34" i="3"/>
  <c r="P34" i="3"/>
  <c r="R34" i="3"/>
  <c r="M83" i="9"/>
  <c r="G83" i="9"/>
  <c r="D83" i="9"/>
  <c r="J83" i="9"/>
  <c r="M125" i="9"/>
  <c r="J125" i="9"/>
  <c r="D125" i="9"/>
  <c r="G125" i="9"/>
  <c r="J68" i="3"/>
  <c r="H68" i="3"/>
  <c r="I68" i="3"/>
  <c r="F244" i="9"/>
  <c r="E244" i="9" s="1"/>
  <c r="D10" i="9" s="1"/>
  <c r="Q33" i="3"/>
  <c r="P33" i="3"/>
  <c r="R33" i="3"/>
  <c r="O206" i="9"/>
  <c r="N206" i="9" s="1"/>
  <c r="M8" i="9" s="1"/>
  <c r="J74" i="3"/>
  <c r="I74" i="3"/>
  <c r="H74" i="3"/>
  <c r="N15" i="3"/>
  <c r="L15" i="3"/>
  <c r="M15" i="3"/>
  <c r="G80" i="9"/>
  <c r="D80" i="9"/>
  <c r="J80" i="9"/>
  <c r="M80" i="9"/>
  <c r="M76" i="9"/>
  <c r="G76" i="9"/>
  <c r="D76" i="9"/>
  <c r="J76" i="9"/>
  <c r="M33" i="9"/>
  <c r="J33" i="9"/>
  <c r="G33" i="9"/>
  <c r="D33" i="9"/>
  <c r="Q59" i="3"/>
  <c r="R59" i="3"/>
  <c r="P59" i="3"/>
  <c r="Q43" i="3"/>
  <c r="P43" i="3"/>
  <c r="R43" i="3"/>
  <c r="Q40" i="3"/>
  <c r="R40" i="3"/>
  <c r="P40" i="3"/>
  <c r="M179" i="9"/>
  <c r="D179" i="9"/>
  <c r="J179" i="9"/>
  <c r="G179" i="9"/>
  <c r="D44" i="9"/>
  <c r="G44" i="9"/>
  <c r="M44" i="9"/>
  <c r="J44" i="9"/>
  <c r="M260" i="9"/>
  <c r="G260" i="9"/>
  <c r="D260" i="9"/>
  <c r="J260" i="9"/>
  <c r="D37" i="9"/>
  <c r="J37" i="9"/>
  <c r="G37" i="9"/>
  <c r="M37" i="9"/>
  <c r="L23" i="3"/>
  <c r="M23" i="3"/>
  <c r="N23" i="3"/>
  <c r="P72" i="3"/>
  <c r="Q72" i="3"/>
  <c r="R72" i="3"/>
  <c r="Q56" i="3"/>
  <c r="R56" i="3"/>
  <c r="P56" i="3"/>
  <c r="D48" i="9"/>
  <c r="J48" i="9"/>
  <c r="M48" i="9"/>
  <c r="G48" i="9"/>
  <c r="G144" i="9"/>
  <c r="D144" i="9"/>
  <c r="J144" i="9"/>
  <c r="M144" i="9"/>
  <c r="I59" i="3"/>
  <c r="H59" i="3"/>
  <c r="J59" i="3"/>
  <c r="Q38" i="3"/>
  <c r="R38" i="3"/>
  <c r="P38" i="3"/>
  <c r="L282" i="9"/>
  <c r="K282" i="9" s="1"/>
  <c r="J14" i="9" s="1"/>
  <c r="G217" i="9"/>
  <c r="J217" i="9"/>
  <c r="D217" i="9"/>
  <c r="M217" i="9"/>
  <c r="I282" i="9"/>
  <c r="H282" i="9" s="1"/>
  <c r="G14" i="9" s="1"/>
  <c r="J150" i="9"/>
  <c r="M150" i="9"/>
  <c r="D150" i="9"/>
  <c r="G150" i="9"/>
  <c r="G151" i="9"/>
  <c r="J151" i="9"/>
  <c r="D151" i="9"/>
  <c r="M151" i="9"/>
  <c r="D176" i="9"/>
  <c r="J176" i="9"/>
  <c r="M176" i="9"/>
  <c r="G176" i="9"/>
  <c r="D66" i="9"/>
  <c r="G66" i="9"/>
  <c r="M66" i="9"/>
  <c r="J66" i="9"/>
  <c r="M118" i="9"/>
  <c r="G118" i="9"/>
  <c r="J118" i="9"/>
  <c r="D118" i="9"/>
  <c r="J198" i="9"/>
  <c r="G198" i="9"/>
  <c r="D198" i="9"/>
  <c r="M198" i="9"/>
  <c r="M78" i="9"/>
  <c r="D78" i="9"/>
  <c r="J78" i="9"/>
  <c r="G78" i="9"/>
  <c r="L21" i="5"/>
  <c r="N21" i="5"/>
  <c r="M21" i="5"/>
  <c r="N45" i="3"/>
  <c r="L45" i="3"/>
  <c r="M45" i="3"/>
  <c r="M263" i="9"/>
  <c r="G263" i="9"/>
  <c r="J263" i="9"/>
  <c r="D263" i="9"/>
  <c r="M141" i="9"/>
  <c r="D141" i="9"/>
  <c r="G141" i="9"/>
  <c r="J141" i="9"/>
  <c r="J194" i="9"/>
  <c r="D194" i="9"/>
  <c r="M194" i="9"/>
  <c r="G194" i="9"/>
  <c r="D139" i="9"/>
  <c r="G139" i="9"/>
  <c r="M139" i="9"/>
  <c r="J139" i="9"/>
  <c r="G140" i="9"/>
  <c r="M140" i="9"/>
  <c r="J140" i="9"/>
  <c r="D140" i="9"/>
  <c r="M8" i="5"/>
  <c r="L8" i="5"/>
  <c r="N8" i="5"/>
  <c r="J47" i="3"/>
  <c r="H47" i="3"/>
  <c r="I47" i="3"/>
  <c r="J71" i="3"/>
  <c r="I71" i="3"/>
  <c r="H71" i="3"/>
  <c r="D61" i="9"/>
  <c r="G61" i="9"/>
  <c r="J61" i="9"/>
  <c r="M61" i="9"/>
  <c r="J54" i="9" l="1"/>
  <c r="G54" i="9"/>
  <c r="D168" i="9"/>
  <c r="G206" i="9"/>
  <c r="J282" i="9"/>
  <c r="J92" i="9"/>
  <c r="M130" i="9"/>
  <c r="G130" i="9"/>
  <c r="J244" i="9"/>
  <c r="E54" i="9"/>
  <c r="D16" i="9" s="1"/>
  <c r="B12" i="9" s="1"/>
  <c r="D206" i="9"/>
  <c r="M282" i="9"/>
  <c r="G92" i="9"/>
  <c r="D92" i="9"/>
  <c r="G244" i="9"/>
  <c r="M54" i="9"/>
  <c r="J168" i="9"/>
  <c r="M206" i="9"/>
  <c r="D282" i="9"/>
  <c r="D130" i="9"/>
  <c r="D244" i="9"/>
  <c r="D54" i="9"/>
  <c r="G168" i="9"/>
  <c r="M168" i="9"/>
  <c r="J206" i="9"/>
  <c r="G282" i="9"/>
  <c r="M92" i="9"/>
  <c r="J130" i="9"/>
  <c r="M244" i="9"/>
  <c r="B15" i="9" l="1"/>
  <c r="B13" i="9"/>
  <c r="B11" i="9"/>
  <c r="B10" i="9"/>
  <c r="B5" i="9"/>
  <c r="B8" i="9"/>
  <c r="B4" i="9"/>
  <c r="B14" i="9"/>
  <c r="B3" i="9"/>
  <c r="B6" i="9"/>
  <c r="B9" i="9"/>
  <c r="B16" i="9"/>
  <c r="B7" i="9"/>
</calcChain>
</file>

<file path=xl/sharedStrings.xml><?xml version="1.0" encoding="utf-8"?>
<sst xmlns="http://schemas.openxmlformats.org/spreadsheetml/2006/main" count="4173" uniqueCount="352">
  <si>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</si>
  <si>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</si>
  <si>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</si>
  <si>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</si>
  <si>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</si>
  <si>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</si>
  <si>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</si>
  <si>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</si>
  <si>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</si>
  <si>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</si>
  <si>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</si>
  <si>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</si>
  <si>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</si>
  <si>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</si>
  <si>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</si>
  <si>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</si>
  <si>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</si>
  <si>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</si>
  <si>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</si>
  <si>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</si>
  <si>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</si>
  <si>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</si>
  <si>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</si>
  <si>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</si>
  <si>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</si>
  <si>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</si>
  <si>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</si>
  <si>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</si>
  <si>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</si>
  <si>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</si>
  <si>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</si>
  <si>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</si>
  <si>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</si>
  <si>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</si>
  <si>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</si>
  <si>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</si>
  <si>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</si>
  <si>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</si>
  <si>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</si>
  <si>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</si>
  <si>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</si>
  <si>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</si>
  <si>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</si>
  <si>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</si>
  <si>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</si>
  <si>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</si>
  <si>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</si>
  <si>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</si>
  <si>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</si>
  <si>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</si>
  <si>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</si>
  <si>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</si>
  <si>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</si>
  <si>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</si>
  <si>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</si>
  <si>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</si>
  <si>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</si>
  <si>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</si>
  <si>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</si>
  <si>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</si>
  <si>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</si>
  <si>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</si>
  <si>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</si>
  <si>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</si>
  <si>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</si>
  <si>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</si>
  <si>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</si>
  <si>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</si>
  <si>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</si>
  <si>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</si>
  <si>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</si>
  <si>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</si>
  <si>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</si>
  <si>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</si>
  <si>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</si>
  <si>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</si>
  <si>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</si>
  <si>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</si>
  <si>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</si>
  <si>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</si>
  <si>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</si>
  <si>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</si>
  <si>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</si>
  <si>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</si>
  <si>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</si>
  <si>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</si>
  <si>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</si>
  <si>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</si>
  <si>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</si>
  <si>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</si>
  <si>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</si>
  <si>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</si>
  <si>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</si>
  <si>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</si>
  <si>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</si>
  <si>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</si>
  <si>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</si>
  <si>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</si>
  <si>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</si>
  <si>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</si>
  <si>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</si>
  <si>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</si>
  <si>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</si>
  <si>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</si>
  <si>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</si>
  <si>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</si>
  <si>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</si>
  <si>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</si>
  <si>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</si>
  <si>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</si>
  <si>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</si>
  <si>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</si>
  <si>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</si>
  <si>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</si>
  <si>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</si>
  <si>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</si>
  <si>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</si>
  <si>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</si>
  <si>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</si>
  <si>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</si>
  <si>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</si>
  <si>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</si>
  <si>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</si>
  <si>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</si>
  <si>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</si>
  <si>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</si>
  <si>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</si>
  <si>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</si>
  <si>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</si>
  <si>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</si>
  <si>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</si>
  <si>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</si>
  <si>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</si>
  <si>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</si>
  <si>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</si>
  <si>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</si>
  <si>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</si>
  <si>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</si>
  <si>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</si>
  <si>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</si>
  <si>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</si>
  <si>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</si>
  <si>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</si>
  <si>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</si>
  <si>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</si>
  <si>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</si>
  <si>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</si>
  <si>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</si>
  <si>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</si>
  <si>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</si>
  <si>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</si>
  <si>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</si>
  <si>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</si>
  <si>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</si>
  <si>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</si>
  <si>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</si>
  <si>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</si>
  <si>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</si>
  <si>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</si>
  <si>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</si>
  <si>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</si>
  <si>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</si>
  <si>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</si>
  <si>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</si>
  <si>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</si>
  <si>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</si>
  <si>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</si>
  <si>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</si>
  <si>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</si>
  <si>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</si>
  <si>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</si>
  <si>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</si>
  <si>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</si>
  <si>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</si>
  <si>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</si>
  <si>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</si>
  <si>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</si>
  <si>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</si>
  <si>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</si>
  <si>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</si>
  <si>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</si>
  <si>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</si>
  <si>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</si>
  <si>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</si>
  <si>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</si>
  <si>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</si>
  <si>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</si>
  <si>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</si>
  <si>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</si>
  <si>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</si>
  <si>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</si>
  <si>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</si>
  <si>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</si>
  <si>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</si>
  <si>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</si>
  <si>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</si>
  <si>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</si>
  <si>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</si>
  <si>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</si>
  <si>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</si>
  <si>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</si>
  <si>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</si>
  <si>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</si>
  <si>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</si>
  <si>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</si>
  <si>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</si>
  <si>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</si>
  <si>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</si>
  <si>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</si>
  <si>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</si>
  <si>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</si>
  <si>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</si>
  <si>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</si>
  <si>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</si>
  <si>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</si>
  <si>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</si>
  <si>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</si>
  <si>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</si>
  <si>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</si>
  <si>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</si>
  <si>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</si>
  <si>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</si>
  <si>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</si>
  <si>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</si>
  <si>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</si>
  <si>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</si>
  <si>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</si>
  <si>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</si>
  <si>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</si>
  <si>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</si>
  <si>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</si>
  <si>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</si>
  <si>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</si>
  <si>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</si>
  <si>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</si>
  <si>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</si>
  <si>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</si>
  <si>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</si>
  <si>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</si>
  <si>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</si>
  <si>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</si>
  <si>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</si>
  <si>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</si>
  <si>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</si>
  <si>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</si>
  <si>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</si>
  <si>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</si>
  <si>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</si>
  <si>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</si>
  <si>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</si>
  <si>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</si>
  <si>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</si>
  <si>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</si>
  <si>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</si>
  <si>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</si>
  <si>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</si>
  <si>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</si>
  <si>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</si>
  <si>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</si>
  <si>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</si>
  <si>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</si>
  <si>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</si>
  <si>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</si>
  <si>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</si>
  <si>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</si>
  <si>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</si>
  <si>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</si>
  <si>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</si>
  <si>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</si>
  <si>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</si>
  <si>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</si>
  <si>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</si>
  <si>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</si>
  <si>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</si>
  <si>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</si>
  <si>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</si>
  <si>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</si>
  <si>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</si>
  <si>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</si>
  <si>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</si>
  <si>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</si>
  <si>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</si>
  <si>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</si>
  <si>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</si>
  <si>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</si>
  <si>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</si>
  <si>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</si>
  <si>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</si>
  <si>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</si>
  <si>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</si>
  <si>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</si>
  <si>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</si>
  <si>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</si>
  <si>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</si>
  <si>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</si>
  <si>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</si>
  <si>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</si>
  <si>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</si>
  <si>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</si>
  <si>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</si>
  <si>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</si>
  <si>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</si>
  <si>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</si>
  <si>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</si>
  <si>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</si>
  <si>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</si>
  <si>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</si>
  <si>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</si>
  <si>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</si>
  <si>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</si>
  <si>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</si>
  <si>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</si>
  <si>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</si>
  <si>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</si>
  <si>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</si>
  <si>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</si>
  <si>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KRW-HIFI</t>
  </si>
  <si>
    <t>하이파이</t>
  </si>
  <si>
    <t>KRW-GMT</t>
  </si>
  <si>
    <t>스테픈</t>
  </si>
  <si>
    <t>KRW-POLYX</t>
  </si>
  <si>
    <t>폴리매쉬</t>
  </si>
  <si>
    <t>KRW-XEC</t>
  </si>
  <si>
    <t>이캐시</t>
  </si>
  <si>
    <t>크로노스</t>
  </si>
  <si>
    <t>KRW-ALGO</t>
  </si>
  <si>
    <t>알고랜드</t>
  </si>
  <si>
    <t>KRW-APT</t>
  </si>
  <si>
    <t>앱토스</t>
  </si>
  <si>
    <t>헤데라</t>
  </si>
  <si>
    <t>솔라</t>
  </si>
  <si>
    <t>KRW-1INCH</t>
  </si>
  <si>
    <t>1인치네트워크</t>
  </si>
  <si>
    <t>썬더코어</t>
  </si>
  <si>
    <t>KRW-NEAR</t>
  </si>
  <si>
    <t>니어프로토콜</t>
  </si>
  <si>
    <t>KRW-AAVE</t>
  </si>
  <si>
    <t>에이브</t>
  </si>
  <si>
    <t>KRW-MATIC</t>
  </si>
  <si>
    <t>폴리곤</t>
  </si>
  <si>
    <t>KRW-CELO</t>
  </si>
  <si>
    <t>셀로</t>
  </si>
  <si>
    <t>KRW-SOL</t>
  </si>
  <si>
    <t>솔라나</t>
  </si>
  <si>
    <t>KRW-NU</t>
  </si>
  <si>
    <t>누사이퍼</t>
  </si>
  <si>
    <t>KRW-AVAX</t>
  </si>
  <si>
    <t>아발란체</t>
  </si>
  <si>
    <t>KRW-T</t>
  </si>
  <si>
    <t>쓰레스홀드</t>
  </si>
  <si>
    <t>아이큐</t>
  </si>
  <si>
    <t>2023.01.08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</si>
</sst>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>
      <alignment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3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DA8B7C81-6ACD-4EF0-A294-078280CF1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1FF9F7BA-7AA6-49C7-8D74-4ACA5A8EC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DAE976D0-2231-4A4E-B8BD-0F2A25F1A5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60B6992-BA8B-4B0B-A4E0-6C0B40A29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875CD917-BF65-4951-B700-3FD4E5876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6AD56130-B82C-42D8-AC36-CF43E2B56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9F15104D-12D8-4571-A940-ABC30C6C7A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5B502911-D91B-435F-9F07-E18857E97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7123EA5C-5253-43CB-902A-9D069499D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F37D626-2D0D-442E-8E62-A4001E26B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30978D5-93B7-4F4B-B334-46774C9B58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B72572BD-3B4A-4B30-B931-76091422AA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644DBB39-0A9F-4598-AACF-E8FB0E2D6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E5826380-3075-4FCE-A68F-33A561707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4852749A-8C09-4B07-9AAB-BDA23A6BA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753A0357-9663-4F38-8BBB-F5ED237B2B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73314B38-0EC6-4DD2-8B8A-7CC7443073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6BBCD92F-8220-48D1-BD3E-92997C1C6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BFA660AC-5EBB-4AE2-8CCB-CFEA4C334B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8FF6C2D4-780A-4E0C-A412-58A2F3B05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8EAC5F16-60DA-4453-BB77-13D854F2B2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CE79CB6D-A27A-4A45-AF64-E6389F10D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C53490F8-6D3E-4B65-A042-F8E6E0482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770E8E0F-8A88-4424-AE2A-C5DF18BB5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F50EE1FC-1F39-425F-B673-E04DE048B3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AC54BDE5-C306-4CB0-957C-DE254786DA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2D58C41F-DB20-4581-9C49-D4658689CA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3C651D38-D68A-4714-A8A8-9D8599AB3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50B8F067-502B-4B57-AA50-777F7A79DF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3FF6441-B38D-42AE-A34A-7281C40EE6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8F9C5E71-DE08-425F-BD8D-58F7499AA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1DBE1296-8B7A-4B6D-8769-71797BBA2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B9901AE2-3250-47BC-BC24-EDC0872AF6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6076C643-D193-48EE-94B1-49F7809D6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B8FECA29-6053-4010-ACD3-A55B16795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35799322-C637-4BEF-8913-CF1E02F958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40F5E444-6B99-414B-B54A-4C91D1C4D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50EF5FDF-B828-4BCA-BC94-0F53A0D3D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D48DFAFF-AA5A-4E82-809F-E08483696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740502A2-CB54-4CA2-A256-FE15A61DA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5AEC218A-92F1-4EB8-8C3C-6806DBA12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ABEF7788-601E-4788-8F37-4C0DEF9BE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131DD72E-C97A-4895-B6EB-690FE598AC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AB632B21-45F1-40B0-9BFE-2C851F883B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57141DB6-0A18-4985-B4EA-C3F78F62F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9E5DA095-0CD2-4E14-9E6A-2A01FEC19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519FF8FA-9962-4E42-A2AF-76B7850BD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51762F1E-2E9C-466E-90A2-5004450CE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BFB8391A-488E-4E17-A184-3387CF8F6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AB0BBFF5-E957-41CC-BD45-B0EAC9928F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8FC3A484-74C9-4F6D-9327-D4B273EC3C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89D8A6EC-3C1F-4AF9-9004-64DD8CFEA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5ECB457E-572A-4F59-A7DB-5B07E477FC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45EB1EC5-36B5-4652-8746-863CE7BBDB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28772E4D-4FE1-4703-AF0B-227CC82C81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DB5C4485-3A54-4B98-8D49-9C3ECB023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6910AA0E-85F1-486A-A1D2-1C3450F63C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23BDA8FB-4FAA-4828-9F26-899AAB1E43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745ACD1D-C113-4F1F-AAE7-051CD592B2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6177D4E6-E955-4972-A457-7FA1A79008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55265C4C-185F-4C71-9603-00974B6CBF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84E830FC-630A-4D30-8997-2376E4398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8788695E-BB90-4C16-8FC4-696FACB5D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34A3ACBA-0E3E-49DC-8CED-58F51DD81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7C17A24A-77DA-43BD-A350-D2ED69037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E36F6DF5-8127-4B80-A695-FFFBF5FC4A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646BAB20-B80A-4752-9ADC-683E710C97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3BF03C34-7A2E-4DC1-B277-9B279BE463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B73D3039-3B6E-4A78-B27B-ADE081A32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E10E61FC-A9BD-467B-8972-DCE3406D2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F3B4B2BE-0509-418C-AFE0-26B7A5EA1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B60235A2-C750-4262-B3E7-17DB74DB2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5CF0BDE4-8CD7-425D-8CDC-7898E8BC9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64B4101A-2866-45A2-ACE0-7FB965F20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D24A9C1A-17E9-420A-86C2-C6A804E81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752400B1-0510-4A66-8C1A-88265DE28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C5D2DD16-0026-4E3D-8590-297842102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C9B6224F-2864-4AB7-805F-707F6FA95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BA0512E9-19C7-4660-BC7A-10BAB9E16D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D176F229-B0F4-4369-B60B-812C0A2A8D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3DE4B0F9-5C10-4E4B-BC2B-C31449164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BDCBED28-C63A-4435-AFBA-B88D29CD8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6D035A93-3CE0-4692-B9BC-EB7E62767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9927F5B9-167F-420C-A325-384E4AEAA2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2B81A82A-2A38-43ED-BC96-66EC2514E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8A871BA7-624C-4171-B4C1-4F856D253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6457ECE6-CE06-4C08-8C36-E483D8E80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16C4A53C-DFFA-4C85-9134-461312031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E57C1615-E39F-4BDB-BA4F-A60EDBAFE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1E176956-7D41-4D29-BC17-623CA574A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ED7D28E7-F598-4795-9EE9-237FB106D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19D0EF1E-F1AF-4758-94DD-13CA939C6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80CFB824-35D1-4E23-BEA8-8777E4FBD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44988C9C-64DD-44EE-A6E3-96BDC667C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C242BF6C-F0DC-4274-B401-E9BA8E2EF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122BB36E-F431-442A-8EA2-2C6EB0EEF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E9A49D79-2F11-4E65-9B84-5D4D9443C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8B684D26-6C0B-41AF-BD2D-6F98B8631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BE5FC4DF-986C-4BE7-8346-6E2CF87880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A742CAF3-B196-4188-B573-C73633742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DAA7ADD5-27DF-4EE0-9100-BD2CC46600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85569F49-C62B-4F8C-A380-37CC8BBF0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B5DB1C7A-EE01-4A67-860A-1B734273A8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4B97581F-41F3-4483-9AD1-D0C1117B37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9DCCA0CE-F122-47BA-B1CE-4EADBB065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ACA1FE77-5265-4D26-8113-556D452A6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93A61E02-4EFB-4D81-BA7C-1C768E26F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351BAC01-76E0-46B0-9FA1-B10C0FB2B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1ED4ADB3-3302-4612-ABFA-485A3F755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DF0D3F76-B19B-4D47-B10C-05E4DA8BB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EF72780-029F-4BA6-ACF6-B56B5DABF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CBFE23FF-4DBF-4E90-A021-92EFF96BC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B198988E-726F-40F4-95FD-A47F3DCEB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7CB3E2B9-24B1-46C5-A806-9D0EDA35D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D654EBA2-4831-483D-B23A-97630C72A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B921E5F1-D519-4D37-9579-C0CD6D32A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94B2F602-C250-415F-B982-72E3A7EDB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EB23E827-DCA7-4CED-B346-BA7CF6028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C3E88693-6B9A-4032-9DA7-E39DAC6AE3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610D6D5B-0386-4BEA-9714-F54925882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DD86BC7A-FCB8-42A8-B8EC-2123E0AD3C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2EA7650F-D52E-4294-9D48-E6D395BF9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DB83A74-08D2-4AAD-8017-C839FAC8B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AC7E7ADC-D4AC-494D-BCE5-5B81BF0781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E81C3E1E-A5D1-496C-B9E2-568D8AE59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30E689BB-D13F-43F5-8982-088455A80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6E2F18-3074-4C8F-AD5E-6A9AD79CE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D1A55E7A-1DE2-4D78-B320-BC45BF26E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7216A10F-4531-4723-89DB-6511703EF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A7D6798B-75B1-4A52-AD59-AC2BDBCE9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8493E704-D68B-43AC-8B7C-906AC2C17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66B31776-E7BB-48F1-9F59-30C579FBD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C28EA4D3-9380-4F75-BDB1-9CFCAAE70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5A93FF0B-0699-45EA-9ADF-4030044D3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1EAB263C-8897-498A-BB25-9F394F573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92D9B233-51DA-4260-ABD7-573BE45E3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D47E7C1-C210-4F4F-8BB9-99D2484C1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9946AB6A-6F4D-4673-B288-61C634C7B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8C3EFBAB-4EB6-415B-90E8-B9444BEF5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4E2DE5FA-01BE-4B9B-B096-A609576C69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3E68D052-77E8-4D0F-9D63-35B893E26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BADC8A3F-2195-4BF3-9999-8493E2C860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F075055C-1A1A-4E3C-B9CD-A5EABE772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9117DB0F-F2D6-4A89-8DA7-9E473545F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7FBED562-FDB8-4847-A6C5-7D0C3FCEB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D0A3DD56-0A37-4644-A151-D4B7292E2D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5D123828-CA4B-49AB-822A-F7108D1B5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6195A603-714D-4DE7-9644-FAA334F21E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81991BC3-1430-4FB0-A98A-D673BC28D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9ADDB6F5-43E8-4366-BCED-168215D7BE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186448E2-4B2F-465D-9363-E07A3096C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871F0082-CDE5-46BB-8E06-AB1CCA598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89254DC2-73D1-431F-AED8-EF1620C2C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F1F3A40A-682C-43DE-BB22-3319DE9CE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E7793A62-2FB5-47F0-A03A-2AB76C45C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2CAC4C09-3362-4E63-9097-3F17E8AD97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49CA30EF-6449-4323-BF0C-71DE60BCCE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C531F3A3-92D5-4433-823F-91DA91995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8FD90D89-17BC-4796-835B-CBBD0F2BAA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7AB68B93-2B22-43A0-BCEE-FE74222F5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FBA293B7-A420-47AE-91B8-4A69169BA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2320EC18-E7DA-4EDE-AC87-6E5FF906A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C06249D0-3768-49DE-A2EF-A37E32FEC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25F057EC-CB4A-4534-8FB0-B424A0128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B2C88DFA-0B28-4E09-80A1-57D4E9D96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4C92D34E-83CB-4344-B09F-9395BABF5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71899832-EC63-4FBA-8782-B540829A04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35987BE6-DF4D-427F-AA66-D5F9FDC9F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B4F98021-63EC-4903-8F47-BB4C35659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FEB94E-8A20-4A97-BD1E-AA469F7569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AB0F8160-7204-4B07-83DE-CD84B21D1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9FD09FBC-CA22-422B-BBCD-1756CBD22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BF69C920-AD88-443B-AD1E-AB2E47C7D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D2E68D6C-87A2-4D00-B116-60E8F4484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8AD96720-B6EE-4F21-B80D-98AB3DE80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1A3D7B69-12D2-4CD6-A179-CB4AD7897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71AEF95F-8BC0-4A09-9FBF-2B6A294C5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2B1002C4-2F6D-4127-863E-DCA6BE4EE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8ED4A70C-273E-4BFF-94B6-C0CD0587D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44CDC78B-A17E-456C-A5AF-B68D67192D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66BA8C26-4B2F-485D-84C9-686A3817D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E993B8-9C30-40C3-8BE8-79E44E6CDC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81049B9-3484-4462-B696-3F8E78BAE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84215583-F93A-4581-9DEB-ECE1A9D831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7F71636-04BA-4DCB-B42A-010BDFD72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14F0172B-C0C9-4A52-ACC2-4232491B6B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7E042D77-CA6B-441C-BC94-2312E853EC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EFDA15-E77D-48D1-A611-D171769D4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5C172F63-0A32-44EB-9EEF-0B8E389C8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A40FFE10-241B-49B5-90DE-88F1C511E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11F1A62-BC71-4AD5-849F-3D7EF8BE2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66F3823A-4681-42A1-B0B8-B41BDE124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496E6130-18C1-4E2D-B2E2-FC1C53212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E52B2527-D1FF-4174-A476-7DA5FB169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5E6F29E1-8A1F-4349-BA7E-36988850B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27A54E16-E636-43C1-BDC3-225081491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ACFE59A9-C149-4DAE-942E-D933C43F1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1F477C3C-B860-4FE7-B565-2257E2DEF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55286C15-5093-4D2C-B825-5D97D8125B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3C467C1-82A1-4D6A-935E-373308898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C629E5DB-529B-4ED6-939C-EBC9D3CF6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C3D3C5C5-58C4-4BA3-9B5B-DE692BD7F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9498465D-192D-4A87-ACD7-D26B38AA9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A5699FA1-BDEC-4646-9A64-418F0817C6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631CC81A-EC39-48A0-8851-66C8418F70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284DBE4B-8E8F-4373-B55E-AD8F8EBA3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4AEF674E-FF58-4C06-B65D-A3C9D44C16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44F091F4-7F02-45CF-89FE-0467AF5CA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38D68E4D-87B3-4C37-9642-602B5274C0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6EF01147-DBFA-44D9-A992-77BC3EC1F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3371BB0D-B1E6-48CB-A26A-7F25584A9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1EC82752-79BB-497C-8EF8-26FF6AC15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3823E91-98DF-440C-AE8B-EAF56FCA2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7F5792E7-0359-4B4D-9FA8-2BDC3B6FF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21B65F07-4606-41A9-B68D-7A06B2E7C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DDA9295D-310A-495D-8A19-56F2AAD82C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1B3FCFA9-B3FC-4CD4-A0D0-1EBAA2262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A9D25C37-12BD-4DD6-8533-7B195BB5B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2DC06ED8-8E92-463D-B480-94213C47D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9489C73C-4FAA-4C40-B630-D4258A15D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56344DBC-08CB-4005-9BF5-96134560F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CDA57DF8-6FA7-4DEE-81E0-92F259A03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E5BC2EB2-828A-44D5-A079-90C2CF8A6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659408F6-4608-422F-9273-C7DCCC23E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AA454586-1B2B-4206-87FD-BE71D3D74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9954E309-1B91-4C38-9435-A3DCD3325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61206F09-5E78-49B7-B51B-B79F1CE74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5A0B4D00-B564-4ECF-A978-224C4883D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34C59942-B614-4D8A-A78C-E9B6FB5B6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F1BA1398-C5D1-4FAF-A726-69EB36773F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9340AA79-E225-4567-A6B1-9489A2A64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50214239-E593-46C2-911D-1F447ABCD3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6EA7F9F7-1D3C-4642-A6F0-FC1EE382E1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2A98043E-988E-4F53-B7F0-B1A364331C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987930BE-4C46-4DCC-979F-CE9ADAE70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31BA53CC-7C91-4487-BCE9-8692D9842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FACADFAE-034C-4748-AB61-D5E66C5F4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9AA84787-5231-493D-BE86-B8034F2F47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B3FD1FAE-5B1C-4389-A835-8CC7434B0F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5B69E9B4-2CFC-44D3-A213-B785440DB3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FEE5665E-EDE4-42D1-85F9-FABEBFC25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7252CB00-A81F-4FC1-B5DE-C10BE7D344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BEF310EC-4BE9-488A-8C83-2536F2C51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D5DDF7A1-837D-46D2-B9DB-B7EE13E00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6B6BE660-B7CD-4A1B-B86C-109C4437B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946DB838-4B4B-401F-B21F-5108BB653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DC54E3D9-BB94-418F-A959-F8C63A5A9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FCF3D31D-3A2A-4ECF-BC2C-5D9CC961A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BECB2A2E-372C-4A1A-8917-AF2A651437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CFCF6BEA-A11F-499F-A3E6-7F216128F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881026C0-CEEA-4EEE-9D68-A98C09610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3DA59CA9-7927-4F3B-AC15-1E9283736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3434382B-EB12-4FB3-8F2F-669CDFEDC2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8963EDA2-0AE9-440D-A5EE-45A06298E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23FCC2AF-0179-4559-824F-5C903A727C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247B22D4-46D6-4EFF-9597-01F0A38821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52A02A6B-98C1-461D-BB10-A0CE496563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F4CD8A08-431E-49C6-A8E6-49DDA51E13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C721CB2B-E30C-4085-AF6A-D0AACD5C0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296F613D-E323-404F-8112-1D7CC3066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A2F7AF2C-61FF-49B8-BB23-F0178833DF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3A108E02-2EF8-421C-897D-9931BAA1A2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3B7D7328-52C1-4E5D-B9B3-EC0C6A55D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222B66D1-E615-4CB3-97F0-0F26FAE29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BF5F4D68-72E4-48AF-98D2-089E8F9F1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96D22023-5EF5-4D65-8392-935DBEFA7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3896A42-4780-4968-9C5A-69A4DF015D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BBD8BE1F-7A0A-45DA-807B-E15FC74E5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B4A4AF74-4A7C-4E19-8147-32B644DB2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F1E56784-AB94-4533-8958-2E7919A10A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12FD290F-550C-4214-AB91-33C8BD94D1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35C29570-9D0A-4554-827A-07C93F638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B33D66F8-4FD7-4FA8-9F1A-7B8D0F7F7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FDA3B64E-2112-4A10-9EF8-E5156439C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6CC1CC5A-C782-4F6C-BB88-BE8B4BA3B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B13005E0-F609-4843-BB30-80A66AC8E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368B3EE0-5EF2-4395-9FEE-A7BC2A81BF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DFA65619-C810-40AC-B666-BEE0AE02D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AE53E7E1-978D-4FFA-BA8B-419BEC295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9808CBFB-33C7-4BE5-A83D-A900FFBE7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3CC74F4B-0021-4C10-813B-9FE0E51337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E0624FA6-D239-4BE0-A53A-CE3AE44CD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11388DA0-4FBC-4BCD-AEE8-B580BB3D1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13473D99-E121-4800-9F47-700F79402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1BBD569F-AF7D-4472-96DA-5CA81BA7A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37386A43-BF6F-4C29-89A4-F4BA5DFC2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5EA47419-D542-47F8-925B-4F5DFD973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B477FACC-E1CF-4779-ABAF-6BCA543FF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6B01FF27-35BF-4E2A-B48C-752631339C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986A5445-A79F-4EAC-A827-97E198A9FD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950DA50A-7450-4319-B51A-296B214E0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BD45FE0A-48BA-40BB-923A-23C43387A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F7F0968C-3B61-40FC-9714-02ABF4647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D9D6A35C-84E9-4B21-98FC-6FF7C859F0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7F4B91ED-B6C7-4C6A-BF97-B56B66DCC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6897A9-75A3-48FA-80FC-CABF2B2DD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A43877E6-9483-42E2-983B-98E8392F9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5D417C7D-5826-4466-9882-CD8006536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E365DB4C-71BB-4CDF-842D-99AF15309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7EAC43B8-DD36-41A4-BC83-08C9EEF1C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AA16F2EB-84D0-4133-A57C-CB5EEA7BD6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CFBB4C31-DE2F-4824-8FC4-4AC32D520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519DB5C0-5A5A-46A8-874E-8538DF3D0C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17AB4DB8-A920-4908-9B86-DE0EF4FB3F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6D3620D9-10A1-49D8-9056-0D3316C253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193F53A4-BCD2-4353-BBD1-DB668C08A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ADFF1FEB-0759-4FD7-A212-5BDE90D4BB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3F21CC9D-27F9-438C-83CE-BBA80303D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DC6C2913-7BA9-4824-92D8-39A66E8B7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2EF79B88-F2C2-4DA3-9487-3B7C71EC9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215F6DBB-F166-43EF-AB99-00651A5BA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EEFF401D-2366-4686-8D28-7E5AE4313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873D3F61-7402-483B-9E9C-B7893816EA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5E39B946-712D-4DC8-BE42-2C47A15AD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A4C11CD2-16E9-4469-9C87-E589088C0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200F7D5-FDF3-4322-BB25-DCDE7E5C5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8E0391A-A451-4669-99D0-DDBA9A3A86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940362F9-592B-4187-995E-1D15BA8755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A9B1F041-E57E-4772-985E-D823A4F66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FF0EE766-E349-4D81-9A47-249A10DC6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5590F0E7-7EA2-43AC-BAE0-17C39B2DDE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E0275A93-08E4-43BD-BE29-80CCB73248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4040EA2B-B80D-4D5F-975B-AF6D538BE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32FCD1DC-58A2-4702-9C67-C4FFC49388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AC6D6385-068C-466B-B071-EF185CB1D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15261B86-1A62-4823-A4E1-AC1C60C15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F7094E4C-E377-43D0-9893-A35CC7F24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6880B6F0-2147-4759-8ED0-DE92CB4D76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CBA0CEEB-046E-4A4A-BB76-9122135B1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D190797D-C0DA-4DE1-9CE4-B5D7DD620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3D9B9C0B-6E33-4F7F-AC02-C17053DC2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BB445690-D5D2-420F-8759-08AF3A8AD0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A61CB55-A753-4631-B239-24407CCF18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8711122C-B870-4A66-BA1B-78DBA84B0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C43A6CAC-EF37-4BA6-9983-C4E4E6850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BC8BBD17-BEC6-47EB-B27E-82D26A073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5D9B8A04-D995-4BD2-BDC6-C2BF76227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2E32934F-B3B2-4A7B-9B02-12A7437A7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E12192CA-9F7E-4818-80BE-6CEBB045E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D69A1C09-DB5D-46EC-9048-18FB31EEB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DBF5F4C9-EA7C-4CD1-AB75-748AE1A7D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30A7FF98-2AD5-4F74-B345-F0DE134D3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C19141D5-9C22-4379-8171-BB5439280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96F004D-E0E7-41E8-B9E1-6A7AD595D7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2C15128A-F991-4A5F-A69B-DA09E79BA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C33B0BAB-ECAB-4AB9-8A8E-EDE987749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71907169-C88A-4231-B2CC-C16C19B39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528E4FE5-19C6-4715-8F88-9E46B724B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84006D74-A634-44CE-9893-7844E4268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E93F83C4-BC3C-4A17-8AB1-DB109E52C8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12B66176-EE9D-452C-9F18-D14EDA60B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325F50CB-B5C5-4625-B79A-1DDBADB65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DD01D57A-1552-4980-8605-E15AEE8CB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F1292C32-DEF1-4301-9C95-D9DC30D60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EB4CCF58-52BF-4430-A1D5-A65D7F483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10EA7347-2368-4500-A9AE-7A147DECA6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1CAA4366-E429-4348-B9CA-B9CD0C4D16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B366CD0C-59D5-4778-977F-C24D96E373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115A8077-34F3-4E72-934E-C0EA5692D8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D943D5D6-E7CA-4AA2-9C0E-F8BB51C6A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DCE5B6B7-F929-4BE2-B1AE-ECB19F0CE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BBF0DD3D-DAFC-43A9-ABBD-DC24B332F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5155A75A-1E87-48D2-BBA1-38B247C2A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1B4ED6BC-E845-4EDE-97BE-BE04BA4431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DD5AE357-FCBC-4E98-9368-D0B9B4B421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BBDE8D5-CB00-4526-B8F8-DE33E633E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550E3215-78AF-40F7-96D2-9912E4749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32723384-2856-4C42-B764-A269B886F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E5B91079-61C9-4059-A877-31BDE8D50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84C3A0C3-CFFF-4CB8-805D-051EBA392F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26D23724-F22D-4EA7-9D03-2A8CE4CE4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A74F32D5-54CC-4F82-9A2C-2D87406915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1CC26589-BC6D-410F-AC4A-C4EB665CCD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D0C916B7-3AAB-4A5F-ACDA-5ABB357940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AA259A05-ECD5-454D-9AC9-126E82B4A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227F0DD-A92E-4F03-85FA-8F4749344B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B8D8D102-4C6A-46B2-A528-4344468C1B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30DCCB7B-F894-4824-8A9D-477EDFAC1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86821BC-6EDD-4BC7-B2F5-A824CC322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92CB2925-7B16-46BB-B97B-27627C826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C58F206F-B76A-4836-9929-7592240D7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722AA448-7093-4711-81FA-3C1810CE1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40D009-6CE2-464E-B25B-525EDEC382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E56D8076-2197-4AD6-A084-78FE8F191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BADC3F7A-994C-4877-AF8E-F8781B366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EA85B35F-13D2-4040-92EA-EA825354A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41E4B486-F639-4D9D-ADFF-54DFDDFA8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FFF13824-0914-4892-B957-426DAEAA7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2DCA3A14-6CD5-44D5-9BD0-0F2DFA875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D0C90BC2-FD0D-4A09-931B-EF5379BBD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83D8CA3E-D131-45C7-B412-0605FCC83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27798611-4620-408A-8663-1A6ABB238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51BC2568-FD8A-4554-AC95-D4F3D4C8A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BC9DD283-93DE-42BC-834C-A59EBADE56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7FB8A70F-4FE8-40E2-9A62-B2B8286F26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8645907-73AF-4303-B1C3-60ADA3651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4BCEB2FB-63EC-4A63-841D-69941D1734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2AC3CB40-0687-46AB-AEE5-3FAC01BB1B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624C1B1B-71E6-41E1-8E3A-9B8367178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2150B82B-1559-4695-A7D2-BFE0E1240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36210E16-1ED2-4081-88D9-75C0ED0E4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5481BD39-A26F-413F-BE0F-7152E84E90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FEB8A599-850A-4722-94D8-CD94438059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B1714235-29FB-4225-8587-FD35DD6D6D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CDF36C8-59B1-4761-9602-BDF0491A4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AC093F91-4DA7-4B0C-83F4-054277598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83DAB994-6EFA-4210-9F71-50DBC4759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7B96B3F6-BA63-4C67-8AD0-B1F78A0C0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133F7911-3CBF-42DF-888F-76ED2F8D0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778A6F96-C6D1-45D9-8C12-678693A0D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4DDC7539-8248-46E5-83C6-3C54E3664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F9C46CB3-46AC-49AB-AF89-4DA3432E8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6C393D93-AE6B-43F4-B8A0-EEE770764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D81F4F48-E000-4382-8DB4-587181426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5B11C92B-0917-4386-8DA6-7B867E98E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5106BE33-BB61-49F7-B8D6-9722D055B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C18F44A1-37B9-438A-B450-657CFB84D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AD926FDE-4DC6-4680-91D0-47FED3C4E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805CCC35-8D5F-4A3D-B774-90BA5E0AF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BB93C132-9B28-4215-A05A-5FF026BC68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3C113A94-6ACA-4DD1-9F29-3EE373C107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6DC931C-B5C3-4F70-B67F-3D0CC4FA3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BF778683-B239-438C-BE80-8AC3EC3668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654A2500-9FFE-4123-8ACA-0D3372D57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2299B7E9-5389-401E-9A57-32B52C7D6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6ACD1E25-09A4-4ED4-8669-A7293B828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18E9D315-981E-4346-91D0-388F812A23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5701FD9A-18DD-4127-BF34-0AC1FC8CA7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6C342AC4-2E40-475A-B4EF-BF59348523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E6DEC2A1-7EE7-422B-A048-C911C5E91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E80228CB-4C88-4C83-BDBB-977FDCD819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95B497E5-3CFD-48EC-8D37-A035EEB15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428CDAB2-88D0-4020-905D-9AA334B68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9B5B5C14-2482-430A-94FC-F55528453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6D83F2FA-341E-4395-AFC1-2BD5E73130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FB1F02B4-2A71-4C23-BD24-4DE38760D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889A71AD-706D-4A14-9CBA-943607B68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B8355635-D1FB-4206-BC1C-6D2FC635C8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DEFD8927-5261-42BC-A230-C0B2F95257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8D352B31-D734-4E78-BB86-088F07ACF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CEB4E850-144D-4A02-98CB-33CD442F9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DCA6EB53-BB6D-487E-88E2-3FA4EEAEA4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568A1C2F-7764-4597-990E-B675E9749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FAC8C9A6-3E75-43D8-BF0E-AFDF460B3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60DF9FCA-F7DE-46E4-A469-2180A28775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9D81AE28-2EEE-46A3-9DBA-A2383EE32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F7E18AAF-7B7D-4F93-9E44-958B45C594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D0087BC-1C6B-4D92-80D3-CA862D5AF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ED490C78-EE9F-48D3-8FB4-C4C1D8948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4D42841E-CB7C-4B5F-AE95-2D925F13E0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E5A2607D-EF78-49EB-828A-1B0418423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51C4C0B9-1A4B-4A51-9CA5-C5D9F5FD8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DEAE019B-0573-40F4-A76F-CB6022E24D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8DC1B708-34CE-40E4-BAA1-5B2B9A1824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F6B3A117-430E-4DDD-A6FB-497ADD1D5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87A513FB-B684-40FA-9A4E-B9254C85CF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FA8ACB03-6872-44FC-91CD-9B551F659A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438965A9-DDFE-4D11-A2C8-7C293F8AC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84E6BFCF-891E-4274-B863-7D073F465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95629B26-2CC3-4FD0-AEE7-8ED6E1E1D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C352A233-A200-4318-9C34-87F35D299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6CCEA0D7-415C-4DEA-B6D1-0AFFF54F4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26680EA3-CACC-41EF-8B9B-0B39E2E43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A7B0353E-580E-4BC1-A679-8E3AB6DD0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91D2F25F-79FF-44E5-B879-82D308F0D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2974CEDF-0B1A-43E3-B4F9-6D5AD0BBA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528D74D-216E-4250-A6F6-875EB0393F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C8C25BE5-CAA1-4127-B7BA-DA511F469A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9DCAE65E-33AB-4153-B0CF-C180B0ABA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CDE5F605-1E67-4C47-9080-27A350FB2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9448FE07-E723-4B7B-9024-12F8C32B4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30B023D8-724E-424D-A401-580610715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7D443B60-06E9-4E72-897F-D531175F1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99E9F03F-7AFC-43B8-8FD8-F92AFCFAD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AF89ACDE-CA77-4AAB-91D8-B887E6F55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ECFCEF61-6FFB-439A-A057-53AA137EA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19971788-FC81-4BD9-A24F-78389C9B8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8B444B7A-34DE-4B20-B08F-F8F7CC9CD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F9372E2C-4067-4608-B41A-EF9E471AEA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CBD504D9-8CEF-4CA6-90DD-1F18538E6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1CBA0BAC-EB34-44F3-AD3B-ACEE8F90D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F34D12C9-0415-422A-A797-8283E3C7F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4C0FB5AB-B6BB-4023-968D-FF35E620B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B80E5682-350E-4F89-95CF-E51935468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4191D4DD-E664-454A-AE34-AB5A4D8222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E0D5FB63-6CAD-4178-A2A0-608F50B50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A20DF23B-A9F3-41CF-9842-59551CC48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FE5C2FA3-AA0F-4DDB-AEB0-D1DF4C7B4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88263EF1-BEA5-4AF6-B15F-5F54AA611B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58AE7B00-635C-4686-A984-3056972DF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313C5BC7-EE5E-4958-8DED-3906BD00D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FD87FEEE-A4F3-4B55-B65E-2FBE5D5E9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4A6E11E0-E6DB-46B6-B672-7AD60D81C9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6A54A803-79EC-4689-B868-10DA6CA87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AE8C65B8-C96D-4305-8F92-DE5A4EF62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3C1BA3B6-739E-4D8F-A3C3-23BE88C21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863118F0-A626-404B-9A97-940317A7B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21837F81-100F-4656-9390-319E0CAD2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81BDBAB0-971A-489E-8D56-CDCA02FE6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18325202-8386-49E6-9E10-DD02FF6DA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B75C1683-76B8-48FA-A6C6-67DA1CEC55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12BF5D5A-EE85-4B18-B62C-1FFA34C61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7CD263B7-9688-4EB9-8CC6-ACB43AFB1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3B265188-3C51-45D9-B2CD-4450E9A444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2BE14A84-FD9D-4FB0-B035-B6B3C7E57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78B68DF2-671D-436A-A09A-2126EDC51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70A57C33-9BD4-46A5-A801-018D429AE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F4A84CFA-717E-411C-A12E-EB7D72768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40B2AD52-BF73-4C25-8763-DD03707599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9D4F1813-CA75-4AF2-A89E-E098F9752C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544471B6-5120-4A3D-AA85-473AF365D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52F2F7B3-A196-408F-8472-5269A2376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B9D3BDD7-8018-40AF-87E9-9530F1E4F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B84CEDD8-9787-4FC4-9EF6-8619DFA051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C4251D62-BF70-4A8C-B3BF-EA37B28E08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6EE7D492-7744-431D-85E3-52CC0B3C9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F4C828F0-A083-4EE9-B2F5-F6171DCEE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E3D4C325-978E-4B53-A45D-0BC7746B1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F8FED569-9529-4376-BD81-A1155E418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DA9D8FFC-0F2D-4D01-8CE9-D7BBC8240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B341D7E5-B923-4BB5-9324-F9F96662E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7655DDAB-7F3B-4851-AF6E-411377410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EF5E48C5-051D-4C13-A1BA-3887D35A4C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A0B8B7CD-CFA4-4632-B8FD-B8735FBA0F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3D87A570-EA15-4E9E-B574-E1B4CC1F6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F7889197-8356-435F-B47F-71168CC39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E06FE992-0168-425A-8C75-D4903B5C95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451C0B95-5B43-4A28-8FBB-00E9B7142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AE6A699-DBF0-422C-A0FD-ABE249BC96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8E7D9992-E18E-43B9-B9E4-A8E98C0F4F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4188115F-0F5C-48C3-A778-3BA9EB5ED2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DA443053-7C09-49E9-AB28-0846DE5A0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161CDE51-57C6-4F14-AB46-279549F60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75D3CE26-D721-4614-B9C3-FD29729E4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7FDBE598-BD94-4F89-8D07-E51611AD05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F5534C41-0BE7-4FF7-87F0-0B3795E04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AEAA7837-7729-4037-A2E8-F9D1534BE8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1079B72B-C19D-4641-9BC5-6C9602D1B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5E6654EE-4888-4196-BE0D-3379D256A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717B714D-0B2B-4B6C-BDA2-25BDE2DC2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DF349DF4-6E96-436A-8BD7-FE1C1A948F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A8C41E30-BE5B-44BC-9FA7-A5728003B4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64090A3B-E874-461A-93D9-3C41F2B76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8A3ED795-3D8C-44B9-8ECD-4E7175CEC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C2A93FD8-DBCE-41E0-9846-A06269E61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787377E1-8AED-44CC-85B1-276A461567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DCF49DEC-2D15-4A7A-BC2C-C731FBE9D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4FC0D4E0-FA94-4A1B-9B46-0DB8ECCA7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10E2AAAB-A3B9-4A3A-AC85-14FDC27868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8F379016-47DD-4E74-8530-45AC7DED4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DA669055-2A08-4334-830B-F11FCFB63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573EA62D-BECF-4DC7-9AD1-5913C05F3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983D72C5-B777-44E0-8C49-BAE6ED4F9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9B6C4943-91BD-48B7-9F6E-500AD47BA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D7BB592E-A207-4C9A-B5AB-D3E480D965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5FB1A29D-7F50-419E-9F25-6EC734A35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AAD86B7B-6343-43E2-BE16-9B3B46EAE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27A08715-A80E-4C58-833C-13858DBB4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7BA62F47-1DC6-4147-BDDE-4F821E0AB8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9711D107-C815-4AA3-9EED-497E8139E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4BD48736-8844-4564-B3FA-FD29E1EF8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B17161A9-FCA2-4274-9452-B355A1A0C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29FE57F2-4DAB-4E63-8EFD-298B68506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B02D036F-E444-4ECC-A229-8261D7841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A52F5162-7EE5-4866-A7E5-5FCA97FCA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56FAF321-C007-429C-B9C2-F9EDE0469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EFF44C0D-0495-427B-9CBF-906E93A9E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8EF218D5-861B-42B2-9F88-C0FC8644A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94322AF3-6306-44F8-80C4-89A433BF5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1D6AB3ED-000C-4075-9ADC-B3A4CA46AB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BB10B792-4FA7-4C21-976B-A6DBCB4FB6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E291C7DB-B97F-4A5B-96AF-3556ED462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26D66D37-6D49-439E-97D0-A98DE13849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2FCEADDA-ED05-47FE-9CC7-426CD63F8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6E2D02E4-3A3B-4F0D-B9F1-8B98888D5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A612183F-275F-4167-9242-1F74499DA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BD4BA02F-257D-4F5F-8489-60A77B69A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8031CA48-4BC0-465F-A871-E702D87F6A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F5B7A7B8-01AC-4BF6-8E98-29BFE9C15F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9A530052-23CD-457F-B9CB-074163D54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AF8203E5-2AF7-43ED-8D1D-E5E22AD24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A6384ACA-5E47-4E3F-9E82-C7DBA2C557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83A9F925-9A39-4625-8C17-13A518F07D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A15A90B5-7C91-42AB-A198-713FFC757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C24BA878-0DCA-4D01-9872-A4BD82859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F8525564-6CBF-4717-8154-BD0539D21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A7BFEC7B-58DD-4004-99BE-4FF0DE0E7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25A86DEF-2035-4761-BFC6-557ADCE8E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C997E694-20B0-4996-A217-4E663DC07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8634CFB0-500E-4664-8EAF-D17E5E01D3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918095DE-329E-4AC6-BF77-7643A4E30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E7D55786-C659-4747-B4BB-6842736EF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F8B3408B-2E2E-4F75-98AE-D34DAF376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D1179CAC-6D3A-4B07-80E1-3B24AD07A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6805E300-9B6D-479A-A6D5-3A406E718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3C703604-A672-4EDE-8630-C214B5C8D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6869B981-12AE-429A-BAC3-B83E685D9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C0CB0422-6E63-47B6-A643-30901786B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DA55AC51-C93B-4545-8AF0-764891FDC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F10B3811-7EAD-4015-8E94-6927C7AC6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92EA5B39-195C-47C2-88EE-38AB02111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96E52E8A-6E46-4F07-AAEE-FA0FB370C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5011FC9C-82E2-4920-B145-E4DBADDC60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1412D2F-CEC0-499F-A0E7-3F7A36C5C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FC1A0C5E-9E8F-4B7B-9F14-0A9ADB0C47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5259A1D5-E6A4-4553-A809-79BAA1CCB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D84EC43E-90DD-4F04-831B-DFFB029A4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7CE8AB34-8817-4460-AA6C-64D11D641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6795B9D3-5D46-48F2-8A33-7E8E076CCC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BF78E49C-F1D5-4D50-9DB6-973173532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ADCE06AB-31A2-4846-8F57-5EBCD5D7D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82343940-430B-4BB8-9768-E868D43814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44451C2E-0EE5-4976-BABF-CBBE1119E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ADC6D992-2336-4E5A-A65D-968E78B6C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97418299-41C6-476A-B91B-036D68F58B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DB465DDB-C5B3-4E86-84F8-55BBC9E7C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29685AA6-7954-46B4-AD8C-BEC6AE3D9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F479B3E5-FBD1-4246-A807-B107E72CA5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762156EF-E029-41F3-8E57-A7701E7F5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52ED9140-4D9F-4B82-8481-9D0FAC6E7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62E1B24E-F713-4EE7-8F28-E9F205F46F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24BEAF2D-40F1-43A7-AFB3-E5B0D625CA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11FE3E00-D2D0-4421-A1C8-BAC1492F0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834B621F-EBD2-4373-9B68-FEA69E9448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DD5E40E1-04C4-4438-87C9-4E22BF2FF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8E2CC4D6-C800-499A-A328-868CF468D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E02E7DE5-6C7C-48FA-9148-9281990C6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553E5F3C-686F-478C-B8A0-480B6E10D7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ABF664DD-AA75-4B60-AAE0-BD0EE1C62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DC9F011D-8E99-46B0-BBA0-BC3091E7F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7BC40F91-F2CF-4F6F-8660-0EC949E12E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B857DA99-AE5F-4D4D-9CA2-0DD871EB8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F4099845-EBB2-456B-BC2E-3F97E4F65B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E4A97239-F00F-47B3-8B71-1148C1054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636972B8-1200-4EF6-BA9B-C49EB905E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9365A6BC-8147-456B-A64E-1B746690E7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BB76F872-E2F2-4E94-992B-C0D805EBD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8E68E255-7E08-450B-84FC-81265147B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5F26B6CC-BEAF-4CA7-9383-E50ECA6F1C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DEA24598-01D0-4490-83F3-7689C78C9C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D0263478-1534-4C25-9A84-6E4024F757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B176CBB5-24E2-4C61-BFCE-5A6C50809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6458E488-EF81-413E-A1E5-9D7A5DE394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753E73E4-72EA-482D-990B-3D8757A51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DA8209E4-BFE2-43A6-B746-77C801C20A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518B4A90-8259-4C88-AD75-9A479A490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EED224C3-66D8-4BD8-9751-0AA8F73B2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4FB2633F-FF29-4A51-AC8E-9F063D3F7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B8AFCF96-37FB-4E84-BC12-DCB73CD44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FCDDB08F-DD8E-4593-86E3-A29B32BAAD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C921AB04-BE70-4FCD-BE34-F6F2B9C39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B42FD1D3-B714-492C-B1DD-4855621B6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B4E4108D-BD4C-40A7-82A7-6DF7B0E9FE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479598EA-63E1-41A0-A7FD-A98CD70DC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4A0A80C4-4E2F-419E-9D5A-81452013C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5E043A99-9172-497E-9CDA-E2E8F1C78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CFA61B2C-FB3E-4CCB-BF7B-6F135BB29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7B273FC3-3F9F-4469-BC35-C0E1197B3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992D078A-CFCD-4A38-AAB4-95FF66CD1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EBDA0CFE-C5D9-491B-ADEF-94C8FA64D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47F64DDE-9953-4C5E-A072-000401765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E9FC2A4C-501A-4B8B-95EC-B829F8E42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8B92F1EA-BCAC-4A7F-8A4E-B8395D84C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970C3298-A7CD-45F2-8682-B04D28376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48BAF4DA-5ECE-4318-A813-64444656E3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D81D2B2B-44CE-4147-A690-86CC9FD1B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E7D3B606-DBC2-42DE-A220-CCA94CE755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6901BCE9-AF9E-431F-BF2D-A7934AFADB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45EBFFE8-ED28-4DA7-9F75-A1AE2983A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D4D08320-A6AF-41C9-80B8-0AE01B1C5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6947CC0C-839D-4D46-B481-9E8B8DA2A3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6108FB40-F724-451A-8A88-AB21128576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868C49DC-E62A-45CE-BA12-0D7AD4F7A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92CA8F29-F9E6-4527-8354-555C1387CA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F8B5FCB3-462D-44FA-9525-72296675A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8434139B-E377-4897-BF02-225CAC360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DE67A50B-687E-4517-8162-8C703A71F0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AA5F2C2C-42D4-4056-9D6B-36BC06C57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DE92C26B-DB6E-46B7-961D-CEACECD5D5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5884502E-1978-4DF7-8874-C3BB37D45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63DED48-37B3-407F-9689-283EDBC6D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8B54E116-EB18-4378-BF31-CB04420E58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CAA295AC-1CF7-4986-8876-3454FAFDA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C91724BD-E66B-4AFD-B293-51F4B9F43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28662D96-C1D3-448E-8E4F-07CC4BECD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F69F7C5E-D6B8-4F44-AC95-04FACFBFC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DA959F5A-47CE-406F-8431-E2A75D9A4D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2D202B3E-3A2A-4216-8449-207293E2C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FD8EA63A-92E0-4E2D-ACAF-A4594FCBD3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7A56B335-ECBD-4941-9FC3-E6774C901B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3D9332B1-326D-4377-B914-7FE33EFBF8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F4AE107C-C432-45C6-B825-8169E9F08D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25AFA7CD-F52B-4A27-9956-05528DAE8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1E70625F-1341-46A0-A1EB-ACF626D860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BEC8B178-8DA2-4834-84F5-043CD9017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5E886301-FCDA-40DB-908C-C29DCFEAC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C54CF8E6-611A-4ECB-B2F7-B35BABB90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C4C3B50C-3990-4B41-9570-E1D68BE77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8BF88801-2D39-42C5-8761-DC3A948DE5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940E2CA-1E47-4657-9269-A80ABB58F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EB9136AC-043F-45E6-97AC-F7B776443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8B00101D-B3DB-4825-9608-22048E4AC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4F701C00-DF11-4254-BFFF-5DDE097DF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D710624F-B5BA-4CC3-8600-B8E982C9B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E7C4A3C4-7916-4756-9EA4-4EB02A0F7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EDE1FBE9-30E4-4237-8A77-54D81B8E36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BE5A1D34-39A4-4683-9EC9-EFE68AFCF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7D90BB88-FFF5-43FE-A2B2-FF596526EF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D5C3CED2-B38F-4678-A5A6-B3F0BC4DBB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42753116-8134-44E8-A34D-2E2D83555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93B40CEF-650A-4B86-928A-03B39E7625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F849C5F3-76CF-4BBA-808D-C2DD92769E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FEF8AD06-FFE8-4BDC-A2F3-8A6EBFB58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8AAFB5CE-92D1-4A00-93B7-10CFC1A08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3E29C0C1-3212-4BCE-AB2D-DC5AE099A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35BC0485-EC1E-43DC-A714-EE8D302B9A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A28692F4-6CFE-4A56-BF14-15DF42638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DBAB3BB0-A0A9-43BF-9722-51724F751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FD782CD3-A4AB-417F-9312-B6097B974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7EC7EC5A-0086-4084-8411-63DE055F6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28458628-FF0A-45EB-9F81-A58DB150B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9FCFD09F-14E0-424D-AAE2-EDB588C05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9D1E7122-4C83-40BF-9B56-0C6CD0B93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58A3F4E4-3C15-4BF4-B99F-1ADC4678B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2D66F763-8A7F-43B7-B986-CD08D4E32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AD193A0E-5E4A-4B8D-8D8F-7F4881B1B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807059FB-B3F4-4301-8CA9-A2679360D4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B0DC9E4E-8902-40AA-9E0A-F8A1529B9F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AE3D0A60-4021-462C-A668-549DB2617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4D5F91F4-027D-48AD-97AC-2769722D9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FFC5978D-DE72-4269-A2F8-CE9A3099B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AC94375A-1F2B-4DCB-B18D-E80274665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6D9EF03B-7361-4BE3-AEE1-060FEB47FE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CAB559E3-A229-490E-99EE-2CE830DBD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16DF599E-4D7A-49A5-8099-388B0A741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B83FD16B-16CC-4A28-B237-FC55C2572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4FA6543F-7766-4B24-BE97-7A7C662EF6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A69CE7F6-9B68-400E-BF13-A749E63A4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1A3935DF-A5D4-4415-9ADD-92783C45C9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404E3324-0B64-4BC1-8D8D-D6165B33A7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77FF3D04-1519-4D79-A00D-4BD19590EA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1D4F306A-709A-469C-9C0D-37B777942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E64FE378-2ECC-4530-974F-9E78D281F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D4F76DC8-ACFA-4FC4-A7A8-41E9908CC9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3F77C4E1-2677-4822-814B-6D38D02A0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3AED064B-4366-488E-86BF-29F93C54C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78DC271A-C07E-4425-B43E-46831B32C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C97A9C7E-5440-440F-B14F-912A467646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2B7147F5-5D31-4EF5-AF4A-73EF5315C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46D5FDD6-56E2-4C46-A931-99E3E481A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BB2C13D0-8D2C-4386-9170-86D5EE1E99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2567A592-2AA3-4731-9802-52DD646D4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F6B2E3D8-01D7-408C-B78A-8A8091746C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BA4EB430-D2D6-43B0-9290-E7986E5DF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86AEFF8F-929A-4CEC-A5BE-530C07BCD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6B740E42-42E3-4895-8235-B713D8A63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381C82E4-4A54-4D21-B515-F28425916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754421EE-134B-4ED7-817A-C3905ECF27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DEE9B1BA-BC20-444A-8674-2CC01E786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658ED0DB-5548-4641-97C5-BDDE7F9AB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8C96EA37-D9BA-488D-9157-A340C2C2F0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6794B2B8-1488-4EAE-BECC-A6CDC273D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13D30027-C810-4A1B-8E58-8856A8B8D0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464E49F6-05A6-463E-A578-0EEA75665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65F2E815-450E-4AFE-BCF8-13053B605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8F7F9217-1C86-4546-84BD-34AF41E88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8520E9DC-EF1A-482D-A924-83004408D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35A8D64E-75FE-41B1-8DD7-51CBB1BAE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6A0EC745-05E0-4353-BF31-151361363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8CF792FA-B599-47E8-A3A8-3E023A34AE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9A16DD15-2DEE-45B1-AE7C-5AAE68507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3745732-DEBF-46DD-815D-BDE277B02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2E2A17BA-FB2F-4C9F-80D1-AE1DB76486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456E7C7-C691-4F67-B68C-45179C89D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B8694CD1-3C4E-4F35-A46C-283037C35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F53BE9CD-C052-4F22-94FA-CA00002F5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FFDA4C72-0216-437B-8675-E322F44443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8A6B99CB-48FB-440F-9CA4-417583AF6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2805405-70CD-45D3-8C80-870DBAB30E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5062A98E-EED9-4A3D-AA02-D893C97C10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94157441-9B58-43B0-A0A3-ACB7B2D19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92EED22F-B11C-476D-8A12-53E4F3AE80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AD30FA76-B188-4559-A973-3FD2B960A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DA522CC-ABF7-4195-B6C1-682B9C8BE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BD5C29DF-B782-4D63-8D53-E255CB3E3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3983ACC8-A7C4-4990-83CA-FF2063F65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CEC75B6E-CCF7-43FB-83C4-C9D2C9F9B1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950A8A79-0900-4E38-A305-79E86BB5CB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96264BF8-E0F9-4035-8B30-09B758A7FF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3C10FB8-5175-4F5F-83D0-F678B24ABA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C717472E-8C5A-415B-9330-6DE1D5858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9835A426-787D-45A5-B046-0226A345F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B8F64DBB-B2F8-4426-A045-5A209A70F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3374963B-FB2E-4D56-93BF-3D4D898AF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F68E186F-DF7D-43C0-93FA-B6CE80FDE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53CCC1DD-0A1E-453B-81BA-2ED374970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A677F787-265D-424B-B8AC-6942EF227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C86BD172-5222-46A4-8FB6-856D3E5C5E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678A835E-F20E-4147-8C4F-19FFE9073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79116155-7FC9-47B5-9C4B-E958EFA59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72E988EC-866E-489D-BFB6-E45DB8FE8F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226A4A76-8473-4322-A8B3-64F96637F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64E2C7A0-525C-4CFD-B32E-96B093657E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20B0A4BB-787E-4933-8FE5-CE5F779E5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A808517E-D988-4593-8A71-90735466A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A6417419-E3FB-469D-91F8-5E2A5B3B26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2DD676E1-3B9B-44E5-A001-4943AFD27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CF9C59A1-D9D1-4013-A9D7-D7F4A4D3D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746BE537-9DA5-4FB7-8A95-E8154D47C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EFB83B58-D987-4E6A-BAAE-078A3B8B68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4C4D8CF5-46BC-47A1-B058-45AFB4749C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29B85E2F-1848-4728-AC78-0C3648B7A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A939BE9F-8C14-418C-8A0F-8B52616D9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E0BD4453-7DA1-49F0-8C48-F5D2A2A3A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7EA98D4D-B63C-4D4E-BCD6-B973CD307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ADEE3321-89B8-4BDE-BD88-1962D9659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EC5553D0-AC79-4819-929E-31182B0E15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113C3EDE-4F0B-493C-9C5C-39445D5F8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21F58203-E560-4F3C-99A3-472DC7AA3A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6DB46490-2EC0-4F83-8B8D-FB28D320D3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F75A8BCF-2561-45B2-A64D-C0E95FE8D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16C71C37-FFBF-44E2-A18D-5EB08C39E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14E504D8-A8F9-4587-84D4-769438DE5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EEB78538-CCC5-44E4-B6E6-EE7EE55E5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251AA795-DE1C-4397-ACBC-40A1824D6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136BA425-8DA4-45B5-97CB-02E527D84E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5F936BBA-5CCB-49CA-99EC-1F73D2516E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F23681CE-3546-4416-A113-1C846B2BE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FA07357-3B9F-4EAB-BB30-27C737332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494B7B5F-DD93-413A-9C7D-D97F11E665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15B022F1-1F9C-4F07-A813-86DCDEBD4A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66F6388A-EC97-4B79-BF53-4D1B06B28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88BA7E6C-2E9B-46BE-8917-803647531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499D2B01-EAFF-4B7A-8141-AFB763FDA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CF06205D-828B-4F22-8AFD-674258521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BEA9E667-B02E-41EA-9E96-AE5AC5752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C8F75CFD-63C2-4869-B8E4-A5EF4A2B6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A2E09515-4BC1-40CF-B594-CE21738D3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F6F4C2A5-EA08-4A02-A2EA-0C843E12F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7AA24DE0-BE37-4664-A0E2-C9DB6A35F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D777E046-AE0D-4EF6-AFA6-28F3F5B03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36783B28-DBCF-41C1-B35B-EABD225060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AF3F3DC9-7B12-44CF-A41C-5C6F53AC1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4C873228-5A64-4366-BA34-681B11BB4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4DD3636A-B6A8-49FE-9568-9310205F8A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8B9F8742-383B-4318-9AE6-F29BD21BD7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68134B36-DF5B-4101-AEBE-193B9732E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6487C667-8793-4AE6-8CCD-8F629BDFA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CFB1DEE6-FDB7-49BD-9EAF-2B057DFE4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4121EA7-C262-4DC9-9A59-CD9577D35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5D3B0AD-9B1B-4395-8E0C-D9EFD3A36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17895B0D-F12A-4524-90E0-62C663E42A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1E3B8239-9606-4B9B-A849-F55024867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D85BAD34-C3D3-440B-B4E0-42052AB59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5244764F-FEC0-4C55-96B4-4108E30B7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DA35CAC5-B65B-4FF1-95AF-0C0193F3AD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1B0FB21B-4D01-4366-86FA-D85D460B6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2981FE9-C20B-4893-9129-BFBCDC78B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5B3F436F-0D61-4190-9C37-0691C7A1F9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63D9FB13-7025-436B-AEF6-041F797DA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BB1BEB5A-C450-491B-A183-39E7070FF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BADEB2A9-3687-45D3-9A88-316DCB9F5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F8C4A729-9D35-4561-9B23-320B36ADD3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88655D5E-14AF-429C-B3B1-43F031D214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2A4446AA-7E8C-4DC6-B38A-6CA65B384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1010F179-F38C-49CB-871C-1D543501F8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45EBB0F0-50E2-4F09-B2E6-11C03FE65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283C4000-3525-41FC-9D82-322973148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D2650083-DDCE-41C1-BA90-547C80BF4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E42A5537-CE51-45F3-BFB5-EBC66C31C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56F3D840-DBD2-46B5-B6B9-64E800808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7B451C84-6818-4E3E-B7A4-2227E713F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7E3B25CB-6F7C-4800-ADF7-7E4ED4BF9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FFD731E9-7A07-46E2-AE30-758C25990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56F8882C-06B0-4885-B48D-276745D54B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C14D2DF7-605A-4F27-9E66-CFBA378E8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43D90DA4-98B6-4EAF-B408-A28F212F7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DEBD925-D182-45C0-8894-A23087CC3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1628645D-FB6B-4081-A73C-A6E9D5F51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371E01AE-583A-4801-AAF4-FD7FB92362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3226D304-1851-418E-AC40-2235C5A54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52BE680-B5CD-4AEF-B3D0-4B5324695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D184006E-82CD-4BE9-B680-575C257BA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183ED6A0-1C42-4500-8A7C-B5A112987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D55F4847-9158-46A8-B78A-D73E9AA5F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8ED37596-2DD6-481D-8692-7B506291DF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25433E5B-7A34-4B98-8D62-E0E26E353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A75A0C3D-0459-4EE5-876D-2F11C3BD8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E2E71184-7DF8-43BD-A6FC-DD35EE108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480958FD-A56D-4E4E-A7B4-6E38EB0D7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8C9E96DE-6B1F-416C-A08B-AE4E14620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4D6198E1-6A5B-4310-A066-C5A39A88B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B6CCA019-633F-4F57-9382-DF91CA87D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4A87C922-A16E-4C27-9B15-E037035868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D5FE8879-6E51-442B-9669-BEC902E2F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4986BCC2-B999-4165-A193-662F35C60D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3BFA0E1E-8DE8-40CE-9107-007E9174AC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996D2439-E4F6-43E0-AB7C-39CD14925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D90CD40F-588D-41DA-A568-A5A9844D9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3A364E4F-FE76-4CB0-9A4F-D3F7FEC83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66E234E4-1FFA-473A-8860-A78F99C9B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581F335D-BEEA-48D6-98E7-1C2EF05BA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E7E88244-7317-4461-8BCD-47D6CC5EA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C4325F98-55CF-4140-9E41-00F0E0834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EC2CB7BC-C306-4F01-BE81-CAF9E6662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F45E03B8-EA4D-41DD-8F91-6AB6F8367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28EC60C7-6EBA-4D44-AA04-422268226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69E512E0-B8B8-4919-A433-0E694A1FC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F3FA3B23-C5F3-4F54-8632-09489F6BE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C7BCCD82-0139-497D-A3E6-AF396B9998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289CB2E6-9AC6-4322-A404-F862043A4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8BE1F81-AE3B-4683-AA4D-CD7B15FD4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E0E2CC24-5F3A-407B-8F60-01647FE75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C7DCE257-B744-40F0-A7FF-CD8974188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D07C9FF7-067F-4A8B-908B-FA700D9376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5B6BE9CD-2BBA-407D-A1FD-18328E0CB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D57A8531-1925-49B3-8737-3264B33E2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2BC69948-4984-49CA-A505-4209D83ED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410E30A7-BC48-4EDF-91EA-D59AF46790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96236329-79D6-49E9-AB87-C20C02E1D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1A162AC1-B6E3-42CB-B020-FD6C66B15A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E89F4CA8-CEA8-4B2B-9DAB-EB5AF4038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1A1CCC4C-2353-4741-A504-CC7A6CDAF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685E2075-6D8B-4245-9630-392361BC0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559FD9DA-9CDC-4CC0-A092-A9FD441C4F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49896125-5B74-488F-98AF-ED850E204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CE992955-FAB8-45F2-8D2C-EE7B7DC6D2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3010BFD6-1322-410F-B74D-ADB5CA875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799EBF3D-33B9-452F-9553-70619DAF7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D827075-3912-4B36-815A-4E690BE7F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AEA93787-386C-46B3-A002-B7BD7722A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8167056B-FAA7-40D8-9272-ED2447DE8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76D013BC-465B-409F-89E1-E00C34250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3CD5EB21-444A-4BA4-B7A6-04432FDF4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296E475B-6552-4A5F-9665-74146B374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128BBF69-8A76-475D-B00C-B3614FB02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373CA1D5-A897-4C2E-AE8F-416DC0228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63A4CA0E-AF9F-4383-AB88-D9EEA72A9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8B3CE81E-0566-4617-9B14-224D951062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4A4E0DB3-4729-4922-9C37-BCFCD437B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D4FEFB79-D7C5-4927-97E9-E2E57E42D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1C3BEF37-8EC5-4642-81A2-ADC996D87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F71253DD-060F-45CC-A836-DE3BDE679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FD66C68F-913E-4C3C-84E2-A056933F5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6F8CC190-8578-4664-9089-9AEEC5D93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833ED42-0C01-43BA-8D9E-9BB0C237B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8AF639BC-609F-473A-8080-95A3641856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48056880-E0EC-44DC-8ACC-7D3E814ECC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CBB093D9-73B4-4EEA-9E28-E4773AAC8E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57F608FD-0CDA-4FCD-B0E3-A086BC451E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31212EC4-C4D6-40C6-9052-CF9E223C7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338093DF-74FD-4068-9827-99C470E2F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E5C6BEA0-3FE3-4A05-845B-144213251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1370CF78-82CF-45AB-A8BE-BAAAC5ACD5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9E0E8B20-D770-40ED-892F-48F90C770C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867246CE-D646-40C7-82BE-D9A2C234FF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1FB16C07-B1D7-41E4-8BFF-6EE0EA0CE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99942CC6-E605-47E3-A20D-F507ED24B8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30C0F49-B668-4B4D-AB9D-A0622C0C4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28BDEFB0-E291-4B3B-BB1F-23158FD10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5A6E04D0-244D-4DD7-8713-F2739120C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C3078FF1-747A-4B82-9A40-DEC36AFDE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DDB2C6AF-0FF4-4455-9932-7C265CFDE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1145F776-E2CA-4D9C-89E5-9004CF982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F44C5D3B-E382-461A-8556-9AB43ED45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7FF926B-BE2A-4360-9B70-A2F0B243C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C7E8D014-6F65-41E9-9ACA-13D0181F20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A8D9252E-44EB-4B89-AA1F-2E62365E8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718313B5-2A03-4755-BE12-7DA174EB7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6B897DD9-EA96-4368-8F32-FAC29709C0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4E24312C-9B7C-4DE6-BEE9-C5CA203C9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EA1757DE-06EA-48BC-A6B3-C1B3D1FE6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E702DD4A-186D-439C-8605-9D3A6238A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5E127107-73E1-4B94-A433-965D96555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E5E3F4D6-06CB-43D5-8DDC-875489F34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C2D5182A-007F-4626-9418-F441531440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63723458-ED7B-4299-9D19-5F3EC173A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1C2A0145-C1CC-498B-ADDD-51A614F669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CB48DCAA-8207-4888-B292-66D5BFCDD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7FD111B9-62AA-4615-A34E-BD26F77C5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44287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" t="s">
        <v>3</v>
      </c>
      <c r="B2" s="191" t="s">
        <v>4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5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4" t="s">
        <v>7</v>
      </c>
      <c r="B3" s="182" t="s">
        <v>8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82" t="s">
        <v>9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2" t="s">
        <v>12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13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182" t="s">
        <v>16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82" t="s">
        <v>17</v>
      </c>
      <c r="L5" s="183"/>
      <c r="M5" s="183"/>
      <c r="N5" s="183"/>
      <c r="O5" s="184"/>
    </row>
    <row r="6" spans="1:19">
      <c r="A6" s="4" t="s">
        <v>18</v>
      </c>
      <c r="B6" s="182" t="s">
        <v>19</v>
      </c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20</v>
      </c>
      <c r="L6" s="183"/>
      <c r="M6" s="183"/>
      <c r="N6" s="183"/>
      <c r="O6" s="184"/>
    </row>
    <row r="7" spans="1:19" ht="17.25" thickBot="1">
      <c r="A7" s="4" t="s">
        <v>21</v>
      </c>
      <c r="B7" s="182" t="s">
        <v>22</v>
      </c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82" t="s">
        <v>23</v>
      </c>
      <c r="L7" s="183"/>
      <c r="M7" s="183"/>
      <c r="N7" s="183"/>
      <c r="O7" s="184"/>
    </row>
    <row r="8" spans="1:19" ht="17.25" thickBot="1">
      <c r="A8" s="4" t="s">
        <v>24</v>
      </c>
      <c r="B8" s="182" t="s">
        <v>25</v>
      </c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 t="s">
        <v>26</v>
      </c>
      <c r="L8" s="183"/>
      <c r="M8" s="183"/>
      <c r="N8" s="183"/>
      <c r="O8" s="184"/>
      <c r="Q8" s="157" t="s">
        <v>27</v>
      </c>
      <c r="R8" s="159"/>
    </row>
    <row r="9" spans="1:19" ht="17.25" thickBot="1">
      <c r="A9" s="4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82" t="s">
        <v>250</v>
      </c>
      <c r="L9" s="183"/>
      <c r="M9" s="183"/>
      <c r="N9" s="183"/>
      <c r="O9" s="184"/>
      <c r="Q9" s="2" t="s">
        <v>29</v>
      </c>
      <c r="R9" s="6">
        <v>10</v>
      </c>
    </row>
    <row r="10" spans="1:19">
      <c r="A10" s="4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/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7" t="s">
        <v>32</v>
      </c>
      <c r="B11" s="175"/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/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21539000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1.0224474E-3</v>
      </c>
      <c r="N14" s="164"/>
      <c r="O14" s="165"/>
      <c r="Q14" s="156"/>
      <c r="R14" s="156"/>
      <c r="S14" s="156"/>
    </row>
    <row r="15" spans="1:19" ht="17.25" customHeight="1" thickBot="1">
      <c r="A15" s="181" t="s">
        <v>39</v>
      </c>
      <c r="B15" s="173" t="str">
        <f>TEXT($G$1, "[$-ko-KR]yyyy-mm-dd(ddd) ") &amp; "오전 00:00"</f>
        <v>2021-04-01(목) 오전 00:00</v>
      </c>
      <c r="C15" s="174"/>
      <c r="D15" s="170" t="str">
        <f>TEXT($G$1, "[$-ko-KR]yyyy-mm-dd(ddd) ") &amp; "오후 14:00"</f>
        <v>2021-04-01(목) 오후 14:00</v>
      </c>
      <c r="E15" s="171"/>
      <c r="F15" s="172"/>
      <c r="G15" s="170" t="str">
        <f>TEXT($G$1, "[$-ko-KR]yyyy-mm-dd(ddd) ") &amp; "오후 19:00"</f>
        <v>2021-04-01(목) 오후 19:00</v>
      </c>
      <c r="H15" s="171"/>
      <c r="I15" s="172"/>
      <c r="J15" s="170" t="str">
        <f>TEXT($G$1, "[$-ko-KR]yyyy-mm-dd(ddd) ") &amp; "오후 21:00"</f>
        <v>2021-04-01(목) 오후 21:00</v>
      </c>
      <c r="K15" s="171"/>
      <c r="L15" s="172"/>
      <c r="M15" s="170" t="str">
        <f>TEXT($G$1+1, "[$-ko-KR]yyyy-mm-dd(ddd) ") &amp; "오전 00:00"</f>
        <v>2021-04-02(금) 오전 00:00</v>
      </c>
      <c r="N15" s="171"/>
      <c r="O15" s="172"/>
      <c r="Q15" s="156"/>
      <c r="R15" s="156"/>
      <c r="S15" s="156"/>
    </row>
    <row r="16" spans="1:19" ht="17.25" customHeight="1" thickBot="1">
      <c r="A16" s="18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7"/>
      <c r="B22" s="96" t="str">
        <f t="shared" si="0"/>
        <v/>
      </c>
      <c r="C22" s="97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7"/>
      <c r="B32" s="96" t="str">
        <f t="shared" si="0"/>
        <v/>
      </c>
      <c r="C32" s="97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26" t="s">
        <v>42</v>
      </c>
      <c r="B37" s="144">
        <v>300000</v>
      </c>
      <c r="C37" s="14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21539000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1.0224474E-3</v>
      </c>
      <c r="N41" s="164"/>
      <c r="O41" s="165"/>
      <c r="Q41" s="156"/>
      <c r="R41" s="156"/>
      <c r="S41" s="156"/>
    </row>
    <row r="42" spans="1:19" ht="17.25" customHeight="1" thickBot="1">
      <c r="A42" s="166" t="s">
        <v>54</v>
      </c>
      <c r="B42" s="168" t="str">
        <f>TEXT($G$1, "[$-ko-KR]yyyy-mm-dd(ddd) ") &amp; "오전 00:00"</f>
        <v>2021-04-01(목) 오전 00:00</v>
      </c>
      <c r="C42" s="169"/>
      <c r="D42" s="170" t="str">
        <f>TEXT($G$1, "[$-ko-KR]yyyy-mm-dd(ddd) ") &amp; "오후 14:00"</f>
        <v>2021-04-01(목) 오후 14:00</v>
      </c>
      <c r="E42" s="171"/>
      <c r="F42" s="172"/>
      <c r="G42" s="170" t="str">
        <f>TEXT($G$1, "[$-ko-KR]yyyy-mm-dd(ddd) ") &amp; "오후 19:00"</f>
        <v>2021-04-01(목) 오후 19:00</v>
      </c>
      <c r="H42" s="171"/>
      <c r="I42" s="172"/>
      <c r="J42" s="170" t="str">
        <f>TEXT($G$1, "[$-ko-KR]yyyy-mm-dd(ddd) ") &amp; "오후 21:00"</f>
        <v>2021-04-01(목) 오후 21:00</v>
      </c>
      <c r="K42" s="171"/>
      <c r="L42" s="172"/>
      <c r="M42" s="170" t="str">
        <f>TEXT($G$1+1, "[$-ko-KR]yyyy-mm-dd(ddd) ") &amp; "오전 00:00"</f>
        <v>2021-04-02(금) 오전 00:00</v>
      </c>
      <c r="N42" s="171"/>
      <c r="O42" s="172"/>
      <c r="Q42" s="156"/>
      <c r="R42" s="156"/>
      <c r="S42" s="156"/>
    </row>
    <row r="43" spans="1:19" ht="17.25" customHeight="1" thickBot="1">
      <c r="A43" s="167"/>
      <c r="B43" s="2" t="s">
        <v>57</v>
      </c>
      <c r="C43" s="10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46"/>
      <c r="R46" s="146"/>
      <c r="S46" s="14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46"/>
      <c r="R47" s="146"/>
      <c r="S47" s="14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46"/>
      <c r="R48" s="146"/>
      <c r="S48" s="146"/>
    </row>
    <row r="49" spans="1:19" ht="17.25" customHeight="1" thickBot="1">
      <c r="A49" s="17"/>
      <c r="B49" s="96"/>
      <c r="C49" s="97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46"/>
      <c r="R49" s="146"/>
      <c r="S49" s="14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6"/>
      <c r="R50" s="146"/>
      <c r="S50" s="14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46"/>
      <c r="R51" s="146"/>
      <c r="S51" s="14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47"/>
      <c r="R53" s="148"/>
      <c r="S53" s="14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0"/>
      <c r="R54" s="151"/>
      <c r="S54" s="15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3"/>
      <c r="R55" s="154"/>
      <c r="S55" s="15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46"/>
      <c r="R56" s="146"/>
      <c r="S56" s="14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7"/>
      <c r="B59" s="96"/>
      <c r="C59" s="97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46"/>
      <c r="R59" s="146"/>
      <c r="S59" s="14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6"/>
      <c r="R60" s="146"/>
      <c r="S60" s="14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46"/>
      <c r="R61" s="146"/>
      <c r="S61" s="14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35"/>
      <c r="R62" s="136"/>
      <c r="S62" s="13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38"/>
      <c r="R63" s="139"/>
      <c r="S63" s="140"/>
    </row>
    <row r="64" spans="1:19" ht="17.25" customHeight="1" thickBot="1">
      <c r="A64" s="26" t="s">
        <v>257</v>
      </c>
      <c r="B64" s="144">
        <f>$B$37</f>
        <v>300000</v>
      </c>
      <c r="C64" s="145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21539000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1.0224474E-3</v>
      </c>
      <c r="N68" s="164"/>
      <c r="O68" s="165"/>
      <c r="Q68" s="156"/>
      <c r="R68" s="156"/>
      <c r="S68" s="156"/>
    </row>
    <row r="69" spans="1:19" ht="17.25" thickBot="1">
      <c r="A69" s="166" t="s">
        <v>54</v>
      </c>
      <c r="B69" s="168" t="str">
        <f>TEXT($G$1, "[$-ko-KR]yyyy-mm-dd(ddd) ") &amp; "오전 00:00"</f>
        <v>2021-04-01(목) 오전 00:00</v>
      </c>
      <c r="C69" s="169"/>
      <c r="D69" s="170" t="str">
        <f>TEXT($G$1, "[$-ko-KR]yyyy-mm-dd(ddd) ") &amp; "오후 14:00"</f>
        <v>2021-04-01(목) 오후 14:00</v>
      </c>
      <c r="E69" s="171"/>
      <c r="F69" s="172"/>
      <c r="G69" s="170" t="str">
        <f>TEXT($G$1, "[$-ko-KR]yyyy-mm-dd(ddd) ") &amp; "오후 19:00"</f>
        <v>2021-04-01(목) 오후 19:00</v>
      </c>
      <c r="H69" s="171"/>
      <c r="I69" s="172"/>
      <c r="J69" s="170" t="str">
        <f>TEXT($G$1, "[$-ko-KR]yyyy-mm-dd(ddd) ") &amp; "오후 21:00"</f>
        <v>2021-04-01(목) 오후 21:00</v>
      </c>
      <c r="K69" s="171"/>
      <c r="L69" s="172"/>
      <c r="M69" s="170" t="str">
        <f>TEXT($G$1+1, "[$-ko-KR]yyyy-mm-dd(ddd) ") &amp; "오전 00:00"</f>
        <v>2021-04-02(금) 오전 00:00</v>
      </c>
      <c r="N69" s="171"/>
      <c r="O69" s="172"/>
      <c r="Q69" s="156"/>
      <c r="R69" s="156"/>
      <c r="S69" s="156"/>
    </row>
    <row r="70" spans="1:19" ht="17.25" thickBot="1">
      <c r="A70" s="167"/>
      <c r="B70" s="2" t="s">
        <v>57</v>
      </c>
      <c r="C70" s="10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46"/>
      <c r="R73" s="146"/>
      <c r="S73" s="14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46"/>
      <c r="R74" s="146"/>
      <c r="S74" s="14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46"/>
      <c r="R75" s="146"/>
      <c r="S75" s="146"/>
    </row>
    <row r="76" spans="1:19" ht="17.25" thickBot="1">
      <c r="A76" s="17"/>
      <c r="B76" s="96"/>
      <c r="C76" s="97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46"/>
      <c r="R76" s="146"/>
      <c r="S76" s="14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6"/>
      <c r="R77" s="146"/>
      <c r="S77" s="14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46"/>
      <c r="R78" s="146"/>
      <c r="S78" s="14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47"/>
      <c r="R80" s="148"/>
      <c r="S80" s="14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0"/>
      <c r="R81" s="151"/>
      <c r="S81" s="15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3"/>
      <c r="R82" s="154"/>
      <c r="S82" s="15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46"/>
      <c r="R83" s="146"/>
      <c r="S83" s="14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7"/>
      <c r="B86" s="96"/>
      <c r="C86" s="97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46"/>
      <c r="R86" s="146"/>
      <c r="S86" s="14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6"/>
      <c r="R87" s="146"/>
      <c r="S87" s="14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46"/>
      <c r="R88" s="146"/>
      <c r="S88" s="14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35"/>
      <c r="R89" s="136"/>
      <c r="S89" s="13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38"/>
      <c r="R90" s="139"/>
      <c r="S90" s="140"/>
    </row>
    <row r="91" spans="1:19" ht="17.25" thickBot="1">
      <c r="A91" s="26" t="s">
        <v>257</v>
      </c>
      <c r="B91" s="144">
        <f>$B$37</f>
        <v>300000</v>
      </c>
      <c r="C91" s="145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21539000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1.0224474E-3</v>
      </c>
      <c r="N95" s="164"/>
      <c r="O95" s="165"/>
      <c r="Q95" s="156"/>
      <c r="R95" s="156"/>
      <c r="S95" s="156"/>
    </row>
    <row r="96" spans="1:19" ht="17.25" thickBot="1">
      <c r="A96" s="166" t="s">
        <v>54</v>
      </c>
      <c r="B96" s="168" t="str">
        <f>TEXT($G$1, "[$-ko-KR]yyyy-mm-dd(ddd) ") &amp; "오전 00:00"</f>
        <v>2021-04-01(목) 오전 00:00</v>
      </c>
      <c r="C96" s="169"/>
      <c r="D96" s="170" t="str">
        <f>TEXT($G$1, "[$-ko-KR]yyyy-mm-dd(ddd) ") &amp; "오후 14:00"</f>
        <v>2021-04-01(목) 오후 14:00</v>
      </c>
      <c r="E96" s="171"/>
      <c r="F96" s="172"/>
      <c r="G96" s="170" t="str">
        <f>TEXT($G$1, "[$-ko-KR]yyyy-mm-dd(ddd) ") &amp; "오후 19:00"</f>
        <v>2021-04-01(목) 오후 19:00</v>
      </c>
      <c r="H96" s="171"/>
      <c r="I96" s="172"/>
      <c r="J96" s="170" t="str">
        <f>TEXT($G$1, "[$-ko-KR]yyyy-mm-dd(ddd) ") &amp; "오후 21:00"</f>
        <v>2021-04-01(목) 오후 21:00</v>
      </c>
      <c r="K96" s="171"/>
      <c r="L96" s="172"/>
      <c r="M96" s="170" t="str">
        <f>TEXT($G$1+1, "[$-ko-KR]yyyy-mm-dd(ddd) ") &amp; "오전 00:00"</f>
        <v>2021-04-02(금) 오전 00:00</v>
      </c>
      <c r="N96" s="171"/>
      <c r="O96" s="172"/>
      <c r="Q96" s="156"/>
      <c r="R96" s="156"/>
      <c r="S96" s="156"/>
    </row>
    <row r="97" spans="1:19" ht="17.25" thickBot="1">
      <c r="A97" s="167"/>
      <c r="B97" s="2" t="s">
        <v>57</v>
      </c>
      <c r="C97" s="10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46"/>
      <c r="R100" s="146"/>
      <c r="S100" s="14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46"/>
      <c r="R101" s="146"/>
      <c r="S101" s="14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46"/>
      <c r="R102" s="146"/>
      <c r="S102" s="146"/>
    </row>
    <row r="103" spans="1:19" ht="17.25" thickBot="1">
      <c r="A103" s="17"/>
      <c r="B103" s="96"/>
      <c r="C103" s="97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46"/>
      <c r="R103" s="146"/>
      <c r="S103" s="14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6"/>
      <c r="R104" s="146"/>
      <c r="S104" s="14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46"/>
      <c r="R105" s="146"/>
      <c r="S105" s="14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47"/>
      <c r="R107" s="148"/>
      <c r="S107" s="14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0"/>
      <c r="R108" s="151"/>
      <c r="S108" s="15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3"/>
      <c r="R109" s="154"/>
      <c r="S109" s="15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46"/>
      <c r="R110" s="146"/>
      <c r="S110" s="14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7"/>
      <c r="B113" s="96"/>
      <c r="C113" s="97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46"/>
      <c r="R113" s="146"/>
      <c r="S113" s="14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6"/>
      <c r="R114" s="146"/>
      <c r="S114" s="14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46"/>
      <c r="R115" s="146"/>
      <c r="S115" s="14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35"/>
      <c r="R116" s="136"/>
      <c r="S116" s="13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38"/>
      <c r="R117" s="139"/>
      <c r="S117" s="140"/>
    </row>
    <row r="118" spans="1:19" ht="17.25" thickBot="1">
      <c r="A118" s="26" t="s">
        <v>257</v>
      </c>
      <c r="B118" s="144">
        <f>$B$37</f>
        <v>300000</v>
      </c>
      <c r="C118" s="145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21539000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1.0224474E-3</v>
      </c>
      <c r="N122" s="164"/>
      <c r="O122" s="165"/>
      <c r="Q122" s="156"/>
      <c r="R122" s="156"/>
      <c r="S122" s="156"/>
    </row>
    <row r="123" spans="1:19" ht="17.25" thickBot="1">
      <c r="A123" s="166" t="s">
        <v>54</v>
      </c>
      <c r="B123" s="168" t="str">
        <f>TEXT($G$1, "[$-ko-KR]yyyy-mm-dd(ddd) ") &amp; "오전 00:00"</f>
        <v>2021-04-01(목) 오전 00:00</v>
      </c>
      <c r="C123" s="169"/>
      <c r="D123" s="170" t="str">
        <f>TEXT($G$1, "[$-ko-KR]yyyy-mm-dd(ddd) ") &amp; "오후 14:00"</f>
        <v>2021-04-01(목) 오후 14:00</v>
      </c>
      <c r="E123" s="171"/>
      <c r="F123" s="172"/>
      <c r="G123" s="170" t="str">
        <f>TEXT($G$1, "[$-ko-KR]yyyy-mm-dd(ddd) ") &amp; "오후 19:00"</f>
        <v>2021-04-01(목) 오후 19:00</v>
      </c>
      <c r="H123" s="171"/>
      <c r="I123" s="172"/>
      <c r="J123" s="170" t="str">
        <f>TEXT($G$1, "[$-ko-KR]yyyy-mm-dd(ddd) ") &amp; "오후 21:00"</f>
        <v>2021-04-01(목) 오후 21:00</v>
      </c>
      <c r="K123" s="171"/>
      <c r="L123" s="172"/>
      <c r="M123" s="170" t="str">
        <f>TEXT($G$1+1, "[$-ko-KR]yyyy-mm-dd(ddd) ") &amp; "오전 00:00"</f>
        <v>2021-04-02(금) 오전 00:00</v>
      </c>
      <c r="N123" s="171"/>
      <c r="O123" s="172"/>
      <c r="Q123" s="156"/>
      <c r="R123" s="156"/>
      <c r="S123" s="156"/>
    </row>
    <row r="124" spans="1:19" ht="17.25" thickBot="1">
      <c r="A124" s="167"/>
      <c r="B124" s="2" t="s">
        <v>57</v>
      </c>
      <c r="C124" s="10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46"/>
      <c r="R127" s="146"/>
      <c r="S127" s="14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46"/>
      <c r="R128" s="146"/>
      <c r="S128" s="14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46"/>
      <c r="R129" s="146"/>
      <c r="S129" s="146"/>
    </row>
    <row r="130" spans="1:19" ht="17.25" thickBot="1">
      <c r="A130" s="17"/>
      <c r="B130" s="96"/>
      <c r="C130" s="97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46"/>
      <c r="R130" s="146"/>
      <c r="S130" s="14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6"/>
      <c r="R131" s="146"/>
      <c r="S131" s="14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46"/>
      <c r="R132" s="146"/>
      <c r="S132" s="14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47"/>
      <c r="R134" s="148"/>
      <c r="S134" s="14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0"/>
      <c r="R135" s="151"/>
      <c r="S135" s="15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3"/>
      <c r="R136" s="154"/>
      <c r="S136" s="15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46"/>
      <c r="R137" s="146"/>
      <c r="S137" s="14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7"/>
      <c r="B140" s="96"/>
      <c r="C140" s="97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46"/>
      <c r="R140" s="146"/>
      <c r="S140" s="14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6"/>
      <c r="R141" s="146"/>
      <c r="S141" s="14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46"/>
      <c r="R142" s="146"/>
      <c r="S142" s="14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35"/>
      <c r="R143" s="136"/>
      <c r="S143" s="13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38"/>
      <c r="R144" s="139"/>
      <c r="S144" s="140"/>
    </row>
    <row r="145" spans="1:19" ht="17.25" thickBot="1">
      <c r="A145" s="26" t="s">
        <v>257</v>
      </c>
      <c r="B145" s="144">
        <f>$B$37</f>
        <v>300000</v>
      </c>
      <c r="C145" s="145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21539000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1.0224474E-3</v>
      </c>
      <c r="N149" s="164"/>
      <c r="O149" s="165"/>
      <c r="Q149" s="156"/>
      <c r="R149" s="156"/>
      <c r="S149" s="156"/>
    </row>
    <row r="150" spans="1:19" ht="17.25" thickBot="1">
      <c r="A150" s="166" t="s">
        <v>54</v>
      </c>
      <c r="B150" s="168" t="str">
        <f>TEXT($G$1, "[$-ko-KR]yyyy-mm-dd(ddd) ") &amp; "오전 00:00"</f>
        <v>2021-04-01(목) 오전 00:00</v>
      </c>
      <c r="C150" s="169"/>
      <c r="D150" s="170" t="str">
        <f>TEXT($G$1, "[$-ko-KR]yyyy-mm-dd(ddd) ") &amp; "오후 14:00"</f>
        <v>2021-04-01(목) 오후 14:00</v>
      </c>
      <c r="E150" s="171"/>
      <c r="F150" s="172"/>
      <c r="G150" s="170" t="str">
        <f>TEXT($G$1, "[$-ko-KR]yyyy-mm-dd(ddd) ") &amp; "오후 19:00"</f>
        <v>2021-04-01(목) 오후 19:00</v>
      </c>
      <c r="H150" s="171"/>
      <c r="I150" s="172"/>
      <c r="J150" s="170" t="str">
        <f>TEXT($G$1, "[$-ko-KR]yyyy-mm-dd(ddd) ") &amp; "오후 21:00"</f>
        <v>2021-04-01(목) 오후 21:00</v>
      </c>
      <c r="K150" s="171"/>
      <c r="L150" s="172"/>
      <c r="M150" s="170" t="str">
        <f>TEXT($G$1+1, "[$-ko-KR]yyyy-mm-dd(ddd) ") &amp; "오전 00:00"</f>
        <v>2021-04-02(금) 오전 00:00</v>
      </c>
      <c r="N150" s="171"/>
      <c r="O150" s="172"/>
      <c r="Q150" s="156"/>
      <c r="R150" s="156"/>
      <c r="S150" s="156"/>
    </row>
    <row r="151" spans="1:19" ht="17.25" thickBot="1">
      <c r="A151" s="167"/>
      <c r="B151" s="2" t="s">
        <v>57</v>
      </c>
      <c r="C151" s="10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46"/>
      <c r="R154" s="146"/>
      <c r="S154" s="14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46"/>
      <c r="R155" s="146"/>
      <c r="S155" s="14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46"/>
      <c r="R156" s="146"/>
      <c r="S156" s="146"/>
    </row>
    <row r="157" spans="1:19" ht="17.25" thickBot="1">
      <c r="A157" s="17"/>
      <c r="B157" s="96"/>
      <c r="C157" s="97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46"/>
      <c r="R157" s="146"/>
      <c r="S157" s="14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6"/>
      <c r="R158" s="146"/>
      <c r="S158" s="14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46"/>
      <c r="R159" s="146"/>
      <c r="S159" s="14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47"/>
      <c r="R161" s="148"/>
      <c r="S161" s="14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0"/>
      <c r="R162" s="151"/>
      <c r="S162" s="15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3"/>
      <c r="R163" s="154"/>
      <c r="S163" s="15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46"/>
      <c r="R164" s="146"/>
      <c r="S164" s="14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7"/>
      <c r="B167" s="96"/>
      <c r="C167" s="97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46"/>
      <c r="R167" s="146"/>
      <c r="S167" s="14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6"/>
      <c r="R168" s="146"/>
      <c r="S168" s="14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46"/>
      <c r="R169" s="146"/>
      <c r="S169" s="14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35"/>
      <c r="R170" s="136"/>
      <c r="S170" s="13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38"/>
      <c r="R171" s="139"/>
      <c r="S171" s="140"/>
    </row>
    <row r="172" spans="1:19" ht="17.25" thickBot="1">
      <c r="A172" s="26" t="s">
        <v>257</v>
      </c>
      <c r="B172" s="144">
        <f>$B$37</f>
        <v>300000</v>
      </c>
      <c r="C172" s="145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21539000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1.0224474E-3</v>
      </c>
      <c r="N176" s="164"/>
      <c r="O176" s="165"/>
      <c r="Q176" s="156"/>
      <c r="R176" s="156"/>
      <c r="S176" s="156"/>
    </row>
    <row r="177" spans="1:19" ht="17.25" thickBot="1">
      <c r="A177" s="166" t="s">
        <v>54</v>
      </c>
      <c r="B177" s="168" t="str">
        <f>TEXT($G$1, "[$-ko-KR]yyyy-mm-dd(ddd) ") &amp; "오전 00:00"</f>
        <v>2021-04-01(목) 오전 00:00</v>
      </c>
      <c r="C177" s="169"/>
      <c r="D177" s="170" t="str">
        <f>TEXT($G$1, "[$-ko-KR]yyyy-mm-dd(ddd) ") &amp; "오후 14:00"</f>
        <v>2021-04-01(목) 오후 14:00</v>
      </c>
      <c r="E177" s="171"/>
      <c r="F177" s="172"/>
      <c r="G177" s="170" t="str">
        <f>TEXT($G$1, "[$-ko-KR]yyyy-mm-dd(ddd) ") &amp; "오후 19:00"</f>
        <v>2021-04-01(목) 오후 19:00</v>
      </c>
      <c r="H177" s="171"/>
      <c r="I177" s="172"/>
      <c r="J177" s="170" t="str">
        <f>TEXT($G$1, "[$-ko-KR]yyyy-mm-dd(ddd) ") &amp; "오후 21:00"</f>
        <v>2021-04-01(목) 오후 21:00</v>
      </c>
      <c r="K177" s="171"/>
      <c r="L177" s="172"/>
      <c r="M177" s="170" t="str">
        <f>TEXT($G$1+1, "[$-ko-KR]yyyy-mm-dd(ddd) ") &amp; "오전 00:00"</f>
        <v>2021-04-02(금) 오전 00:00</v>
      </c>
      <c r="N177" s="171"/>
      <c r="O177" s="172"/>
      <c r="Q177" s="156"/>
      <c r="R177" s="156"/>
      <c r="S177" s="156"/>
    </row>
    <row r="178" spans="1:19" ht="17.25" thickBot="1">
      <c r="A178" s="167"/>
      <c r="B178" s="2" t="s">
        <v>57</v>
      </c>
      <c r="C178" s="10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46"/>
      <c r="R181" s="146"/>
      <c r="S181" s="14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46"/>
      <c r="R182" s="146"/>
      <c r="S182" s="14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46"/>
      <c r="R183" s="146"/>
      <c r="S183" s="146"/>
    </row>
    <row r="184" spans="1:19" ht="17.25" thickBot="1">
      <c r="A184" s="17"/>
      <c r="B184" s="96"/>
      <c r="C184" s="97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46"/>
      <c r="R184" s="146"/>
      <c r="S184" s="14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6"/>
      <c r="R185" s="146"/>
      <c r="S185" s="14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46"/>
      <c r="R186" s="146"/>
      <c r="S186" s="14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47"/>
      <c r="R188" s="148"/>
      <c r="S188" s="14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0"/>
      <c r="R189" s="151"/>
      <c r="S189" s="15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3"/>
      <c r="R190" s="154"/>
      <c r="S190" s="15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46"/>
      <c r="R191" s="146"/>
      <c r="S191" s="14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7"/>
      <c r="B194" s="96"/>
      <c r="C194" s="97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46"/>
      <c r="R194" s="146"/>
      <c r="S194" s="14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6"/>
      <c r="R195" s="146"/>
      <c r="S195" s="14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46"/>
      <c r="R196" s="146"/>
      <c r="S196" s="14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35"/>
      <c r="R197" s="136"/>
      <c r="S197" s="13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38"/>
      <c r="R198" s="139"/>
      <c r="S198" s="140"/>
    </row>
    <row r="199" spans="1:19" ht="17.25" thickBot="1">
      <c r="A199" s="26" t="s">
        <v>257</v>
      </c>
      <c r="B199" s="144">
        <f>$B$37</f>
        <v>300000</v>
      </c>
      <c r="C199" s="145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0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157">
      <formula>AND($N17 &gt; 0, ISNUMBER($N17))</formula>
    </cfRule>
    <cfRule type="expression" dxfId="2020" priority="158">
      <formula>AND($N17 = 0 * ISNUMBER($N17))</formula>
    </cfRule>
    <cfRule type="expression" dxfId="2019" priority="159">
      <formula>AND($N17 &lt; 0, ISNUMBER($N17))</formula>
    </cfRule>
  </conditionalFormatting>
  <conditionalFormatting sqref="A17:F36">
    <cfRule type="expression" dxfId="2018" priority="166">
      <formula>AND($E17 &gt; 0, ISNUMBER($E17))</formula>
    </cfRule>
    <cfRule type="expression" dxfId="2017" priority="167">
      <formula>AND($E17 = 0 * ISNUMBER($E17))</formula>
    </cfRule>
    <cfRule type="expression" dxfId="2016" priority="168">
      <formula>AND($E17 &lt; 0, ISNUMBER($E17))</formula>
    </cfRule>
  </conditionalFormatting>
  <conditionalFormatting sqref="A17:C36 G17:I36">
    <cfRule type="expression" dxfId="2015" priority="163">
      <formula>AND($H17 &gt; 0, ISNUMBER($H17))</formula>
    </cfRule>
    <cfRule type="expression" dxfId="2014" priority="164">
      <formula>AND($H17 = 0 * ISNUMBER($H17))</formula>
    </cfRule>
    <cfRule type="expression" dxfId="2013" priority="165">
      <formula>AND($H17 &lt; 0, ISNUMBER($H17))</formula>
    </cfRule>
  </conditionalFormatting>
  <conditionalFormatting sqref="A17:C36 J17:L36">
    <cfRule type="expression" dxfId="2012" priority="160">
      <formula>AND($K17 &gt; 0, ISNUMBER($K17))</formula>
    </cfRule>
    <cfRule type="expression" dxfId="2011" priority="161">
      <formula>AND($K17 = 0 * ISNUMBER($K17))</formula>
    </cfRule>
    <cfRule type="expression" dxfId="2010" priority="162">
      <formula>AND($K17 &lt; 0, ISNUMBER($K17))</formula>
    </cfRule>
  </conditionalFormatting>
  <conditionalFormatting sqref="D15:F16 E37:F37">
    <cfRule type="expression" dxfId="2009" priority="154">
      <formula>$E$37 &gt; 0</formula>
    </cfRule>
    <cfRule type="expression" dxfId="2008" priority="155">
      <formula>$E$37 = 0</formula>
    </cfRule>
    <cfRule type="expression" dxfId="2007" priority="156">
      <formula>$E$37 &lt; 0</formula>
    </cfRule>
  </conditionalFormatting>
  <conditionalFormatting sqref="G15:I16 H37:I37">
    <cfRule type="expression" dxfId="2006" priority="151">
      <formula>$H$37 &gt; 0</formula>
    </cfRule>
    <cfRule type="expression" dxfId="2005" priority="152">
      <formula>$H$37 = 0</formula>
    </cfRule>
    <cfRule type="expression" dxfId="2004" priority="153">
      <formula>$H$37 &lt; 0</formula>
    </cfRule>
  </conditionalFormatting>
  <conditionalFormatting sqref="J15:L16 K37:L37">
    <cfRule type="expression" dxfId="2003" priority="148">
      <formula>$K$37 &gt; 0</formula>
    </cfRule>
    <cfRule type="expression" dxfId="2002" priority="149">
      <formula>$K$37 = 0</formula>
    </cfRule>
    <cfRule type="expression" dxfId="2001" priority="150">
      <formula>$K$37 &lt; 0</formula>
    </cfRule>
  </conditionalFormatting>
  <conditionalFormatting sqref="M15:O16 N37:O37">
    <cfRule type="expression" dxfId="2000" priority="145">
      <formula>$N$37 &gt; 0</formula>
    </cfRule>
    <cfRule type="expression" dxfId="1999" priority="146">
      <formula>$N$37 = 0</formula>
    </cfRule>
    <cfRule type="expression" dxfId="1998" priority="147">
      <formula>$N$37 &lt; 0</formula>
    </cfRule>
  </conditionalFormatting>
  <conditionalFormatting sqref="A44:C63 M44:O63">
    <cfRule type="expression" dxfId="1997" priority="133">
      <formula>AND($N44 &gt; 0, ISNUMBER($N44))</formula>
    </cfRule>
    <cfRule type="expression" dxfId="1996" priority="134">
      <formula>AND($N44 = 0 * ISNUMBER($N44))</formula>
    </cfRule>
    <cfRule type="expression" dxfId="1995" priority="135">
      <formula>AND($N44 &lt; 0, ISNUMBER($N44))</formula>
    </cfRule>
  </conditionalFormatting>
  <conditionalFormatting sqref="A44:F63">
    <cfRule type="expression" dxfId="1994" priority="142">
      <formula>AND($E44 &gt; 0, ISNUMBER($E44))</formula>
    </cfRule>
    <cfRule type="expression" dxfId="1993" priority="143">
      <formula>AND($E44 = 0 * ISNUMBER($E44))</formula>
    </cfRule>
    <cfRule type="expression" dxfId="1992" priority="144">
      <formula>AND($E44 &lt; 0, ISNUMBER($E44))</formula>
    </cfRule>
  </conditionalFormatting>
  <conditionalFormatting sqref="A44:C63 G44:I63">
    <cfRule type="expression" dxfId="1991" priority="139">
      <formula>AND($H44 &gt; 0, ISNUMBER($H44))</formula>
    </cfRule>
    <cfRule type="expression" dxfId="1990" priority="140">
      <formula>AND($H44 = 0 * ISNUMBER($H44))</formula>
    </cfRule>
    <cfRule type="expression" dxfId="1989" priority="141">
      <formula>AND($H44 &lt; 0, ISNUMBER($H44))</formula>
    </cfRule>
  </conditionalFormatting>
  <conditionalFormatting sqref="A44:C63 J44:L63">
    <cfRule type="expression" dxfId="1988" priority="136">
      <formula>AND($K44 &gt; 0, ISNUMBER($K44))</formula>
    </cfRule>
    <cfRule type="expression" dxfId="1987" priority="137">
      <formula>AND($K44 = 0 * ISNUMBER($K44))</formula>
    </cfRule>
    <cfRule type="expression" dxfId="1986" priority="138">
      <formula>AND($K44 &lt; 0, ISNUMBER($K44))</formula>
    </cfRule>
  </conditionalFormatting>
  <conditionalFormatting sqref="D42:F43 E64:F64">
    <cfRule type="expression" dxfId="1985" priority="130">
      <formula>$E$64 &gt; 0</formula>
    </cfRule>
    <cfRule type="expression" dxfId="1984" priority="131">
      <formula>$E$64 = 0</formula>
    </cfRule>
    <cfRule type="expression" dxfId="1983" priority="132">
      <formula>$E$64 &lt; 0</formula>
    </cfRule>
  </conditionalFormatting>
  <conditionalFormatting sqref="G42:I43 H64:I64">
    <cfRule type="expression" dxfId="1982" priority="127">
      <formula>$H$64 &gt; 0</formula>
    </cfRule>
    <cfRule type="expression" dxfId="1981" priority="128">
      <formula>$H$64 = 0</formula>
    </cfRule>
    <cfRule type="expression" dxfId="1980" priority="129">
      <formula>$H$64 &lt; 0</formula>
    </cfRule>
  </conditionalFormatting>
  <conditionalFormatting sqref="J42:L43 K64:L64">
    <cfRule type="expression" dxfId="1979" priority="124">
      <formula>$K$64 &gt; 0</formula>
    </cfRule>
    <cfRule type="expression" dxfId="1978" priority="125">
      <formula>$K$64 = 0</formula>
    </cfRule>
    <cfRule type="expression" dxfId="1977" priority="126">
      <formula>$K$64 &lt; 0</formula>
    </cfRule>
  </conditionalFormatting>
  <conditionalFormatting sqref="M42:O43 N64:O64">
    <cfRule type="expression" dxfId="1976" priority="121">
      <formula>$N$64 &gt; 0</formula>
    </cfRule>
    <cfRule type="expression" dxfId="1975" priority="122">
      <formula>$N$64 = 0</formula>
    </cfRule>
    <cfRule type="expression" dxfId="1974" priority="123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44927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21539000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1.0224474E-3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2023-01-01(일) 오전 00:00</v>
      </c>
      <c r="C15" s="196"/>
      <c r="D15" s="170" t="str">
        <f>TEXT($G$1, "[$-ko-KR]yyyy-mm-dd(ddd) ") &amp; "오후 14:00"</f>
        <v>2023-01-01(일) 오후 14:00</v>
      </c>
      <c r="E15" s="171"/>
      <c r="F15" s="172"/>
      <c r="G15" s="170" t="str">
        <f>TEXT($G$1, "[$-ko-KR]yyyy-mm-dd(ddd) ") &amp; "오후 19:00"</f>
        <v>2023-01-01(일) 오후 19:00</v>
      </c>
      <c r="H15" s="171"/>
      <c r="I15" s="172"/>
      <c r="J15" s="170" t="str">
        <f>TEXT($G$1, "[$-ko-KR]yyyy-mm-dd(ddd) ") &amp; "오후 21:00"</f>
        <v>2023-01-01(일) 오후 21:00</v>
      </c>
      <c r="K15" s="171"/>
      <c r="L15" s="172"/>
      <c r="M15" s="170" t="str">
        <f>TEXT($G$1+1, "[$-ko-KR]yyyy-mm-dd(ddd) ") &amp; "오전 00:00"</f>
        <v>2023-01-02(월)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21539000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1.0224474E-3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2023-01-01(일) 오전 00:00</v>
      </c>
      <c r="C42" s="198"/>
      <c r="D42" s="170" t="str">
        <f>TEXT($G$1, "[$-ko-KR]yyyy-mm-dd(ddd) ") &amp; "오후 14:00"</f>
        <v>2023-01-01(일) 오후 14:00</v>
      </c>
      <c r="E42" s="171"/>
      <c r="F42" s="172"/>
      <c r="G42" s="170" t="str">
        <f>TEXT($G$1, "[$-ko-KR]yyyy-mm-dd(ddd) ") &amp; "오후 19:00"</f>
        <v>2023-01-01(일) 오후 19:00</v>
      </c>
      <c r="H42" s="171"/>
      <c r="I42" s="172"/>
      <c r="J42" s="170" t="str">
        <f>TEXT($G$1, "[$-ko-KR]yyyy-mm-dd(ddd) ") &amp; "오후 21:00"</f>
        <v>2023-01-01(일) 오후 21:00</v>
      </c>
      <c r="K42" s="171"/>
      <c r="L42" s="172"/>
      <c r="M42" s="170" t="str">
        <f>TEXT($G$1+1, "[$-ko-KR]yyyy-mm-dd(ddd) ") &amp; "오전 00:00"</f>
        <v>2023-01-02(월)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/>
      <c r="B44" s="108"/>
      <c r="C44" s="69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/>
      <c r="B45" s="110"/>
      <c r="C45" s="70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/>
      <c r="B46" s="110"/>
      <c r="C46" s="70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46"/>
      <c r="R46" s="146"/>
      <c r="S46" s="146"/>
    </row>
    <row r="47" spans="1:19" ht="17.25" customHeight="1" thickBot="1">
      <c r="A47" s="109"/>
      <c r="B47" s="110"/>
      <c r="C47" s="70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46"/>
      <c r="R47" s="146"/>
      <c r="S47" s="146"/>
    </row>
    <row r="48" spans="1:19" ht="17.25" customHeight="1" thickBot="1">
      <c r="A48" s="111"/>
      <c r="B48" s="112"/>
      <c r="C48" s="7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46"/>
      <c r="R48" s="146"/>
      <c r="S48" s="146"/>
    </row>
    <row r="49" spans="1:19" ht="17.25" customHeight="1" thickBot="1">
      <c r="A49" s="109"/>
      <c r="B49" s="113"/>
      <c r="C49" s="73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46"/>
      <c r="R49" s="146"/>
      <c r="S49" s="146"/>
    </row>
    <row r="50" spans="1:19" ht="17.25" customHeight="1" thickBot="1">
      <c r="A50" s="109"/>
      <c r="B50" s="110"/>
      <c r="C50" s="70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6"/>
      <c r="R50" s="146"/>
      <c r="S50" s="146"/>
    </row>
    <row r="51" spans="1:19" ht="17.25" customHeight="1" thickBot="1">
      <c r="A51" s="109"/>
      <c r="B51" s="110"/>
      <c r="C51" s="70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46"/>
      <c r="R51" s="146"/>
      <c r="S51" s="146"/>
    </row>
    <row r="52" spans="1:19" ht="17.25" customHeight="1" thickBot="1">
      <c r="A52" s="109"/>
      <c r="B52" s="110"/>
      <c r="C52" s="70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/>
      <c r="B53" s="115"/>
      <c r="C53" s="72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47"/>
      <c r="R53" s="148"/>
      <c r="S53" s="149"/>
    </row>
    <row r="54" spans="1:19" ht="17.25" customHeight="1">
      <c r="A54" s="107"/>
      <c r="B54" s="108"/>
      <c r="C54" s="69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0"/>
      <c r="R54" s="151"/>
      <c r="S54" s="152"/>
    </row>
    <row r="55" spans="1:19" ht="17.25" customHeight="1" thickBot="1">
      <c r="A55" s="109"/>
      <c r="B55" s="110"/>
      <c r="C55" s="70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3"/>
      <c r="R55" s="154"/>
      <c r="S55" s="155"/>
    </row>
    <row r="56" spans="1:19" ht="17.25" customHeight="1" thickBot="1">
      <c r="A56" s="109"/>
      <c r="B56" s="110"/>
      <c r="C56" s="70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46"/>
      <c r="R56" s="146"/>
      <c r="S56" s="146"/>
    </row>
    <row r="57" spans="1:19" ht="17.25" customHeight="1" thickBot="1">
      <c r="A57" s="109"/>
      <c r="B57" s="110"/>
      <c r="C57" s="70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/>
      <c r="B58" s="112"/>
      <c r="C58" s="7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/>
      <c r="B59" s="113"/>
      <c r="C59" s="73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46"/>
      <c r="R59" s="146"/>
      <c r="S59" s="146"/>
    </row>
    <row r="60" spans="1:19" ht="17.25" customHeight="1" thickBot="1">
      <c r="A60" s="109"/>
      <c r="B60" s="110"/>
      <c r="C60" s="70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6"/>
      <c r="R60" s="146"/>
      <c r="S60" s="146"/>
    </row>
    <row r="61" spans="1:19" ht="17.25" customHeight="1" thickBot="1">
      <c r="A61" s="109"/>
      <c r="B61" s="110"/>
      <c r="C61" s="70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46"/>
      <c r="R61" s="146"/>
      <c r="S61" s="146"/>
    </row>
    <row r="62" spans="1:19" ht="17.25" customHeight="1">
      <c r="A62" s="109"/>
      <c r="B62" s="110"/>
      <c r="C62" s="70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35"/>
      <c r="R62" s="136"/>
      <c r="S62" s="137"/>
    </row>
    <row r="63" spans="1:19" ht="17.25" customHeight="1" thickBot="1">
      <c r="A63" s="114"/>
      <c r="B63" s="115"/>
      <c r="C63" s="72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21539000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1.0224474E-3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2023-01-01(일) 오전 00:00</v>
      </c>
      <c r="C69" s="198"/>
      <c r="D69" s="170" t="str">
        <f>TEXT($G$1, "[$-ko-KR]yyyy-mm-dd(ddd) ") &amp; "오후 14:00"</f>
        <v>2023-01-01(일) 오후 14:00</v>
      </c>
      <c r="E69" s="171"/>
      <c r="F69" s="172"/>
      <c r="G69" s="170" t="str">
        <f>TEXT($G$1, "[$-ko-KR]yyyy-mm-dd(ddd) ") &amp; "오후 19:00"</f>
        <v>2023-01-01(일) 오후 19:00</v>
      </c>
      <c r="H69" s="171"/>
      <c r="I69" s="172"/>
      <c r="J69" s="170" t="str">
        <f>TEXT($G$1, "[$-ko-KR]yyyy-mm-dd(ddd) ") &amp; "오후 21:00"</f>
        <v>2023-01-01(일) 오후 21:00</v>
      </c>
      <c r="K69" s="171"/>
      <c r="L69" s="172"/>
      <c r="M69" s="170" t="str">
        <f>TEXT($G$1+1, "[$-ko-KR]yyyy-mm-dd(ddd) ") &amp; "오전 00:00"</f>
        <v>2023-01-02(월)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/>
      <c r="B71" s="108"/>
      <c r="C71" s="69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/>
      <c r="B72" s="110"/>
      <c r="C72" s="70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/>
      <c r="B73" s="110"/>
      <c r="C73" s="70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46"/>
      <c r="R73" s="146"/>
      <c r="S73" s="146"/>
    </row>
    <row r="74" spans="1:19" ht="17.25" thickBot="1">
      <c r="A74" s="109"/>
      <c r="B74" s="110"/>
      <c r="C74" s="70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46"/>
      <c r="R74" s="146"/>
      <c r="S74" s="146"/>
    </row>
    <row r="75" spans="1:19" ht="17.25" thickBot="1">
      <c r="A75" s="111"/>
      <c r="B75" s="112"/>
      <c r="C75" s="7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46"/>
      <c r="R75" s="146"/>
      <c r="S75" s="146"/>
    </row>
    <row r="76" spans="1:19" ht="17.25" thickBot="1">
      <c r="A76" s="109"/>
      <c r="B76" s="113"/>
      <c r="C76" s="73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46"/>
      <c r="R76" s="146"/>
      <c r="S76" s="146"/>
    </row>
    <row r="77" spans="1:19" ht="17.25" thickBot="1">
      <c r="A77" s="109"/>
      <c r="B77" s="110"/>
      <c r="C77" s="70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6"/>
      <c r="R77" s="146"/>
      <c r="S77" s="146"/>
    </row>
    <row r="78" spans="1:19" ht="17.25" thickBot="1">
      <c r="A78" s="109"/>
      <c r="B78" s="110"/>
      <c r="C78" s="70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46"/>
      <c r="R78" s="146"/>
      <c r="S78" s="146"/>
    </row>
    <row r="79" spans="1:19" ht="17.25" thickBot="1">
      <c r="A79" s="109"/>
      <c r="B79" s="110"/>
      <c r="C79" s="70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/>
      <c r="B80" s="115"/>
      <c r="C80" s="72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47"/>
      <c r="R80" s="148"/>
      <c r="S80" s="149"/>
    </row>
    <row r="81" spans="1:19">
      <c r="A81" s="107"/>
      <c r="B81" s="108"/>
      <c r="C81" s="69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0"/>
      <c r="R81" s="151"/>
      <c r="S81" s="152"/>
    </row>
    <row r="82" spans="1:19" ht="17.25" thickBot="1">
      <c r="A82" s="109"/>
      <c r="B82" s="110"/>
      <c r="C82" s="70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3"/>
      <c r="R82" s="154"/>
      <c r="S82" s="155"/>
    </row>
    <row r="83" spans="1:19" ht="17.25" thickBot="1">
      <c r="A83" s="109"/>
      <c r="B83" s="110"/>
      <c r="C83" s="70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46"/>
      <c r="R83" s="146"/>
      <c r="S83" s="146"/>
    </row>
    <row r="84" spans="1:19" ht="17.25" thickBot="1">
      <c r="A84" s="109"/>
      <c r="B84" s="110"/>
      <c r="C84" s="70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/>
      <c r="B85" s="112"/>
      <c r="C85" s="7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/>
      <c r="B86" s="113"/>
      <c r="C86" s="73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46"/>
      <c r="R86" s="146"/>
      <c r="S86" s="146"/>
    </row>
    <row r="87" spans="1:19" ht="17.25" thickBot="1">
      <c r="A87" s="109"/>
      <c r="B87" s="110"/>
      <c r="C87" s="70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6"/>
      <c r="R87" s="146"/>
      <c r="S87" s="146"/>
    </row>
    <row r="88" spans="1:19" ht="17.25" thickBot="1">
      <c r="A88" s="109"/>
      <c r="B88" s="110"/>
      <c r="C88" s="70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46"/>
      <c r="R88" s="146"/>
      <c r="S88" s="146"/>
    </row>
    <row r="89" spans="1:19">
      <c r="A89" s="109"/>
      <c r="B89" s="110"/>
      <c r="C89" s="70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35"/>
      <c r="R89" s="136"/>
      <c r="S89" s="137"/>
    </row>
    <row r="90" spans="1:19" ht="17.25" thickBot="1">
      <c r="A90" s="114"/>
      <c r="B90" s="115"/>
      <c r="C90" s="72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21539000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1.0224474E-3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2023-01-01(일) 오전 00:00</v>
      </c>
      <c r="C96" s="198"/>
      <c r="D96" s="170" t="str">
        <f>TEXT($G$1, "[$-ko-KR]yyyy-mm-dd(ddd) ") &amp; "오후 14:00"</f>
        <v>2023-01-01(일) 오후 14:00</v>
      </c>
      <c r="E96" s="171"/>
      <c r="F96" s="172"/>
      <c r="G96" s="170" t="str">
        <f>TEXT($G$1, "[$-ko-KR]yyyy-mm-dd(ddd) ") &amp; "오후 19:00"</f>
        <v>2023-01-01(일) 오후 19:00</v>
      </c>
      <c r="H96" s="171"/>
      <c r="I96" s="172"/>
      <c r="J96" s="170" t="str">
        <f>TEXT($G$1, "[$-ko-KR]yyyy-mm-dd(ddd) ") &amp; "오후 21:00"</f>
        <v>2023-01-01(일) 오후 21:00</v>
      </c>
      <c r="K96" s="171"/>
      <c r="L96" s="172"/>
      <c r="M96" s="170" t="str">
        <f>TEXT($G$1+1, "[$-ko-KR]yyyy-mm-dd(ddd) ") &amp; "오전 00:00"</f>
        <v>2023-01-02(월)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/>
      <c r="B98" s="108"/>
      <c r="C98" s="69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/>
      <c r="B99" s="110"/>
      <c r="C99" s="70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/>
      <c r="B100" s="110"/>
      <c r="C100" s="70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46"/>
      <c r="R100" s="146"/>
      <c r="S100" s="146"/>
    </row>
    <row r="101" spans="1:19" ht="17.25" thickBot="1">
      <c r="A101" s="109"/>
      <c r="B101" s="110"/>
      <c r="C101" s="70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46"/>
      <c r="R101" s="146"/>
      <c r="S101" s="146"/>
    </row>
    <row r="102" spans="1:19" ht="17.25" thickBot="1">
      <c r="A102" s="111"/>
      <c r="B102" s="112"/>
      <c r="C102" s="7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46"/>
      <c r="R102" s="146"/>
      <c r="S102" s="146"/>
    </row>
    <row r="103" spans="1:19" ht="17.25" thickBot="1">
      <c r="A103" s="109"/>
      <c r="B103" s="113"/>
      <c r="C103" s="73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46"/>
      <c r="R103" s="146"/>
      <c r="S103" s="146"/>
    </row>
    <row r="104" spans="1:19" ht="17.25" thickBot="1">
      <c r="A104" s="109"/>
      <c r="B104" s="110"/>
      <c r="C104" s="70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6"/>
      <c r="R104" s="146"/>
      <c r="S104" s="146"/>
    </row>
    <row r="105" spans="1:19" ht="17.25" thickBot="1">
      <c r="A105" s="109"/>
      <c r="B105" s="110"/>
      <c r="C105" s="70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46"/>
      <c r="R105" s="146"/>
      <c r="S105" s="146"/>
    </row>
    <row r="106" spans="1:19" ht="17.25" thickBot="1">
      <c r="A106" s="109"/>
      <c r="B106" s="110"/>
      <c r="C106" s="70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/>
      <c r="B107" s="115"/>
      <c r="C107" s="72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47"/>
      <c r="R107" s="148"/>
      <c r="S107" s="149"/>
    </row>
    <row r="108" spans="1:19">
      <c r="A108" s="107"/>
      <c r="B108" s="108"/>
      <c r="C108" s="69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0"/>
      <c r="R108" s="151"/>
      <c r="S108" s="152"/>
    </row>
    <row r="109" spans="1:19" ht="17.25" thickBot="1">
      <c r="A109" s="109"/>
      <c r="B109" s="110"/>
      <c r="C109" s="70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3"/>
      <c r="R109" s="154"/>
      <c r="S109" s="155"/>
    </row>
    <row r="110" spans="1:19" ht="17.25" thickBot="1">
      <c r="A110" s="109"/>
      <c r="B110" s="110"/>
      <c r="C110" s="70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46"/>
      <c r="R110" s="146"/>
      <c r="S110" s="146"/>
    </row>
    <row r="111" spans="1:19" ht="17.25" thickBot="1">
      <c r="A111" s="109"/>
      <c r="B111" s="110"/>
      <c r="C111" s="70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/>
      <c r="B112" s="112"/>
      <c r="C112" s="7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/>
      <c r="B113" s="113"/>
      <c r="C113" s="73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46"/>
      <c r="R113" s="146"/>
      <c r="S113" s="146"/>
    </row>
    <row r="114" spans="1:19" ht="17.25" thickBot="1">
      <c r="A114" s="109"/>
      <c r="B114" s="110"/>
      <c r="C114" s="70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6"/>
      <c r="R114" s="146"/>
      <c r="S114" s="146"/>
    </row>
    <row r="115" spans="1:19" ht="17.25" thickBot="1">
      <c r="A115" s="109"/>
      <c r="B115" s="110"/>
      <c r="C115" s="70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46"/>
      <c r="R115" s="146"/>
      <c r="S115" s="146"/>
    </row>
    <row r="116" spans="1:19">
      <c r="A116" s="109"/>
      <c r="B116" s="110"/>
      <c r="C116" s="70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35"/>
      <c r="R116" s="136"/>
      <c r="S116" s="137"/>
    </row>
    <row r="117" spans="1:19" ht="17.25" thickBot="1">
      <c r="A117" s="114"/>
      <c r="B117" s="115"/>
      <c r="C117" s="72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21539000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1.0224474E-3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2023-01-01(일) 오전 00:00</v>
      </c>
      <c r="C123" s="198"/>
      <c r="D123" s="170" t="str">
        <f>TEXT($G$1, "[$-ko-KR]yyyy-mm-dd(ddd) ") &amp; "오후 14:00"</f>
        <v>2023-01-01(일) 오후 14:00</v>
      </c>
      <c r="E123" s="171"/>
      <c r="F123" s="172"/>
      <c r="G123" s="170" t="str">
        <f>TEXT($G$1, "[$-ko-KR]yyyy-mm-dd(ddd) ") &amp; "오후 19:00"</f>
        <v>2023-01-01(일) 오후 19:00</v>
      </c>
      <c r="H123" s="171"/>
      <c r="I123" s="172"/>
      <c r="J123" s="170" t="str">
        <f>TEXT($G$1, "[$-ko-KR]yyyy-mm-dd(ddd) ") &amp; "오후 21:00"</f>
        <v>2023-01-01(일) 오후 21:00</v>
      </c>
      <c r="K123" s="171"/>
      <c r="L123" s="172"/>
      <c r="M123" s="170" t="str">
        <f>TEXT($G$1+1, "[$-ko-KR]yyyy-mm-dd(ddd) ") &amp; "오전 00:00"</f>
        <v>2023-01-02(월)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/>
      <c r="B125" s="108"/>
      <c r="C125" s="69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/>
      <c r="B126" s="110"/>
      <c r="C126" s="70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/>
      <c r="B127" s="110"/>
      <c r="C127" s="70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46"/>
      <c r="R127" s="146"/>
      <c r="S127" s="146"/>
    </row>
    <row r="128" spans="1:19" ht="17.25" thickBot="1">
      <c r="A128" s="109"/>
      <c r="B128" s="110"/>
      <c r="C128" s="70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46"/>
      <c r="R128" s="146"/>
      <c r="S128" s="146"/>
    </row>
    <row r="129" spans="1:19" ht="17.25" thickBot="1">
      <c r="A129" s="111"/>
      <c r="B129" s="112"/>
      <c r="C129" s="7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46"/>
      <c r="R129" s="146"/>
      <c r="S129" s="146"/>
    </row>
    <row r="130" spans="1:19" ht="17.25" thickBot="1">
      <c r="A130" s="109"/>
      <c r="B130" s="113"/>
      <c r="C130" s="73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46"/>
      <c r="R130" s="146"/>
      <c r="S130" s="146"/>
    </row>
    <row r="131" spans="1:19" ht="17.25" thickBot="1">
      <c r="A131" s="109"/>
      <c r="B131" s="110"/>
      <c r="C131" s="70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6"/>
      <c r="R131" s="146"/>
      <c r="S131" s="146"/>
    </row>
    <row r="132" spans="1:19" ht="17.25" thickBot="1">
      <c r="A132" s="109"/>
      <c r="B132" s="110"/>
      <c r="C132" s="70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46"/>
      <c r="R132" s="146"/>
      <c r="S132" s="146"/>
    </row>
    <row r="133" spans="1:19" ht="17.25" thickBot="1">
      <c r="A133" s="109"/>
      <c r="B133" s="110"/>
      <c r="C133" s="70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/>
      <c r="B134" s="115"/>
      <c r="C134" s="72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47"/>
      <c r="R134" s="148"/>
      <c r="S134" s="149"/>
    </row>
    <row r="135" spans="1:19">
      <c r="A135" s="107"/>
      <c r="B135" s="108"/>
      <c r="C135" s="69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0"/>
      <c r="R135" s="151"/>
      <c r="S135" s="152"/>
    </row>
    <row r="136" spans="1:19" ht="17.25" thickBot="1">
      <c r="A136" s="109"/>
      <c r="B136" s="110"/>
      <c r="C136" s="70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3"/>
      <c r="R136" s="154"/>
      <c r="S136" s="155"/>
    </row>
    <row r="137" spans="1:19" ht="17.25" thickBot="1">
      <c r="A137" s="109"/>
      <c r="B137" s="110"/>
      <c r="C137" s="70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46"/>
      <c r="R137" s="146"/>
      <c r="S137" s="146"/>
    </row>
    <row r="138" spans="1:19" ht="17.25" thickBot="1">
      <c r="A138" s="109"/>
      <c r="B138" s="110"/>
      <c r="C138" s="70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/>
      <c r="B139" s="112"/>
      <c r="C139" s="7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/>
      <c r="B140" s="113"/>
      <c r="C140" s="73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46"/>
      <c r="R140" s="146"/>
      <c r="S140" s="146"/>
    </row>
    <row r="141" spans="1:19" ht="17.25" thickBot="1">
      <c r="A141" s="109"/>
      <c r="B141" s="110"/>
      <c r="C141" s="70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6"/>
      <c r="R141" s="146"/>
      <c r="S141" s="146"/>
    </row>
    <row r="142" spans="1:19" ht="17.25" thickBot="1">
      <c r="A142" s="109"/>
      <c r="B142" s="110"/>
      <c r="C142" s="70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46"/>
      <c r="R142" s="146"/>
      <c r="S142" s="146"/>
    </row>
    <row r="143" spans="1:19">
      <c r="A143" s="109"/>
      <c r="B143" s="110"/>
      <c r="C143" s="70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35"/>
      <c r="R143" s="136"/>
      <c r="S143" s="137"/>
    </row>
    <row r="144" spans="1:19" ht="17.25" thickBot="1">
      <c r="A144" s="114"/>
      <c r="B144" s="115"/>
      <c r="C144" s="72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21539000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1.0224474E-3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2023-01-01(일) 오전 00:00</v>
      </c>
      <c r="C150" s="198"/>
      <c r="D150" s="170" t="str">
        <f>TEXT($G$1, "[$-ko-KR]yyyy-mm-dd(ddd) ") &amp; "오후 14:00"</f>
        <v>2023-01-01(일) 오후 14:00</v>
      </c>
      <c r="E150" s="171"/>
      <c r="F150" s="172"/>
      <c r="G150" s="170" t="str">
        <f>TEXT($G$1, "[$-ko-KR]yyyy-mm-dd(ddd) ") &amp; "오후 19:00"</f>
        <v>2023-01-01(일) 오후 19:00</v>
      </c>
      <c r="H150" s="171"/>
      <c r="I150" s="172"/>
      <c r="J150" s="170" t="str">
        <f>TEXT($G$1, "[$-ko-KR]yyyy-mm-dd(ddd) ") &amp; "오후 21:00"</f>
        <v>2023-01-01(일) 오후 21:00</v>
      </c>
      <c r="K150" s="171"/>
      <c r="L150" s="172"/>
      <c r="M150" s="170" t="str">
        <f>TEXT($G$1+1, "[$-ko-KR]yyyy-mm-dd(ddd) ") &amp; "오전 00:00"</f>
        <v>2023-01-02(월)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/>
      <c r="B152" s="108"/>
      <c r="C152" s="69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/>
      <c r="B153" s="110"/>
      <c r="C153" s="70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/>
      <c r="B154" s="110"/>
      <c r="C154" s="70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46"/>
      <c r="R154" s="146"/>
      <c r="S154" s="146"/>
    </row>
    <row r="155" spans="1:19" ht="17.25" thickBot="1">
      <c r="A155" s="109"/>
      <c r="B155" s="110"/>
      <c r="C155" s="70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46"/>
      <c r="R155" s="146"/>
      <c r="S155" s="146"/>
    </row>
    <row r="156" spans="1:19" ht="17.25" thickBot="1">
      <c r="A156" s="111"/>
      <c r="B156" s="112"/>
      <c r="C156" s="7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46"/>
      <c r="R156" s="146"/>
      <c r="S156" s="146"/>
    </row>
    <row r="157" spans="1:19" ht="17.25" thickBot="1">
      <c r="A157" s="109"/>
      <c r="B157" s="113"/>
      <c r="C157" s="73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46"/>
      <c r="R157" s="146"/>
      <c r="S157" s="146"/>
    </row>
    <row r="158" spans="1:19" ht="17.25" thickBot="1">
      <c r="A158" s="109"/>
      <c r="B158" s="110"/>
      <c r="C158" s="70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6"/>
      <c r="R158" s="146"/>
      <c r="S158" s="146"/>
    </row>
    <row r="159" spans="1:19" ht="17.25" thickBot="1">
      <c r="A159" s="109"/>
      <c r="B159" s="110"/>
      <c r="C159" s="70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46"/>
      <c r="R159" s="146"/>
      <c r="S159" s="146"/>
    </row>
    <row r="160" spans="1:19" ht="17.25" thickBot="1">
      <c r="A160" s="109"/>
      <c r="B160" s="110"/>
      <c r="C160" s="70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/>
      <c r="B161" s="115"/>
      <c r="C161" s="72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47"/>
      <c r="R161" s="148"/>
      <c r="S161" s="149"/>
    </row>
    <row r="162" spans="1:19">
      <c r="A162" s="107"/>
      <c r="B162" s="108"/>
      <c r="C162" s="69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0"/>
      <c r="R162" s="151"/>
      <c r="S162" s="152"/>
    </row>
    <row r="163" spans="1:19" ht="17.25" thickBot="1">
      <c r="A163" s="109"/>
      <c r="B163" s="110"/>
      <c r="C163" s="70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3"/>
      <c r="R163" s="154"/>
      <c r="S163" s="155"/>
    </row>
    <row r="164" spans="1:19" ht="17.25" thickBot="1">
      <c r="A164" s="109"/>
      <c r="B164" s="110"/>
      <c r="C164" s="70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46"/>
      <c r="R164" s="146"/>
      <c r="S164" s="146"/>
    </row>
    <row r="165" spans="1:19" ht="17.25" thickBot="1">
      <c r="A165" s="109"/>
      <c r="B165" s="110"/>
      <c r="C165" s="70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/>
      <c r="B166" s="112"/>
      <c r="C166" s="7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/>
      <c r="B167" s="113"/>
      <c r="C167" s="73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46"/>
      <c r="R167" s="146"/>
      <c r="S167" s="146"/>
    </row>
    <row r="168" spans="1:19" ht="17.25" thickBot="1">
      <c r="A168" s="109"/>
      <c r="B168" s="110"/>
      <c r="C168" s="70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6"/>
      <c r="R168" s="146"/>
      <c r="S168" s="146"/>
    </row>
    <row r="169" spans="1:19" ht="17.25" thickBot="1">
      <c r="A169" s="109"/>
      <c r="B169" s="110"/>
      <c r="C169" s="70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46"/>
      <c r="R169" s="146"/>
      <c r="S169" s="146"/>
    </row>
    <row r="170" spans="1:19">
      <c r="A170" s="109"/>
      <c r="B170" s="110"/>
      <c r="C170" s="70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35"/>
      <c r="R170" s="136"/>
      <c r="S170" s="137"/>
    </row>
    <row r="171" spans="1:19" ht="17.25" thickBot="1">
      <c r="A171" s="114"/>
      <c r="B171" s="115"/>
      <c r="C171" s="72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21539000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1.0224474E-3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2023-01-01(일) 오전 00:00</v>
      </c>
      <c r="C177" s="198"/>
      <c r="D177" s="170" t="str">
        <f>TEXT($G$1, "[$-ko-KR]yyyy-mm-dd(ddd) ") &amp; "오후 14:00"</f>
        <v>2023-01-01(일) 오후 14:00</v>
      </c>
      <c r="E177" s="171"/>
      <c r="F177" s="172"/>
      <c r="G177" s="170" t="str">
        <f>TEXT($G$1, "[$-ko-KR]yyyy-mm-dd(ddd) ") &amp; "오후 19:00"</f>
        <v>2023-01-01(일) 오후 19:00</v>
      </c>
      <c r="H177" s="171"/>
      <c r="I177" s="172"/>
      <c r="J177" s="170" t="str">
        <f>TEXT($G$1, "[$-ko-KR]yyyy-mm-dd(ddd) ") &amp; "오후 21:00"</f>
        <v>2023-01-01(일) 오후 21:00</v>
      </c>
      <c r="K177" s="171"/>
      <c r="L177" s="172"/>
      <c r="M177" s="170" t="str">
        <f>TEXT($G$1+1, "[$-ko-KR]yyyy-mm-dd(ddd) ") &amp; "오전 00:00"</f>
        <v>2023-01-02(월)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/>
      <c r="B179" s="108"/>
      <c r="C179" s="69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/>
      <c r="B180" s="110"/>
      <c r="C180" s="70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/>
      <c r="B181" s="110"/>
      <c r="C181" s="70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46"/>
      <c r="R181" s="146"/>
      <c r="S181" s="146"/>
    </row>
    <row r="182" spans="1:19" ht="17.25" thickBot="1">
      <c r="A182" s="109"/>
      <c r="B182" s="110"/>
      <c r="C182" s="70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46"/>
      <c r="R182" s="146"/>
      <c r="S182" s="146"/>
    </row>
    <row r="183" spans="1:19" ht="17.25" thickBot="1">
      <c r="A183" s="111"/>
      <c r="B183" s="112"/>
      <c r="C183" s="7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46"/>
      <c r="R183" s="146"/>
      <c r="S183" s="146"/>
    </row>
    <row r="184" spans="1:19" ht="17.25" thickBot="1">
      <c r="A184" s="109"/>
      <c r="B184" s="113"/>
      <c r="C184" s="73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46"/>
      <c r="R184" s="146"/>
      <c r="S184" s="146"/>
    </row>
    <row r="185" spans="1:19" ht="17.25" thickBot="1">
      <c r="A185" s="109"/>
      <c r="B185" s="110"/>
      <c r="C185" s="70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6"/>
      <c r="R185" s="146"/>
      <c r="S185" s="146"/>
    </row>
    <row r="186" spans="1:19" ht="17.25" thickBot="1">
      <c r="A186" s="109"/>
      <c r="B186" s="110"/>
      <c r="C186" s="70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46"/>
      <c r="R186" s="146"/>
      <c r="S186" s="146"/>
    </row>
    <row r="187" spans="1:19" ht="17.25" thickBot="1">
      <c r="A187" s="109"/>
      <c r="B187" s="110"/>
      <c r="C187" s="70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/>
      <c r="B188" s="115"/>
      <c r="C188" s="72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47"/>
      <c r="R188" s="148"/>
      <c r="S188" s="149"/>
    </row>
    <row r="189" spans="1:19">
      <c r="A189" s="107"/>
      <c r="B189" s="108"/>
      <c r="C189" s="69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0"/>
      <c r="R189" s="151"/>
      <c r="S189" s="152"/>
    </row>
    <row r="190" spans="1:19" ht="17.25" thickBot="1">
      <c r="A190" s="109"/>
      <c r="B190" s="110"/>
      <c r="C190" s="70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3"/>
      <c r="R190" s="154"/>
      <c r="S190" s="155"/>
    </row>
    <row r="191" spans="1:19" ht="17.25" thickBot="1">
      <c r="A191" s="109"/>
      <c r="B191" s="110"/>
      <c r="C191" s="70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46"/>
      <c r="R191" s="146"/>
      <c r="S191" s="146"/>
    </row>
    <row r="192" spans="1:19" ht="17.25" thickBot="1">
      <c r="A192" s="109"/>
      <c r="B192" s="110"/>
      <c r="C192" s="70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/>
      <c r="B193" s="112"/>
      <c r="C193" s="7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/>
      <c r="B194" s="113"/>
      <c r="C194" s="73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46"/>
      <c r="R194" s="146"/>
      <c r="S194" s="146"/>
    </row>
    <row r="195" spans="1:19" ht="17.25" thickBot="1">
      <c r="A195" s="109"/>
      <c r="B195" s="110"/>
      <c r="C195" s="70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6"/>
      <c r="R195" s="146"/>
      <c r="S195" s="146"/>
    </row>
    <row r="196" spans="1:19" ht="17.25" thickBot="1">
      <c r="A196" s="109"/>
      <c r="B196" s="110"/>
      <c r="C196" s="70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46"/>
      <c r="R196" s="146"/>
      <c r="S196" s="146"/>
    </row>
    <row r="197" spans="1:19">
      <c r="A197" s="109"/>
      <c r="B197" s="110"/>
      <c r="C197" s="70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35"/>
      <c r="R197" s="136"/>
      <c r="S197" s="137"/>
    </row>
    <row r="198" spans="1:19" ht="17.25" thickBot="1">
      <c r="A198" s="114"/>
      <c r="B198" s="115"/>
      <c r="C198" s="72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41"/>
      <c r="R199" s="142"/>
      <c r="S199" s="14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85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289">
      <formula>AND($N17 &gt; 0, ISNUMBER($N17))</formula>
    </cfRule>
    <cfRule type="expression" dxfId="1842" priority="290">
      <formula>AND($N17 = 0 * ISNUMBER($N17))</formula>
    </cfRule>
    <cfRule type="expression" dxfId="1841" priority="291">
      <formula>AND($N17 &lt; 0, ISNUMBER($N17))</formula>
    </cfRule>
  </conditionalFormatting>
  <conditionalFormatting sqref="A17:C36 D17:F36">
    <cfRule type="expression" dxfId="1840" priority="298">
      <formula>AND($E17 &gt; 0, ISNUMBER($E17))</formula>
    </cfRule>
    <cfRule type="expression" dxfId="1839" priority="299">
      <formula>AND($E17 = 0 * ISNUMBER($E17))</formula>
    </cfRule>
    <cfRule type="expression" dxfId="1838" priority="300">
      <formula>AND($E17 &lt; 0, ISNUMBER($E17))</formula>
    </cfRule>
  </conditionalFormatting>
  <conditionalFormatting sqref="A17:C36 G17:I36">
    <cfRule type="expression" dxfId="1837" priority="295">
      <formula>AND($H17 &gt; 0, ISNUMBER($H17))</formula>
    </cfRule>
    <cfRule type="expression" dxfId="1836" priority="296">
      <formula>AND($H17 = 0 * ISNUMBER($H17))</formula>
    </cfRule>
    <cfRule type="expression" dxfId="1835" priority="297">
      <formula>AND($H17 &lt; 0, ISNUMBER($H17))</formula>
    </cfRule>
  </conditionalFormatting>
  <conditionalFormatting sqref="A17:C36 J17:L36">
    <cfRule type="expression" dxfId="1834" priority="292">
      <formula>AND($K17 &gt; 0, ISNUMBER($K17))</formula>
    </cfRule>
    <cfRule type="expression" dxfId="1833" priority="293">
      <formula>AND($K17 = 0 * ISNUMBER($K17))</formula>
    </cfRule>
    <cfRule type="expression" dxfId="1832" priority="294">
      <formula>AND($K17 &lt; 0, ISNUMBER($K17))</formula>
    </cfRule>
  </conditionalFormatting>
  <conditionalFormatting sqref="D15:F16 E37:F37">
    <cfRule type="expression" dxfId="1831" priority="286">
      <formula>$E$37 &gt; 0</formula>
    </cfRule>
    <cfRule type="expression" dxfId="1830" priority="287">
      <formula>$E$37 = 0</formula>
    </cfRule>
    <cfRule type="expression" dxfId="1829" priority="288">
      <formula>$E$37 &lt; 0</formula>
    </cfRule>
  </conditionalFormatting>
  <conditionalFormatting sqref="G15:I16 H37:I37">
    <cfRule type="expression" dxfId="1828" priority="283">
      <formula>$H$37 &gt; 0</formula>
    </cfRule>
    <cfRule type="expression" dxfId="1827" priority="284">
      <formula>$H$37 = 0</formula>
    </cfRule>
    <cfRule type="expression" dxfId="1826" priority="285">
      <formula>$H$37 &lt; 0</formula>
    </cfRule>
  </conditionalFormatting>
  <conditionalFormatting sqref="J15:L16 K37:L37">
    <cfRule type="expression" dxfId="1825" priority="280">
      <formula>$K$37 &gt; 0</formula>
    </cfRule>
    <cfRule type="expression" dxfId="1824" priority="281">
      <formula>$K$37 = 0</formula>
    </cfRule>
    <cfRule type="expression" dxfId="1823" priority="282">
      <formula>$K$37 &lt; 0</formula>
    </cfRule>
  </conditionalFormatting>
  <conditionalFormatting sqref="M15:O16 N37:O37">
    <cfRule type="expression" dxfId="1822" priority="277">
      <formula>$N$37 &gt; 0</formula>
    </cfRule>
    <cfRule type="expression" dxfId="1821" priority="278">
      <formula>$N$37 = 0</formula>
    </cfRule>
    <cfRule type="expression" dxfId="1820" priority="279">
      <formula>$N$37 &lt; 0</formula>
    </cfRule>
  </conditionalFormatting>
  <conditionalFormatting sqref="A44:C63 M44:O63">
    <cfRule type="expression" dxfId="1819" priority="265">
      <formula>AND($N44 &gt; 0, ISNUMBER($N44))</formula>
    </cfRule>
    <cfRule type="expression" dxfId="1818" priority="266">
      <formula>AND($N44 = 0 * ISNUMBER($N44))</formula>
    </cfRule>
    <cfRule type="expression" dxfId="1817" priority="267">
      <formula>AND($N44 &lt; 0, ISNUMBER($N44))</formula>
    </cfRule>
  </conditionalFormatting>
  <conditionalFormatting sqref="A44:F63">
    <cfRule type="expression" dxfId="1816" priority="274">
      <formula>AND($E44 &gt; 0, ISNUMBER($E44))</formula>
    </cfRule>
    <cfRule type="expression" dxfId="1815" priority="275">
      <formula>AND($E44 = 0 * ISNUMBER($E44))</formula>
    </cfRule>
    <cfRule type="expression" dxfId="1814" priority="276">
      <formula>AND($E44 &lt; 0, ISNUMBER($E44))</formula>
    </cfRule>
  </conditionalFormatting>
  <conditionalFormatting sqref="A44:C63 G44:I63">
    <cfRule type="expression" dxfId="1813" priority="271">
      <formula>AND($H44 &gt; 0, ISNUMBER($H44))</formula>
    </cfRule>
    <cfRule type="expression" dxfId="1812" priority="272">
      <formula>AND($H44 = 0 * ISNUMBER($H44))</formula>
    </cfRule>
    <cfRule type="expression" dxfId="1811" priority="273">
      <formula>AND($H44 &lt; 0, ISNUMBER($H44))</formula>
    </cfRule>
  </conditionalFormatting>
  <conditionalFormatting sqref="A44:C63 J44:L63">
    <cfRule type="expression" dxfId="1810" priority="268">
      <formula>AND($K44 &gt; 0, ISNUMBER($K44))</formula>
    </cfRule>
    <cfRule type="expression" dxfId="1809" priority="269">
      <formula>AND($K44 = 0 * ISNUMBER($K44))</formula>
    </cfRule>
    <cfRule type="expression" dxfId="1808" priority="270">
      <formula>AND($K44 &lt; 0, ISNUMBER($K44))</formula>
    </cfRule>
  </conditionalFormatting>
  <conditionalFormatting sqref="D42:F43 E64:F64">
    <cfRule type="expression" dxfId="1807" priority="262">
      <formula>$E$64 &gt; 0</formula>
    </cfRule>
    <cfRule type="expression" dxfId="1806" priority="263">
      <formula>$E$64 = 0</formula>
    </cfRule>
    <cfRule type="expression" dxfId="1805" priority="264">
      <formula>$E$64 &lt; 0</formula>
    </cfRule>
  </conditionalFormatting>
  <conditionalFormatting sqref="G42:I43 H64:I64">
    <cfRule type="expression" dxfId="1804" priority="259">
      <formula>$H$64 &gt; 0</formula>
    </cfRule>
    <cfRule type="expression" dxfId="1803" priority="260">
      <formula>$H$64 = 0</formula>
    </cfRule>
    <cfRule type="expression" dxfId="1802" priority="261">
      <formula>$H$64 &lt; 0</formula>
    </cfRule>
  </conditionalFormatting>
  <conditionalFormatting sqref="J42:L43 K64:L64">
    <cfRule type="expression" dxfId="1801" priority="256">
      <formula>$K$64 &gt; 0</formula>
    </cfRule>
    <cfRule type="expression" dxfId="1800" priority="257">
      <formula>$K$64 = 0</formula>
    </cfRule>
    <cfRule type="expression" dxfId="1799" priority="258">
      <formula>$K$64 &lt; 0</formula>
    </cfRule>
  </conditionalFormatting>
  <conditionalFormatting sqref="M42:O43 N64:O64">
    <cfRule type="expression" dxfId="1798" priority="253">
      <formula>$N$64 &gt; 0</formula>
    </cfRule>
    <cfRule type="expression" dxfId="1797" priority="254">
      <formula>$N$64 = 0</formula>
    </cfRule>
    <cfRule type="expression" dxfId="1796" priority="255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9" t="s">
        <v>244</v>
      </c>
      <c r="B1" s="64" t="s">
        <v>39</v>
      </c>
      <c r="C1" s="63" t="s">
        <v>37</v>
      </c>
      <c r="D1" s="65" t="s">
        <v>38</v>
      </c>
      <c r="E1" s="64" t="s">
        <v>251</v>
      </c>
    </row>
    <row r="2" spans="1:18" ht="17.25" thickBot="1">
      <c r="A2" s="40" t="s">
        <v>59</v>
      </c>
      <c r="B2" s="11" t="s">
        <v>60</v>
      </c>
      <c r="C2" s="86">
        <v>446</v>
      </c>
      <c r="D2" s="34">
        <v>6.9544364499999997E-2</v>
      </c>
      <c r="E2" s="84">
        <v>42726604.94720491</v>
      </c>
      <c r="F2" s="35"/>
      <c r="G2" s="50"/>
      <c r="H2" s="35"/>
      <c r="I2" s="35"/>
    </row>
    <row r="3" spans="1:18" ht="17.25" thickBot="1">
      <c r="A3" s="40" t="s">
        <v>110</v>
      </c>
      <c r="B3" s="11" t="s">
        <v>111</v>
      </c>
      <c r="C3" s="86">
        <v>580</v>
      </c>
      <c r="D3" s="34">
        <v>5.8394160600000002E-2</v>
      </c>
      <c r="E3" s="84">
        <v>99001737.708957464</v>
      </c>
      <c r="F3" s="35"/>
      <c r="G3" s="201" t="s">
        <v>247</v>
      </c>
      <c r="H3" s="213" t="s">
        <v>351</v>
      </c>
      <c r="I3" s="213"/>
      <c r="K3" s="157" t="s">
        <v>34</v>
      </c>
      <c r="L3" s="158"/>
      <c r="M3" s="158"/>
      <c r="N3" s="159"/>
      <c r="O3" s="157" t="s">
        <v>249</v>
      </c>
      <c r="P3" s="158"/>
      <c r="Q3" s="158"/>
      <c r="R3" s="159"/>
    </row>
    <row r="4" spans="1:18" ht="17.25" thickBot="1">
      <c r="A4" s="40" t="s">
        <v>133</v>
      </c>
      <c r="B4" s="11" t="s">
        <v>134</v>
      </c>
      <c r="C4" s="86">
        <v>1395</v>
      </c>
      <c r="D4" s="34">
        <v>3.7174721199999997E-2</v>
      </c>
      <c r="E4" s="84">
        <v>2435540.7886467101</v>
      </c>
      <c r="F4" s="35"/>
      <c r="G4" s="202"/>
      <c r="H4" s="214"/>
      <c r="I4" s="214"/>
      <c r="K4" s="194" t="s">
        <v>54</v>
      </c>
      <c r="L4" s="210">
        <f ca="1">NOW()</f>
        <v>44934.000288541669</v>
      </c>
      <c r="M4" s="211"/>
      <c r="N4" s="212"/>
      <c r="O4" s="209" t="s">
        <v>54</v>
      </c>
      <c r="P4" s="210">
        <f ca="1">NOW()</f>
        <v>44934.000288541669</v>
      </c>
      <c r="Q4" s="211"/>
      <c r="R4" s="212"/>
    </row>
    <row r="5" spans="1:18" ht="17.25" thickBot="1">
      <c r="A5" s="40" t="s">
        <v>148</v>
      </c>
      <c r="B5" s="11" t="s">
        <v>149</v>
      </c>
      <c r="C5" s="86">
        <v>334</v>
      </c>
      <c r="D5" s="34">
        <v>2.7692307699999998E-2</v>
      </c>
      <c r="E5" s="84">
        <v>13716532.533533121</v>
      </c>
      <c r="F5" s="35"/>
      <c r="K5" s="202"/>
      <c r="L5" s="36" t="s">
        <v>57</v>
      </c>
      <c r="M5" s="36" t="s">
        <v>58</v>
      </c>
      <c r="N5" s="64" t="s">
        <v>251</v>
      </c>
      <c r="O5" s="202"/>
      <c r="P5" s="36" t="s">
        <v>57</v>
      </c>
      <c r="Q5" s="36" t="s">
        <v>58</v>
      </c>
      <c r="R5" s="64" t="s">
        <v>251</v>
      </c>
    </row>
    <row r="6" spans="1:18" ht="17.25" thickBot="1">
      <c r="A6" s="40" t="s">
        <v>318</v>
      </c>
      <c r="B6" s="11" t="s">
        <v>319</v>
      </c>
      <c r="C6" s="86">
        <v>337</v>
      </c>
      <c r="D6" s="34">
        <v>2.7439024400000001E-2</v>
      </c>
      <c r="E6" s="84">
        <v>11946178.267010169</v>
      </c>
      <c r="F6" s="35"/>
      <c r="G6" s="157" t="s">
        <v>52</v>
      </c>
      <c r="H6" s="158"/>
      <c r="I6" s="159"/>
      <c r="K6" s="51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69" t="str">
        <f t="shared" ref="M6:M25" ca="1" si="1">_xlfn.IFNA(VLOOKUP(K6, $B$2:$E$200, 3, FALSE), "")</f>
        <v/>
      </c>
      <c r="N6" s="78" t="str">
        <f ca="1">_xlfn.IFNA(VLOOKUP(K6, $B$2:$E$200, 4, FALSE), "")</f>
        <v/>
      </c>
      <c r="O6" s="46" t="str">
        <f>INDEX($A$2:$D$200, MATCH(LARGE($D$2:$D$200, 1), $D$2:$D$200, 0), 2)</f>
        <v>디센트럴랜드</v>
      </c>
      <c r="P6" s="38">
        <f t="shared" ref="P6:P25" si="2">_xlfn.IFNA(VLOOKUP(O6, $B$2:$D$200, 2, FALSE), "")</f>
        <v>446</v>
      </c>
      <c r="Q6" s="69">
        <f t="shared" ref="Q6:Q25" si="3">_xlfn.IFNA(VLOOKUP(O6, $B$2:$D$200, 3, FALSE), "")</f>
        <v>6.9544364499999997E-2</v>
      </c>
      <c r="R6" s="78">
        <f>_xlfn.IFNA(VLOOKUP(O6, $B$2:$E$200, 4, FALSE), "")</f>
        <v>42726604.94720491</v>
      </c>
    </row>
    <row r="7" spans="1:18">
      <c r="A7" s="40" t="s">
        <v>325</v>
      </c>
      <c r="B7" s="11" t="s">
        <v>326</v>
      </c>
      <c r="C7" s="86">
        <v>245</v>
      </c>
      <c r="D7" s="34">
        <v>2.51046025E-2</v>
      </c>
      <c r="E7" s="84">
        <v>6166252.7912561903</v>
      </c>
      <c r="F7" s="35"/>
      <c r="G7" s="185" t="s">
        <v>36</v>
      </c>
      <c r="H7" s="186"/>
      <c r="I7" s="187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47" t="str">
        <f>INDEX($A$2:$D$200, MATCH(LARGE($D$2:$D$200, 2), $D$2:$D$200, 0), 2)</f>
        <v>샌드박스</v>
      </c>
      <c r="P7" s="39">
        <f t="shared" si="2"/>
        <v>580</v>
      </c>
      <c r="Q7" s="70">
        <f t="shared" si="3"/>
        <v>5.8394160600000002E-2</v>
      </c>
      <c r="R7" s="79">
        <f t="shared" ref="R7:R25" si="5">_xlfn.IFNA(VLOOKUP(O7, $B$2:$E$200, 4, FALSE), "")</f>
        <v>99001737.708957464</v>
      </c>
    </row>
    <row r="8" spans="1:18" ht="17.25" thickBot="1">
      <c r="A8" s="40" t="s">
        <v>200</v>
      </c>
      <c r="B8" s="11" t="s">
        <v>201</v>
      </c>
      <c r="C8" s="86">
        <v>185</v>
      </c>
      <c r="D8" s="34">
        <v>2.2099447500000001E-2</v>
      </c>
      <c r="E8" s="84">
        <v>28055917.359245289</v>
      </c>
      <c r="F8" s="35"/>
      <c r="G8" s="178"/>
      <c r="H8" s="179"/>
      <c r="I8" s="180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47" t="str">
        <f>INDEX($A$2:$D$200, MATCH(LARGE($D$2:$D$200, 3), $D$2:$D$200, 0), 2)</f>
        <v>오미세고</v>
      </c>
      <c r="P8" s="39">
        <f t="shared" si="2"/>
        <v>1395</v>
      </c>
      <c r="Q8" s="70">
        <f t="shared" si="3"/>
        <v>3.7174721199999997E-2</v>
      </c>
      <c r="R8" s="79">
        <f t="shared" si="5"/>
        <v>2435540.7886467101</v>
      </c>
    </row>
    <row r="9" spans="1:18" ht="17.25" thickBot="1">
      <c r="A9" s="40" t="s">
        <v>146</v>
      </c>
      <c r="B9" s="11" t="s">
        <v>147</v>
      </c>
      <c r="C9" s="86">
        <v>8860</v>
      </c>
      <c r="D9" s="34">
        <v>2.1914648200000001E-2</v>
      </c>
      <c r="E9" s="84">
        <v>3322888.9361803201</v>
      </c>
      <c r="F9" s="35"/>
      <c r="G9" s="9" t="s">
        <v>38</v>
      </c>
      <c r="H9" s="158" t="s">
        <v>37</v>
      </c>
      <c r="I9" s="159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47" t="str">
        <f>INDEX($A$2:$D$200, MATCH(LARGE($D$2:$D$200, 4), $D$2:$D$200, 0), 2)</f>
        <v>엔진코인</v>
      </c>
      <c r="P9" s="39">
        <f t="shared" si="2"/>
        <v>334</v>
      </c>
      <c r="Q9" s="70">
        <f t="shared" si="3"/>
        <v>2.7692307699999998E-2</v>
      </c>
      <c r="R9" s="79">
        <f t="shared" si="5"/>
        <v>13716532.533533121</v>
      </c>
    </row>
    <row r="10" spans="1:18">
      <c r="A10" s="40" t="s">
        <v>216</v>
      </c>
      <c r="B10" s="11" t="s">
        <v>217</v>
      </c>
      <c r="C10" s="86">
        <v>56.9</v>
      </c>
      <c r="D10" s="34">
        <v>2.1543985599999999E-2</v>
      </c>
      <c r="E10" s="84">
        <v>38809893.454749987</v>
      </c>
      <c r="F10" s="35"/>
      <c r="G10" s="203">
        <f>_xlfn.IFNA(VLOOKUP(G7, $B$2:$D$200, 3, FALSE), "-")</f>
        <v>1.0224474E-3</v>
      </c>
      <c r="H10" s="205">
        <f>_xlfn.IFNA(VLOOKUP(G7, $B$2:$D$200, 2, FALSE), "-")</f>
        <v>21539000</v>
      </c>
      <c r="I10" s="206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47" t="str">
        <f>INDEX($A$2:$D$200, MATCH(LARGE($D$2:$D$200, 5), $D$2:$D$200, 0), 2)</f>
        <v>스테픈</v>
      </c>
      <c r="P10" s="39">
        <f t="shared" si="2"/>
        <v>337</v>
      </c>
      <c r="Q10" s="70">
        <f t="shared" si="3"/>
        <v>2.7439024400000001E-2</v>
      </c>
      <c r="R10" s="83">
        <f t="shared" si="5"/>
        <v>11946178.267010169</v>
      </c>
    </row>
    <row r="11" spans="1:18" ht="17.25" thickBot="1">
      <c r="A11" s="40" t="s">
        <v>94</v>
      </c>
      <c r="B11" s="11" t="s">
        <v>95</v>
      </c>
      <c r="C11" s="86">
        <v>998</v>
      </c>
      <c r="D11" s="34">
        <v>1.9407558700000001E-2</v>
      </c>
      <c r="E11" s="84">
        <v>770167.54666719004</v>
      </c>
      <c r="F11" s="35"/>
      <c r="G11" s="204"/>
      <c r="H11" s="207"/>
      <c r="I11" s="208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49" t="str">
        <f>INDEX($A$2:$D$200, MATCH(LARGE($D$2:$D$200, 6), $D$2:$D$200, 0), 2)</f>
        <v>알고랜드</v>
      </c>
      <c r="P11" s="45">
        <f t="shared" si="2"/>
        <v>245</v>
      </c>
      <c r="Q11" s="73">
        <f t="shared" si="3"/>
        <v>2.51046025E-2</v>
      </c>
      <c r="R11" s="89">
        <f t="shared" si="5"/>
        <v>6166252.7912561903</v>
      </c>
    </row>
    <row r="12" spans="1:18" ht="17.25" thickBot="1">
      <c r="A12" s="40" t="s">
        <v>114</v>
      </c>
      <c r="B12" s="11" t="s">
        <v>324</v>
      </c>
      <c r="C12" s="86">
        <v>78.7</v>
      </c>
      <c r="D12" s="34">
        <v>1.8111254899999998E-2</v>
      </c>
      <c r="E12" s="84">
        <v>8069577.1284512402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47" t="str">
        <f>INDEX($A$2:$D$200, MATCH(LARGE($D$2:$D$200, 7), $D$2:$D$200, 0), 2)</f>
        <v>플레이댑</v>
      </c>
      <c r="P12" s="39">
        <f t="shared" si="2"/>
        <v>185</v>
      </c>
      <c r="Q12" s="70">
        <f t="shared" si="3"/>
        <v>2.2099447500000001E-2</v>
      </c>
      <c r="R12" s="79">
        <f t="shared" si="5"/>
        <v>28055917.359245289</v>
      </c>
    </row>
    <row r="13" spans="1:18" ht="17.25" thickBot="1">
      <c r="A13" s="40" t="s">
        <v>78</v>
      </c>
      <c r="B13" s="11" t="s">
        <v>79</v>
      </c>
      <c r="C13" s="86">
        <v>229</v>
      </c>
      <c r="D13" s="34">
        <v>1.7777777799999998E-2</v>
      </c>
      <c r="E13" s="84">
        <v>5288454.8189765699</v>
      </c>
      <c r="F13" s="35"/>
      <c r="G13" s="157" t="s">
        <v>69</v>
      </c>
      <c r="H13" s="158"/>
      <c r="I13" s="159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47" t="str">
        <f>INDEX($A$2:$D$200, MATCH(LARGE($D$2:$D$200, 8), $D$2:$D$200, 0), 2)</f>
        <v>엑시인피니티</v>
      </c>
      <c r="P13" s="39">
        <f t="shared" si="2"/>
        <v>8860</v>
      </c>
      <c r="Q13" s="70">
        <f t="shared" si="3"/>
        <v>2.1914648200000001E-2</v>
      </c>
      <c r="R13" s="79">
        <f t="shared" si="5"/>
        <v>3322888.9361803201</v>
      </c>
    </row>
    <row r="14" spans="1:18">
      <c r="A14" s="40" t="s">
        <v>224</v>
      </c>
      <c r="B14" s="11" t="s">
        <v>225</v>
      </c>
      <c r="C14" s="86">
        <v>52.8</v>
      </c>
      <c r="D14" s="34">
        <v>1.7341040499999998E-2</v>
      </c>
      <c r="E14" s="84">
        <v>205615471.94551545</v>
      </c>
      <c r="F14" s="35"/>
      <c r="G14" s="185" t="s">
        <v>36</v>
      </c>
      <c r="H14" s="186"/>
      <c r="I14" s="187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47" t="str">
        <f>INDEX($A$2:$D$200, MATCH(LARGE($D$2:$D$200, 9), $D$2:$D$200, 0), 2)</f>
        <v>왁스</v>
      </c>
      <c r="P14" s="39">
        <f t="shared" si="2"/>
        <v>56.9</v>
      </c>
      <c r="Q14" s="70">
        <f t="shared" si="3"/>
        <v>2.1543985599999999E-2</v>
      </c>
      <c r="R14" s="79">
        <f t="shared" si="5"/>
        <v>38809893.454749987</v>
      </c>
    </row>
    <row r="15" spans="1:18" ht="17.25" thickBot="1">
      <c r="A15" s="40" t="s">
        <v>184</v>
      </c>
      <c r="B15" s="11" t="s">
        <v>185</v>
      </c>
      <c r="C15" s="86">
        <v>23.7</v>
      </c>
      <c r="D15" s="34">
        <v>1.7167381999999998E-2</v>
      </c>
      <c r="E15" s="84">
        <v>23917244.737971049</v>
      </c>
      <c r="F15" s="35"/>
      <c r="G15" s="178"/>
      <c r="H15" s="179"/>
      <c r="I15" s="180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48" t="str">
        <f>INDEX($A$2:$D$200, MATCH(LARGE($D$2:$D$200, 10), $D$2:$D$200, 0), 2)</f>
        <v>테조스</v>
      </c>
      <c r="P15" s="37">
        <f t="shared" si="2"/>
        <v>998</v>
      </c>
      <c r="Q15" s="72">
        <f t="shared" si="3"/>
        <v>1.9407558700000001E-2</v>
      </c>
      <c r="R15" s="80">
        <f t="shared" si="5"/>
        <v>770167.54666719004</v>
      </c>
    </row>
    <row r="16" spans="1:18" ht="17.25" thickBot="1">
      <c r="A16" s="40" t="s">
        <v>74</v>
      </c>
      <c r="B16" s="11" t="s">
        <v>75</v>
      </c>
      <c r="C16" s="86">
        <v>7370</v>
      </c>
      <c r="D16" s="34">
        <v>1.5851137099999999E-2</v>
      </c>
      <c r="E16" s="84">
        <v>249172.66460727001</v>
      </c>
      <c r="F16" s="35"/>
      <c r="G16" s="9" t="s">
        <v>38</v>
      </c>
      <c r="H16" s="158" t="s">
        <v>37</v>
      </c>
      <c r="I16" s="159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46" t="str">
        <f>INDEX($A$2:$D$200, MATCH(LARGE($D$2:$D$200, 11), $D$2:$D$200, 0), 2)</f>
        <v>크로노스</v>
      </c>
      <c r="P16" s="38">
        <f t="shared" si="2"/>
        <v>78.7</v>
      </c>
      <c r="Q16" s="69">
        <f t="shared" si="3"/>
        <v>1.8111254899999998E-2</v>
      </c>
      <c r="R16" s="78">
        <f t="shared" si="5"/>
        <v>8069577.1284512402</v>
      </c>
    </row>
    <row r="17" spans="1:18">
      <c r="A17" s="40" t="s">
        <v>104</v>
      </c>
      <c r="B17" s="11" t="s">
        <v>105</v>
      </c>
      <c r="C17" s="86">
        <v>195</v>
      </c>
      <c r="D17" s="34">
        <v>1.5625E-2</v>
      </c>
      <c r="E17" s="84">
        <v>2762329.95000479</v>
      </c>
      <c r="F17" s="35"/>
      <c r="G17" s="203">
        <f>_xlfn.IFNA(VLOOKUP(G14, $B$2:$D$200, 3, FALSE), "-")</f>
        <v>1.0224474E-3</v>
      </c>
      <c r="H17" s="205">
        <f>_xlfn.IFNA(VLOOKUP(G14, $B$2:$D$200, 2, FALSE), "-")</f>
        <v>21539000</v>
      </c>
      <c r="I17" s="206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47" t="str">
        <f>INDEX($A$2:$D$200, MATCH(LARGE($D$2:$D$200, 12), $D$2:$D$200, 0), 2)</f>
        <v>베이직어텐션토큰</v>
      </c>
      <c r="P17" s="39">
        <f t="shared" si="2"/>
        <v>229</v>
      </c>
      <c r="Q17" s="70">
        <f t="shared" si="3"/>
        <v>1.7777777799999998E-2</v>
      </c>
      <c r="R17" s="79">
        <f t="shared" si="5"/>
        <v>5288454.8189765699</v>
      </c>
    </row>
    <row r="18" spans="1:18" ht="17.25" thickBot="1">
      <c r="A18" s="40" t="s">
        <v>129</v>
      </c>
      <c r="B18" s="11" t="s">
        <v>130</v>
      </c>
      <c r="C18" s="86">
        <v>635</v>
      </c>
      <c r="D18" s="34">
        <v>1.43769968E-2</v>
      </c>
      <c r="E18" s="84">
        <v>1446942.9979801299</v>
      </c>
      <c r="F18" s="35"/>
      <c r="G18" s="204"/>
      <c r="H18" s="207"/>
      <c r="I18" s="208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47" t="str">
        <f>INDEX($A$2:$D$200, MATCH(LARGE($D$2:$D$200, 13), $D$2:$D$200, 0), 2)</f>
        <v>룸네트워크</v>
      </c>
      <c r="P18" s="39">
        <f t="shared" si="2"/>
        <v>52.8</v>
      </c>
      <c r="Q18" s="70">
        <f t="shared" si="3"/>
        <v>1.7341040499999998E-2</v>
      </c>
      <c r="R18" s="79">
        <f t="shared" si="5"/>
        <v>205615471.94551545</v>
      </c>
    </row>
    <row r="19" spans="1:18" ht="17.25" thickBot="1">
      <c r="A19" s="40" t="s">
        <v>226</v>
      </c>
      <c r="B19" s="11" t="s">
        <v>227</v>
      </c>
      <c r="C19" s="86">
        <v>35.5</v>
      </c>
      <c r="D19" s="34">
        <v>1.42857143E-2</v>
      </c>
      <c r="E19" s="84">
        <v>96528223.116356805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47" t="str">
        <f>INDEX($A$2:$D$200, MATCH(LARGE($D$2:$D$200, 14), $D$2:$D$200, 0), 2)</f>
        <v>메타디움</v>
      </c>
      <c r="P19" s="39">
        <f t="shared" si="2"/>
        <v>23.7</v>
      </c>
      <c r="Q19" s="70">
        <f t="shared" si="3"/>
        <v>1.7167381999999998E-2</v>
      </c>
      <c r="R19" s="79">
        <f t="shared" si="5"/>
        <v>23917244.737971049</v>
      </c>
    </row>
    <row r="20" spans="1:18" ht="17.25" thickBot="1">
      <c r="A20" s="40" t="s">
        <v>108</v>
      </c>
      <c r="B20" s="11" t="s">
        <v>109</v>
      </c>
      <c r="C20" s="86">
        <v>977</v>
      </c>
      <c r="D20" s="34">
        <v>1.34854772E-2</v>
      </c>
      <c r="E20" s="84">
        <v>734300.19055414002</v>
      </c>
      <c r="F20" s="35"/>
      <c r="G20" s="157" t="s">
        <v>243</v>
      </c>
      <c r="H20" s="158"/>
      <c r="I20" s="159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47" t="str">
        <f>INDEX($A$2:$D$200, MATCH(LARGE($D$2:$D$200, 15), $D$2:$D$200, 0), 2)</f>
        <v>체인링크</v>
      </c>
      <c r="P20" s="39">
        <f t="shared" si="2"/>
        <v>7370</v>
      </c>
      <c r="Q20" s="70">
        <f t="shared" si="3"/>
        <v>1.5851137099999999E-2</v>
      </c>
      <c r="R20" s="83">
        <f t="shared" si="5"/>
        <v>249172.66460727001</v>
      </c>
    </row>
    <row r="21" spans="1:18">
      <c r="A21" s="40" t="s">
        <v>50</v>
      </c>
      <c r="B21" s="11" t="s">
        <v>51</v>
      </c>
      <c r="C21" s="86">
        <v>96.1</v>
      </c>
      <c r="D21" s="34">
        <v>1.05152471E-2</v>
      </c>
      <c r="E21" s="84">
        <v>10241782.273307471</v>
      </c>
      <c r="F21" s="35"/>
      <c r="G21" s="185" t="s">
        <v>36</v>
      </c>
      <c r="H21" s="186"/>
      <c r="I21" s="187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49" t="str">
        <f>INDEX($A$2:$D$200, MATCH(LARGE($D$2:$D$200, 16), $D$2:$D$200, 0), 2)</f>
        <v>아이콘</v>
      </c>
      <c r="P21" s="45">
        <f t="shared" si="2"/>
        <v>195</v>
      </c>
      <c r="Q21" s="73">
        <f t="shared" si="3"/>
        <v>1.5625E-2</v>
      </c>
      <c r="R21" s="89">
        <f t="shared" si="5"/>
        <v>2762329.95000479</v>
      </c>
    </row>
    <row r="22" spans="1:18" ht="17.25" thickBot="1">
      <c r="A22" s="40" t="s">
        <v>338</v>
      </c>
      <c r="B22" s="11" t="s">
        <v>339</v>
      </c>
      <c r="C22" s="86">
        <v>1025</v>
      </c>
      <c r="D22" s="34">
        <v>9.8522166999999994E-3</v>
      </c>
      <c r="E22" s="84">
        <v>5162795.3084689397</v>
      </c>
      <c r="F22" s="35"/>
      <c r="G22" s="178"/>
      <c r="H22" s="179"/>
      <c r="I22" s="180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47" t="str">
        <f>INDEX($A$2:$D$200, MATCH(LARGE($D$2:$D$200, 17), $D$2:$D$200, 0), 2)</f>
        <v>카이버네트워크</v>
      </c>
      <c r="P22" s="39">
        <f t="shared" si="2"/>
        <v>635</v>
      </c>
      <c r="Q22" s="70">
        <f t="shared" si="3"/>
        <v>1.43769968E-2</v>
      </c>
      <c r="R22" s="79">
        <f t="shared" si="5"/>
        <v>1446942.9979801299</v>
      </c>
    </row>
    <row r="23" spans="1:18" ht="17.25" thickBot="1">
      <c r="A23" s="40" t="s">
        <v>194</v>
      </c>
      <c r="B23" s="11" t="s">
        <v>195</v>
      </c>
      <c r="C23" s="86">
        <v>5.68</v>
      </c>
      <c r="D23" s="34">
        <v>8.8809947000000004E-3</v>
      </c>
      <c r="E23" s="84">
        <v>91346092.475750044</v>
      </c>
      <c r="F23" s="35"/>
      <c r="G23" s="9" t="s">
        <v>38</v>
      </c>
      <c r="H23" s="158" t="s">
        <v>37</v>
      </c>
      <c r="I23" s="159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47" t="str">
        <f>INDEX($A$2:$D$200, MATCH(LARGE($D$2:$D$200, 18), $D$2:$D$200, 0), 2)</f>
        <v>에스티피</v>
      </c>
      <c r="P23" s="39">
        <f t="shared" si="2"/>
        <v>35.5</v>
      </c>
      <c r="Q23" s="70">
        <f t="shared" si="3"/>
        <v>1.42857143E-2</v>
      </c>
      <c r="R23" s="79">
        <f t="shared" si="5"/>
        <v>96528223.116356805</v>
      </c>
    </row>
    <row r="24" spans="1:18">
      <c r="A24" s="40" t="s">
        <v>240</v>
      </c>
      <c r="B24" s="11" t="s">
        <v>241</v>
      </c>
      <c r="C24" s="86">
        <v>85.5</v>
      </c>
      <c r="D24" s="34">
        <v>8.254717E-3</v>
      </c>
      <c r="E24" s="84">
        <v>25995613.536978088</v>
      </c>
      <c r="F24" s="35"/>
      <c r="G24" s="203">
        <f>_xlfn.IFNA(VLOOKUP(G21, $B$2:$D$200, 3, FALSE), "-")</f>
        <v>1.0224474E-3</v>
      </c>
      <c r="H24" s="205">
        <f>_xlfn.IFNA(VLOOKUP(G21, $B$2:$D$200, 2, FALSE), "-")</f>
        <v>21539000</v>
      </c>
      <c r="I24" s="206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47" t="str">
        <f>INDEX($A$2:$D$200, MATCH(LARGE($D$2:$D$200, 19), $D$2:$D$200, 0), 2)</f>
        <v>쎄타토큰</v>
      </c>
      <c r="P24" s="39">
        <f t="shared" si="2"/>
        <v>977</v>
      </c>
      <c r="Q24" s="70">
        <f t="shared" si="3"/>
        <v>1.34854772E-2</v>
      </c>
      <c r="R24" s="79">
        <f t="shared" si="5"/>
        <v>734300.19055414002</v>
      </c>
    </row>
    <row r="25" spans="1:18" ht="17.25" thickBot="1">
      <c r="A25" s="40" t="s">
        <v>198</v>
      </c>
      <c r="B25" s="11" t="s">
        <v>199</v>
      </c>
      <c r="C25" s="86">
        <v>267</v>
      </c>
      <c r="D25" s="34">
        <v>7.5471697999999997E-3</v>
      </c>
      <c r="E25" s="84">
        <v>2592182.4665596699</v>
      </c>
      <c r="F25" s="35"/>
      <c r="G25" s="204"/>
      <c r="H25" s="207"/>
      <c r="I25" s="208"/>
      <c r="K25" s="53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2" t="str">
        <f t="shared" ca="1" si="1"/>
        <v/>
      </c>
      <c r="N25" s="80" t="str">
        <f t="shared" ca="1" si="4"/>
        <v/>
      </c>
      <c r="O25" s="48" t="str">
        <f>INDEX($A$2:$D$200, MATCH(LARGE($D$2:$D$200, 20), $D$2:$D$200, 0), 2)</f>
        <v>스텔라루멘</v>
      </c>
      <c r="P25" s="37">
        <f t="shared" si="2"/>
        <v>96.1</v>
      </c>
      <c r="Q25" s="72">
        <f t="shared" si="3"/>
        <v>1.05152471E-2</v>
      </c>
      <c r="R25" s="80">
        <f t="shared" si="5"/>
        <v>10241782.273307471</v>
      </c>
    </row>
    <row r="26" spans="1:18">
      <c r="A26" s="40" t="s">
        <v>158</v>
      </c>
      <c r="B26" s="11" t="s">
        <v>159</v>
      </c>
      <c r="C26" s="86">
        <v>140</v>
      </c>
      <c r="D26" s="34">
        <v>7.1942446E-3</v>
      </c>
      <c r="E26" s="84">
        <v>17367257.579798691</v>
      </c>
      <c r="F26" s="35"/>
    </row>
    <row r="27" spans="1:18" ht="17.25" thickBot="1">
      <c r="A27" s="40" t="s">
        <v>61</v>
      </c>
      <c r="B27" s="11" t="s">
        <v>62</v>
      </c>
      <c r="C27" s="86">
        <v>8375</v>
      </c>
      <c r="D27" s="34">
        <v>6.6105768999999998E-3</v>
      </c>
      <c r="E27" s="84">
        <v>180627.43699289</v>
      </c>
      <c r="F27" s="35"/>
    </row>
    <row r="28" spans="1:18" ht="17.25" thickBot="1">
      <c r="A28" s="40" t="s">
        <v>152</v>
      </c>
      <c r="B28" s="11" t="s">
        <v>153</v>
      </c>
      <c r="C28" s="86">
        <v>330</v>
      </c>
      <c r="D28" s="34">
        <v>6.0975609999999996E-3</v>
      </c>
      <c r="E28" s="84">
        <v>4981417.6108927801</v>
      </c>
      <c r="F28" s="35"/>
      <c r="G28" s="157" t="s">
        <v>46</v>
      </c>
      <c r="H28" s="158"/>
      <c r="I28" s="158"/>
      <c r="J28" s="159"/>
      <c r="K28" s="157" t="s">
        <v>44</v>
      </c>
      <c r="L28" s="158"/>
      <c r="M28" s="158"/>
      <c r="N28" s="159"/>
      <c r="O28" s="157" t="s">
        <v>45</v>
      </c>
      <c r="P28" s="158"/>
      <c r="Q28" s="158"/>
      <c r="R28" s="159"/>
    </row>
    <row r="29" spans="1:18" ht="17.25" thickBot="1">
      <c r="A29" s="40" t="s">
        <v>88</v>
      </c>
      <c r="B29" s="11" t="s">
        <v>89</v>
      </c>
      <c r="C29" s="86">
        <v>439</v>
      </c>
      <c r="D29" s="34">
        <v>4.5766590000000003E-3</v>
      </c>
      <c r="E29" s="84">
        <v>64013733.180480197</v>
      </c>
      <c r="F29" s="35"/>
      <c r="G29" s="194" t="s">
        <v>54</v>
      </c>
      <c r="H29" s="210">
        <f ca="1">NOW()</f>
        <v>44934.000288541669</v>
      </c>
      <c r="I29" s="211"/>
      <c r="J29" s="212"/>
      <c r="K29" s="209" t="s">
        <v>54</v>
      </c>
      <c r="L29" s="210">
        <f ca="1">NOW()</f>
        <v>44934.000288541669</v>
      </c>
      <c r="M29" s="211"/>
      <c r="N29" s="212"/>
      <c r="O29" s="209" t="s">
        <v>54</v>
      </c>
      <c r="P29" s="210">
        <f ca="1">NOW()</f>
        <v>44934.000288541669</v>
      </c>
      <c r="Q29" s="211"/>
      <c r="R29" s="212"/>
    </row>
    <row r="30" spans="1:18" ht="17.25" thickBot="1">
      <c r="A30" s="40" t="s">
        <v>331</v>
      </c>
      <c r="B30" s="11" t="s">
        <v>332</v>
      </c>
      <c r="C30" s="86">
        <v>505</v>
      </c>
      <c r="D30" s="34">
        <v>3.9761431000000002E-3</v>
      </c>
      <c r="E30" s="84">
        <v>776305.72368076001</v>
      </c>
      <c r="F30" s="35"/>
      <c r="G30" s="202"/>
      <c r="H30" s="36" t="s">
        <v>57</v>
      </c>
      <c r="I30" s="36" t="s">
        <v>58</v>
      </c>
      <c r="J30" s="64" t="s">
        <v>251</v>
      </c>
      <c r="K30" s="202"/>
      <c r="L30" s="36" t="s">
        <v>57</v>
      </c>
      <c r="M30" s="36" t="s">
        <v>58</v>
      </c>
      <c r="N30" s="64" t="s">
        <v>251</v>
      </c>
      <c r="O30" s="202"/>
      <c r="P30" s="36" t="s">
        <v>57</v>
      </c>
      <c r="Q30" s="36" t="s">
        <v>58</v>
      </c>
      <c r="R30" s="64" t="s">
        <v>251</v>
      </c>
    </row>
    <row r="31" spans="1:18">
      <c r="A31" s="40" t="s">
        <v>160</v>
      </c>
      <c r="B31" s="11" t="s">
        <v>161</v>
      </c>
      <c r="C31" s="86">
        <v>279</v>
      </c>
      <c r="D31" s="34">
        <v>3.5971223E-3</v>
      </c>
      <c r="E31" s="84">
        <v>4468423.40117482</v>
      </c>
      <c r="F31" s="35"/>
      <c r="G31" s="51" t="str">
        <f ca="1">IFERROR(OFFSET(INDIRECT($H$3 &amp; "!A98"), 0, 0), "")</f>
        <v>디센트럴랜드</v>
      </c>
      <c r="H31" s="38">
        <f t="shared" ref="H31:H50" ca="1" si="7">_xlfn.IFNA(VLOOKUP(G31, $B$2:$D$200, 2, FALSE), "")</f>
        <v>446</v>
      </c>
      <c r="I31" s="69">
        <f t="shared" ref="I31:I50" ca="1" si="8">_xlfn.IFNA(VLOOKUP(G31, $B$2:$D$200, 3, FALSE), "")</f>
        <v>6.9544364499999997E-2</v>
      </c>
      <c r="J31" s="78">
        <f ca="1">_xlfn.IFNA(VLOOKUP(G31, $B$2:$E$200, 4, FALSE), "")</f>
        <v>42726604.94720491</v>
      </c>
      <c r="K31" s="51" t="str">
        <f ca="1">IFERROR(OFFSET(INDIRECT($H$3 &amp; "!A44"), 0, 0), "")</f>
        <v>왁스</v>
      </c>
      <c r="L31" s="38">
        <f t="shared" ref="L31:L50" ca="1" si="9">_xlfn.IFNA(VLOOKUP(K31, $B$2:$D$200, 2, FALSE), "")</f>
        <v>56.9</v>
      </c>
      <c r="M31" s="69">
        <f t="shared" ref="M31:M50" ca="1" si="10">_xlfn.IFNA(VLOOKUP(K31, $B$2:$D$200, 3, FALSE), "")</f>
        <v>2.1543985599999999E-2</v>
      </c>
      <c r="N31" s="78">
        <f ca="1">_xlfn.IFNA(VLOOKUP(K31, $B$2:$E$200, 4, FALSE), "")</f>
        <v>38809893.454749987</v>
      </c>
      <c r="O31" s="51" t="str">
        <f ca="1">IFERROR(OFFSET(INDIRECT($H$3 &amp; "!A71"), 0, 0), "")</f>
        <v>디센트럴랜드</v>
      </c>
      <c r="P31" s="38">
        <f t="shared" ref="P31:P50" ca="1" si="11">_xlfn.IFNA(VLOOKUP(O31, $B$2:$D$200, 2, FALSE), "")</f>
        <v>446</v>
      </c>
      <c r="Q31" s="69">
        <f t="shared" ref="Q31:Q50" ca="1" si="12">_xlfn.IFNA(VLOOKUP(O31, $B$2:$D$200, 3, FALSE), "")</f>
        <v>6.9544364499999997E-2</v>
      </c>
      <c r="R31" s="78">
        <f ca="1">_xlfn.IFNA(VLOOKUP(O31, $B$2:$E$200, 4, FALSE), "")</f>
        <v>42726604.94720491</v>
      </c>
    </row>
    <row r="32" spans="1:18">
      <c r="A32" s="40" t="s">
        <v>196</v>
      </c>
      <c r="B32" s="11" t="s">
        <v>197</v>
      </c>
      <c r="C32" s="86">
        <v>5.62</v>
      </c>
      <c r="D32" s="34">
        <v>3.5714286E-3</v>
      </c>
      <c r="E32" s="84">
        <v>88732842.578827307</v>
      </c>
      <c r="F32" s="35"/>
      <c r="G32" s="52" t="str">
        <f ca="1">IFERROR(OFFSET(INDIRECT($H$3 &amp; "!A98"), 1, 0), "")</f>
        <v>샌드박스</v>
      </c>
      <c r="H32" s="39">
        <f t="shared" ca="1" si="7"/>
        <v>580</v>
      </c>
      <c r="I32" s="70">
        <f t="shared" ca="1" si="8"/>
        <v>5.8394160600000002E-2</v>
      </c>
      <c r="J32" s="79">
        <f t="shared" ref="J32:J50" ca="1" si="13">_xlfn.IFNA(VLOOKUP(G32, $B$2:$E$200, 4, FALSE), "")</f>
        <v>99001737.708957464</v>
      </c>
      <c r="K32" s="52" t="str">
        <f ca="1">IFERROR(OFFSET(INDIRECT($H$3 &amp; "!A44"), 1, 0), "")</f>
        <v>크로노스</v>
      </c>
      <c r="L32" s="39">
        <f t="shared" ca="1" si="9"/>
        <v>78.7</v>
      </c>
      <c r="M32" s="70">
        <f t="shared" ca="1" si="10"/>
        <v>1.8111254899999998E-2</v>
      </c>
      <c r="N32" s="79">
        <f t="shared" ref="N32:N50" ca="1" si="14">_xlfn.IFNA(VLOOKUP(K32, $B$2:$E$200, 4, FALSE), "")</f>
        <v>8069577.1284512402</v>
      </c>
      <c r="O32" s="52" t="str">
        <f ca="1">IFERROR(OFFSET(INDIRECT($H$3 &amp; "!A71"), 1, 0), "")</f>
        <v>샌드박스</v>
      </c>
      <c r="P32" s="39">
        <f t="shared" ca="1" si="11"/>
        <v>580</v>
      </c>
      <c r="Q32" s="70">
        <f t="shared" ca="1" si="12"/>
        <v>5.8394160600000002E-2</v>
      </c>
      <c r="R32" s="79">
        <f t="shared" ref="R32:R50" ca="1" si="15">_xlfn.IFNA(VLOOKUP(O32, $B$2:$E$200, 4, FALSE), "")</f>
        <v>99001737.708957464</v>
      </c>
    </row>
    <row r="33" spans="1:18">
      <c r="A33" s="40" t="s">
        <v>188</v>
      </c>
      <c r="B33" s="11" t="s">
        <v>189</v>
      </c>
      <c r="C33" s="86">
        <v>891</v>
      </c>
      <c r="D33" s="34">
        <v>2.2497188000000002E-3</v>
      </c>
      <c r="E33" s="84">
        <v>11033867.183403259</v>
      </c>
      <c r="F33" s="35"/>
      <c r="G33" s="52" t="str">
        <f ca="1">IFERROR(OFFSET(INDIRECT($H$3 &amp; "!A98"), 2, 0), "")</f>
        <v>오미세고</v>
      </c>
      <c r="H33" s="39">
        <f t="shared" ca="1" si="7"/>
        <v>1395</v>
      </c>
      <c r="I33" s="70">
        <f t="shared" ca="1" si="8"/>
        <v>3.7174721199999997E-2</v>
      </c>
      <c r="J33" s="79">
        <f t="shared" ca="1" si="13"/>
        <v>2435540.7886467101</v>
      </c>
      <c r="K33" s="52" t="str">
        <f ca="1">IFERROR(OFFSET(INDIRECT($H$3 &amp; "!A44"), 2, 0), "")</f>
        <v>룸네트워크</v>
      </c>
      <c r="L33" s="39">
        <f t="shared" ca="1" si="9"/>
        <v>52.8</v>
      </c>
      <c r="M33" s="70">
        <f t="shared" ca="1" si="10"/>
        <v>1.7341040499999998E-2</v>
      </c>
      <c r="N33" s="79">
        <f t="shared" ca="1" si="14"/>
        <v>205615471.94551545</v>
      </c>
      <c r="O33" s="52" t="str">
        <f ca="1">IFERROR(OFFSET(INDIRECT($H$3 &amp; "!A71"), 2, 0), "")</f>
        <v>엔진코인</v>
      </c>
      <c r="P33" s="39">
        <f t="shared" ca="1" si="11"/>
        <v>334</v>
      </c>
      <c r="Q33" s="70">
        <f t="shared" ca="1" si="12"/>
        <v>2.7692307699999998E-2</v>
      </c>
      <c r="R33" s="79">
        <f t="shared" ca="1" si="15"/>
        <v>13716532.533533121</v>
      </c>
    </row>
    <row r="34" spans="1:18">
      <c r="A34" s="40" t="s">
        <v>53</v>
      </c>
      <c r="B34" s="11" t="s">
        <v>329</v>
      </c>
      <c r="C34" s="86">
        <v>49.7</v>
      </c>
      <c r="D34" s="34">
        <v>2.0161290000000002E-3</v>
      </c>
      <c r="E34" s="84">
        <v>12926822.426928559</v>
      </c>
      <c r="F34" s="35"/>
      <c r="G34" s="52" t="str">
        <f ca="1">IFERROR(OFFSET(INDIRECT($H$3 &amp; "!A98"), 3, 0), "")</f>
        <v>엔진코인</v>
      </c>
      <c r="H34" s="39">
        <f t="shared" ca="1" si="7"/>
        <v>334</v>
      </c>
      <c r="I34" s="70">
        <f t="shared" ca="1" si="8"/>
        <v>2.7692307699999998E-2</v>
      </c>
      <c r="J34" s="79">
        <f t="shared" ca="1" si="13"/>
        <v>13716532.533533121</v>
      </c>
      <c r="K34" s="52" t="str">
        <f ca="1">IFERROR(OFFSET(INDIRECT($H$3 &amp; "!A44"), 3, 0), "")</f>
        <v>메타디움</v>
      </c>
      <c r="L34" s="39">
        <f t="shared" ca="1" si="9"/>
        <v>23.7</v>
      </c>
      <c r="M34" s="70">
        <f t="shared" ca="1" si="10"/>
        <v>1.7167381999999998E-2</v>
      </c>
      <c r="N34" s="79">
        <f t="shared" ca="1" si="14"/>
        <v>23917244.737971049</v>
      </c>
      <c r="O34" s="52" t="str">
        <f ca="1">IFERROR(OFFSET(INDIRECT($H$3 &amp; "!A71"), 3, 0), "")</f>
        <v>스테픈</v>
      </c>
      <c r="P34" s="39">
        <f t="shared" ca="1" si="11"/>
        <v>337</v>
      </c>
      <c r="Q34" s="70">
        <f t="shared" ca="1" si="12"/>
        <v>2.7439024400000001E-2</v>
      </c>
      <c r="R34" s="79">
        <f t="shared" ca="1" si="15"/>
        <v>11946178.267010169</v>
      </c>
    </row>
    <row r="35" spans="1:18">
      <c r="A35" s="40" t="s">
        <v>86</v>
      </c>
      <c r="B35" s="11" t="s">
        <v>87</v>
      </c>
      <c r="C35" s="86">
        <v>54740</v>
      </c>
      <c r="D35" s="34">
        <v>2.0135457000000001E-3</v>
      </c>
      <c r="E35" s="84">
        <v>23797.985951549999</v>
      </c>
      <c r="F35" s="35"/>
      <c r="G35" s="54" t="str">
        <f ca="1">IFERROR(OFFSET(INDIRECT($H$3 &amp; "!A98"), 4, 0), "")</f>
        <v>스테픈</v>
      </c>
      <c r="H35" s="44">
        <f t="shared" ca="1" si="7"/>
        <v>337</v>
      </c>
      <c r="I35" s="71">
        <f t="shared" ca="1" si="8"/>
        <v>2.7439024400000001E-2</v>
      </c>
      <c r="J35" s="83">
        <f t="shared" ca="1" si="13"/>
        <v>11946178.267010169</v>
      </c>
      <c r="K35" s="54" t="str">
        <f ca="1">IFERROR(OFFSET(INDIRECT($H$3 &amp; "!A44"), 4, 0), "")</f>
        <v>에스티피</v>
      </c>
      <c r="L35" s="44">
        <f t="shared" ca="1" si="9"/>
        <v>35.5</v>
      </c>
      <c r="M35" s="71">
        <f t="shared" ca="1" si="10"/>
        <v>1.42857143E-2</v>
      </c>
      <c r="N35" s="83">
        <f t="shared" ca="1" si="14"/>
        <v>96528223.116356805</v>
      </c>
      <c r="O35" s="54" t="str">
        <f ca="1">IFERROR(OFFSET(INDIRECT($H$3 &amp; "!A71"), 4, 0), "")</f>
        <v>알고랜드</v>
      </c>
      <c r="P35" s="44">
        <f t="shared" ca="1" si="11"/>
        <v>245</v>
      </c>
      <c r="Q35" s="71">
        <f t="shared" ca="1" si="12"/>
        <v>2.51046025E-2</v>
      </c>
      <c r="R35" s="83">
        <f t="shared" ca="1" si="15"/>
        <v>6166252.7912561903</v>
      </c>
    </row>
    <row r="36" spans="1:18">
      <c r="A36" s="40" t="s">
        <v>171</v>
      </c>
      <c r="B36" s="11" t="s">
        <v>172</v>
      </c>
      <c r="C36" s="86">
        <v>2495</v>
      </c>
      <c r="D36" s="34">
        <v>2.0080320999999999E-3</v>
      </c>
      <c r="E36" s="84">
        <v>484008.18170188001</v>
      </c>
      <c r="F36" s="35"/>
      <c r="G36" s="52" t="str">
        <f ca="1">IFERROR(OFFSET(INDIRECT($H$3 &amp; "!A98"), 5, 0), "")</f>
        <v>알고랜드</v>
      </c>
      <c r="H36" s="39">
        <f t="shared" ca="1" si="7"/>
        <v>245</v>
      </c>
      <c r="I36" s="70">
        <f t="shared" ca="1" si="8"/>
        <v>2.51046025E-2</v>
      </c>
      <c r="J36" s="89">
        <f t="shared" ca="1" si="13"/>
        <v>6166252.7912561903</v>
      </c>
      <c r="K36" s="52" t="str">
        <f ca="1">IFERROR(OFFSET(INDIRECT($H$3 &amp; "!A44"), 5, 0), "")</f>
        <v>스텔라루멘</v>
      </c>
      <c r="L36" s="39">
        <f t="shared" ca="1" si="9"/>
        <v>96.1</v>
      </c>
      <c r="M36" s="70">
        <f t="shared" ca="1" si="10"/>
        <v>1.05152471E-2</v>
      </c>
      <c r="N36" s="89">
        <f t="shared" ca="1" si="14"/>
        <v>10241782.273307471</v>
      </c>
      <c r="O36" s="52" t="str">
        <f ca="1">IFERROR(OFFSET(INDIRECT($H$3 &amp; "!A71"), 5, 0), "")</f>
        <v>플레이댑</v>
      </c>
      <c r="P36" s="39">
        <f t="shared" ca="1" si="11"/>
        <v>185</v>
      </c>
      <c r="Q36" s="70">
        <f t="shared" ca="1" si="12"/>
        <v>2.2099447500000001E-2</v>
      </c>
      <c r="R36" s="89">
        <f t="shared" ca="1" si="15"/>
        <v>28055917.359245289</v>
      </c>
    </row>
    <row r="37" spans="1:18">
      <c r="A37" s="40" t="s">
        <v>48</v>
      </c>
      <c r="B37" s="11" t="s">
        <v>49</v>
      </c>
      <c r="C37" s="86">
        <v>21539000</v>
      </c>
      <c r="D37" s="34">
        <v>1.0224474E-3</v>
      </c>
      <c r="E37" s="84">
        <v>1035.9572804500001</v>
      </c>
      <c r="F37" s="35"/>
      <c r="G37" s="52" t="str">
        <f ca="1">IFERROR(OFFSET(INDIRECT($H$3 &amp; "!A98"), 6, 0), "")</f>
        <v>플레이댑</v>
      </c>
      <c r="H37" s="39">
        <f t="shared" ca="1" si="7"/>
        <v>185</v>
      </c>
      <c r="I37" s="70">
        <f t="shared" ca="1" si="8"/>
        <v>2.2099447500000001E-2</v>
      </c>
      <c r="J37" s="79">
        <f t="shared" ca="1" si="13"/>
        <v>28055917.359245289</v>
      </c>
      <c r="K37" s="52" t="str">
        <f ca="1">IFERROR(OFFSET(INDIRECT($H$3 &amp; "!A44"), 6, 0), "")</f>
        <v>리퍼리움</v>
      </c>
      <c r="L37" s="39">
        <f t="shared" ca="1" si="9"/>
        <v>5.68</v>
      </c>
      <c r="M37" s="70">
        <f t="shared" ca="1" si="10"/>
        <v>8.8809947000000004E-3</v>
      </c>
      <c r="N37" s="79">
        <f t="shared" ca="1" si="14"/>
        <v>91346092.475750044</v>
      </c>
      <c r="O37" s="52" t="str">
        <f ca="1">IFERROR(OFFSET(INDIRECT($H$3 &amp; "!A71"), 6, 0), "")</f>
        <v>테조스</v>
      </c>
      <c r="P37" s="39">
        <f t="shared" ca="1" si="11"/>
        <v>998</v>
      </c>
      <c r="Q37" s="70">
        <f t="shared" ca="1" si="12"/>
        <v>1.9407558700000001E-2</v>
      </c>
      <c r="R37" s="79">
        <f t="shared" ca="1" si="15"/>
        <v>770167.54666719004</v>
      </c>
    </row>
    <row r="38" spans="1:18">
      <c r="A38" s="40" t="s">
        <v>336</v>
      </c>
      <c r="B38" s="11" t="s">
        <v>337</v>
      </c>
      <c r="C38" s="86">
        <v>71640</v>
      </c>
      <c r="D38" s="34">
        <v>9.7806340000000007E-4</v>
      </c>
      <c r="E38" s="84">
        <v>9446.29859407</v>
      </c>
      <c r="F38" s="35"/>
      <c r="G38" s="52" t="str">
        <f ca="1">IFERROR(OFFSET(INDIRECT($H$3 &amp; "!A98"), 7, 0), "")</f>
        <v>엑시인피니티</v>
      </c>
      <c r="H38" s="39">
        <f t="shared" ca="1" si="7"/>
        <v>8860</v>
      </c>
      <c r="I38" s="70">
        <f t="shared" ca="1" si="8"/>
        <v>2.1914648200000001E-2</v>
      </c>
      <c r="J38" s="79">
        <f t="shared" ca="1" si="13"/>
        <v>3322888.9361803201</v>
      </c>
      <c r="K38" s="52" t="str">
        <f ca="1">IFERROR(OFFSET(INDIRECT($H$3 &amp; "!A44"), 7, 0), "")</f>
        <v>아더</v>
      </c>
      <c r="L38" s="39">
        <f t="shared" ca="1" si="9"/>
        <v>85.5</v>
      </c>
      <c r="M38" s="70">
        <f t="shared" ca="1" si="10"/>
        <v>8.254717E-3</v>
      </c>
      <c r="N38" s="79">
        <f t="shared" ca="1" si="14"/>
        <v>25995613.536978088</v>
      </c>
      <c r="O38" s="52" t="str">
        <f ca="1">IFERROR(OFFSET(INDIRECT($H$3 &amp; "!A71"), 7, 0), "")</f>
        <v>베이직어텐션토큰</v>
      </c>
      <c r="P38" s="39">
        <f t="shared" ca="1" si="11"/>
        <v>229</v>
      </c>
      <c r="Q38" s="70">
        <f t="shared" ca="1" si="12"/>
        <v>1.7777777799999998E-2</v>
      </c>
      <c r="R38" s="79">
        <f t="shared" ca="1" si="15"/>
        <v>5288454.8189765699</v>
      </c>
    </row>
    <row r="39" spans="1:18">
      <c r="A39" s="40" t="s">
        <v>137</v>
      </c>
      <c r="B39" s="11" t="s">
        <v>138</v>
      </c>
      <c r="C39" s="86">
        <v>21</v>
      </c>
      <c r="D39" s="34">
        <v>0</v>
      </c>
      <c r="E39" s="84">
        <v>24455963.621777091</v>
      </c>
      <c r="F39" s="35"/>
      <c r="G39" s="52" t="str">
        <f ca="1">IFERROR(OFFSET(INDIRECT($H$3 &amp; "!A98"), 8, 0), "")</f>
        <v>왁스</v>
      </c>
      <c r="H39" s="39">
        <f t="shared" ca="1" si="7"/>
        <v>56.9</v>
      </c>
      <c r="I39" s="70">
        <f t="shared" ca="1" si="8"/>
        <v>2.1543985599999999E-2</v>
      </c>
      <c r="J39" s="79">
        <f t="shared" ca="1" si="13"/>
        <v>38809893.454749987</v>
      </c>
      <c r="K39" s="52" t="str">
        <f ca="1">IFERROR(OFFSET(INDIRECT($H$3 &amp; "!A44"), 8, 0), "")</f>
        <v>아하토큰</v>
      </c>
      <c r="L39" s="39">
        <f t="shared" ca="1" si="9"/>
        <v>5.62</v>
      </c>
      <c r="M39" s="70">
        <f t="shared" ca="1" si="10"/>
        <v>3.5714286E-3</v>
      </c>
      <c r="N39" s="79">
        <f t="shared" ca="1" si="14"/>
        <v>88732842.578827307</v>
      </c>
      <c r="O39" s="52" t="str">
        <f ca="1">IFERROR(OFFSET(INDIRECT($H$3 &amp; "!A71"), 8, 0), "")</f>
        <v>아이콘</v>
      </c>
      <c r="P39" s="39">
        <f t="shared" ca="1" si="11"/>
        <v>195</v>
      </c>
      <c r="Q39" s="70">
        <f t="shared" ca="1" si="12"/>
        <v>1.5625E-2</v>
      </c>
      <c r="R39" s="79">
        <f t="shared" ca="1" si="15"/>
        <v>2762329.95000479</v>
      </c>
    </row>
    <row r="40" spans="1:18" ht="17.25" thickBot="1">
      <c r="A40" s="40" t="s">
        <v>76</v>
      </c>
      <c r="B40" s="11" t="s">
        <v>77</v>
      </c>
      <c r="C40" s="86">
        <v>129200</v>
      </c>
      <c r="D40" s="34">
        <v>0</v>
      </c>
      <c r="E40" s="84">
        <v>13159.216841539999</v>
      </c>
      <c r="F40" s="35"/>
      <c r="G40" s="53" t="str">
        <f ca="1">IFERROR(OFFSET(INDIRECT($H$3 &amp; "!A98"), 9, 0), "")</f>
        <v>테조스</v>
      </c>
      <c r="H40" s="37">
        <f t="shared" ca="1" si="7"/>
        <v>998</v>
      </c>
      <c r="I40" s="72">
        <f t="shared" ca="1" si="8"/>
        <v>1.9407558700000001E-2</v>
      </c>
      <c r="J40" s="80">
        <f t="shared" ca="1" si="13"/>
        <v>770167.54666719004</v>
      </c>
      <c r="K40" s="53" t="str">
        <f ca="1">IFERROR(OFFSET(INDIRECT($H$3 &amp; "!A44"), 9, 0), "")</f>
        <v>헤데라</v>
      </c>
      <c r="L40" s="37">
        <f t="shared" ca="1" si="9"/>
        <v>49.7</v>
      </c>
      <c r="M40" s="72">
        <f t="shared" ca="1" si="10"/>
        <v>2.0161290000000002E-3</v>
      </c>
      <c r="N40" s="80">
        <f t="shared" ca="1" si="14"/>
        <v>12926822.426928559</v>
      </c>
      <c r="O40" s="53" t="str">
        <f ca="1">IFERROR(OFFSET(INDIRECT($H$3 &amp; "!A71"), 9, 0), "")</f>
        <v>카이버네트워크</v>
      </c>
      <c r="P40" s="37">
        <f t="shared" ca="1" si="11"/>
        <v>635</v>
      </c>
      <c r="Q40" s="72">
        <f t="shared" ca="1" si="12"/>
        <v>1.43769968E-2</v>
      </c>
      <c r="R40" s="80">
        <f t="shared" ca="1" si="15"/>
        <v>1446942.9979801299</v>
      </c>
    </row>
    <row r="41" spans="1:18">
      <c r="A41" s="40" t="s">
        <v>96</v>
      </c>
      <c r="B41" s="11" t="s">
        <v>97</v>
      </c>
      <c r="C41" s="86">
        <v>8.0000000000000004E-4</v>
      </c>
      <c r="D41" s="34">
        <v>0</v>
      </c>
      <c r="E41" s="84">
        <v>214435082993.8407</v>
      </c>
      <c r="F41" s="35"/>
      <c r="G41" s="55" t="str">
        <f ca="1">IFERROR(OFFSET(INDIRECT($H$3 &amp; "!A98"), 10, 0), "")</f>
        <v>크로노스</v>
      </c>
      <c r="H41" s="38">
        <f t="shared" ca="1" si="7"/>
        <v>78.7</v>
      </c>
      <c r="I41" s="69">
        <f t="shared" ca="1" si="8"/>
        <v>1.8111254899999998E-2</v>
      </c>
      <c r="J41" s="78">
        <f t="shared" ca="1" si="13"/>
        <v>8069577.1284512402</v>
      </c>
      <c r="K41" s="51" t="str">
        <f ca="1">IFERROR(OFFSET(INDIRECT($H$3 &amp; "!A44"), 10, 0), "")</f>
        <v>앵커</v>
      </c>
      <c r="L41" s="38">
        <f t="shared" ca="1" si="9"/>
        <v>21</v>
      </c>
      <c r="M41" s="69">
        <f t="shared" ca="1" si="10"/>
        <v>0</v>
      </c>
      <c r="N41" s="78">
        <f t="shared" ca="1" si="14"/>
        <v>24455963.621777091</v>
      </c>
      <c r="O41" s="51" t="str">
        <f ca="1">IFERROR(OFFSET(INDIRECT($H$3 &amp; "!A71"), 10, 0), "")</f>
        <v>쎄타토큰</v>
      </c>
      <c r="P41" s="38">
        <f t="shared" ca="1" si="11"/>
        <v>977</v>
      </c>
      <c r="Q41" s="69">
        <f t="shared" ca="1" si="12"/>
        <v>1.34854772E-2</v>
      </c>
      <c r="R41" s="78">
        <f t="shared" ca="1" si="15"/>
        <v>734300.19055414002</v>
      </c>
    </row>
    <row r="42" spans="1:18">
      <c r="A42" s="40" t="s">
        <v>142</v>
      </c>
      <c r="B42" s="11" t="s">
        <v>143</v>
      </c>
      <c r="C42" s="86">
        <v>3.38</v>
      </c>
      <c r="D42" s="34">
        <v>0</v>
      </c>
      <c r="E42" s="84">
        <v>44354477.130314007</v>
      </c>
      <c r="F42" s="35"/>
      <c r="G42" s="52" t="str">
        <f ca="1">IFERROR(OFFSET(INDIRECT($H$3 &amp; "!A98"), 11, 0), "")</f>
        <v>베이직어텐션토큰</v>
      </c>
      <c r="H42" s="39">
        <f t="shared" ca="1" si="7"/>
        <v>229</v>
      </c>
      <c r="I42" s="70">
        <f t="shared" ca="1" si="8"/>
        <v>1.7777777799999998E-2</v>
      </c>
      <c r="J42" s="79">
        <f t="shared" ca="1" si="13"/>
        <v>5288454.8189765699</v>
      </c>
      <c r="K42" s="52" t="str">
        <f ca="1">IFERROR(OFFSET(INDIRECT($H$3 &amp; "!A44"), 11, 0), "")</f>
        <v>비트토렌트</v>
      </c>
      <c r="L42" s="39">
        <f t="shared" ca="1" si="9"/>
        <v>8.0000000000000004E-4</v>
      </c>
      <c r="M42" s="70">
        <f t="shared" ca="1" si="10"/>
        <v>0</v>
      </c>
      <c r="N42" s="79">
        <f t="shared" ca="1" si="14"/>
        <v>214435082993.8407</v>
      </c>
      <c r="O42" s="52" t="str">
        <f ca="1">IFERROR(OFFSET(INDIRECT($H$3 &amp; "!A71"), 11, 0), "")</f>
        <v>밀크</v>
      </c>
      <c r="P42" s="39">
        <f t="shared" ca="1" si="11"/>
        <v>267</v>
      </c>
      <c r="Q42" s="70">
        <f t="shared" ca="1" si="12"/>
        <v>7.5471697999999997E-3</v>
      </c>
      <c r="R42" s="79">
        <f t="shared" ca="1" si="15"/>
        <v>2592182.4665596699</v>
      </c>
    </row>
    <row r="43" spans="1:18">
      <c r="A43" s="40" t="s">
        <v>82</v>
      </c>
      <c r="B43" s="11" t="s">
        <v>83</v>
      </c>
      <c r="C43" s="86">
        <v>1140</v>
      </c>
      <c r="D43" s="34">
        <v>0</v>
      </c>
      <c r="E43" s="84">
        <v>1254939.0355115901</v>
      </c>
      <c r="F43" s="35"/>
      <c r="G43" s="52" t="str">
        <f ca="1">IFERROR(OFFSET(INDIRECT($H$3 &amp; "!A98"), 12, 0), "")</f>
        <v>룸네트워크</v>
      </c>
      <c r="H43" s="39">
        <f t="shared" ca="1" si="7"/>
        <v>52.8</v>
      </c>
      <c r="I43" s="70">
        <f t="shared" ca="1" si="8"/>
        <v>1.7341040499999998E-2</v>
      </c>
      <c r="J43" s="79">
        <f t="shared" ca="1" si="13"/>
        <v>205615471.94551545</v>
      </c>
      <c r="K43" s="52" t="str">
        <f ca="1">IFERROR(OFFSET(INDIRECT($H$3 &amp; "!A44"), 12, 0), "")</f>
        <v>캐리프로토콜</v>
      </c>
      <c r="L43" s="39">
        <f t="shared" ca="1" si="9"/>
        <v>3.38</v>
      </c>
      <c r="M43" s="70">
        <f t="shared" ca="1" si="10"/>
        <v>0</v>
      </c>
      <c r="N43" s="79">
        <f t="shared" ca="1" si="14"/>
        <v>44354477.130314007</v>
      </c>
      <c r="O43" s="52" t="str">
        <f ca="1">IFERROR(OFFSET(INDIRECT($H$3 &amp; "!A71"), 12, 0), "")</f>
        <v>보라</v>
      </c>
      <c r="P43" s="39">
        <f t="shared" ca="1" si="11"/>
        <v>140</v>
      </c>
      <c r="Q43" s="70">
        <f t="shared" ca="1" si="12"/>
        <v>7.1942446E-3</v>
      </c>
      <c r="R43" s="79">
        <f t="shared" ca="1" si="15"/>
        <v>17367257.579798691</v>
      </c>
    </row>
    <row r="44" spans="1:18">
      <c r="A44" s="40" t="s">
        <v>92</v>
      </c>
      <c r="B44" s="11" t="s">
        <v>93</v>
      </c>
      <c r="C44" s="86">
        <v>1610000</v>
      </c>
      <c r="D44" s="34">
        <v>0</v>
      </c>
      <c r="E44" s="84">
        <v>7297.8836729300001</v>
      </c>
      <c r="F44" s="35"/>
      <c r="G44" s="52" t="str">
        <f ca="1">IFERROR(OFFSET(INDIRECT($H$3 &amp; "!A98"), 13, 0), "")</f>
        <v>메타디움</v>
      </c>
      <c r="H44" s="39">
        <f t="shared" ca="1" si="7"/>
        <v>23.7</v>
      </c>
      <c r="I44" s="70">
        <f t="shared" ca="1" si="8"/>
        <v>1.7167381999999998E-2</v>
      </c>
      <c r="J44" s="79">
        <f t="shared" ca="1" si="13"/>
        <v>23917244.737971049</v>
      </c>
      <c r="K44" s="52" t="str">
        <f ca="1">IFERROR(OFFSET(INDIRECT($H$3 &amp; "!A44"), 13, 0), "")</f>
        <v>무비블록</v>
      </c>
      <c r="L44" s="39">
        <f t="shared" ca="1" si="9"/>
        <v>3</v>
      </c>
      <c r="M44" s="70">
        <f t="shared" ca="1" si="10"/>
        <v>0</v>
      </c>
      <c r="N44" s="79">
        <f t="shared" ca="1" si="14"/>
        <v>129717941.0490597</v>
      </c>
      <c r="O44" s="52" t="str">
        <f ca="1">IFERROR(OFFSET(INDIRECT($H$3 &amp; "!A71"), 13, 0), "")</f>
        <v>스토리지</v>
      </c>
      <c r="P44" s="39">
        <f t="shared" ca="1" si="11"/>
        <v>330</v>
      </c>
      <c r="Q44" s="70">
        <f t="shared" ca="1" si="12"/>
        <v>6.0975609999999996E-3</v>
      </c>
      <c r="R44" s="79">
        <f t="shared" ca="1" si="15"/>
        <v>4981417.6108927801</v>
      </c>
    </row>
    <row r="45" spans="1:18">
      <c r="A45" s="40" t="s">
        <v>135</v>
      </c>
      <c r="B45" s="11" t="s">
        <v>136</v>
      </c>
      <c r="C45" s="86">
        <v>2575</v>
      </c>
      <c r="D45" s="34">
        <v>0</v>
      </c>
      <c r="E45" s="84">
        <v>121468.74108637001</v>
      </c>
      <c r="F45" s="35"/>
      <c r="G45" s="54" t="str">
        <f ca="1">IFERROR(OFFSET(INDIRECT($H$3 &amp; "!A98"), 14, 0), "")</f>
        <v>체인링크</v>
      </c>
      <c r="H45" s="44">
        <f t="shared" ca="1" si="7"/>
        <v>7370</v>
      </c>
      <c r="I45" s="71">
        <f t="shared" ca="1" si="8"/>
        <v>1.5851137099999999E-2</v>
      </c>
      <c r="J45" s="83">
        <f t="shared" ca="1" si="13"/>
        <v>249172.66460727001</v>
      </c>
      <c r="K45" s="54" t="str">
        <f ca="1">IFERROR(OFFSET(INDIRECT($H$3 &amp; "!A44"), 14, 0), "")</f>
        <v>스테이터스네트워크토큰</v>
      </c>
      <c r="L45" s="44">
        <f t="shared" ca="1" si="9"/>
        <v>24.8</v>
      </c>
      <c r="M45" s="71">
        <f t="shared" ca="1" si="10"/>
        <v>0</v>
      </c>
      <c r="N45" s="83">
        <f t="shared" ca="1" si="14"/>
        <v>6988729.7854043497</v>
      </c>
      <c r="O45" s="54" t="str">
        <f ca="1">IFERROR(OFFSET(INDIRECT($H$3 &amp; "!A71"), 14, 0), "")</f>
        <v>리플</v>
      </c>
      <c r="P45" s="44">
        <f t="shared" ca="1" si="11"/>
        <v>439</v>
      </c>
      <c r="Q45" s="71">
        <f t="shared" ca="1" si="12"/>
        <v>4.5766590000000003E-3</v>
      </c>
      <c r="R45" s="83">
        <f t="shared" ca="1" si="15"/>
        <v>64013733.180480197</v>
      </c>
    </row>
    <row r="46" spans="1:18">
      <c r="A46" s="40" t="s">
        <v>228</v>
      </c>
      <c r="B46" s="11" t="s">
        <v>229</v>
      </c>
      <c r="C46" s="86">
        <v>234</v>
      </c>
      <c r="D46" s="34">
        <v>0</v>
      </c>
      <c r="E46" s="84">
        <v>2476716.4409089601</v>
      </c>
      <c r="F46" s="35"/>
      <c r="G46" s="52" t="str">
        <f ca="1">IFERROR(OFFSET(INDIRECT($H$3 &amp; "!A98"), 15, 0), "")</f>
        <v>아이콘</v>
      </c>
      <c r="H46" s="39">
        <f t="shared" ca="1" si="7"/>
        <v>195</v>
      </c>
      <c r="I46" s="70">
        <f t="shared" ca="1" si="8"/>
        <v>1.5625E-2</v>
      </c>
      <c r="J46" s="89">
        <f t="shared" ca="1" si="13"/>
        <v>2762329.95000479</v>
      </c>
      <c r="K46" s="52" t="str">
        <f ca="1">IFERROR(OFFSET(INDIRECT($H$3 &amp; "!A44"), 15, 0), "")</f>
        <v>넴</v>
      </c>
      <c r="L46" s="39">
        <f t="shared" ca="1" si="9"/>
        <v>37</v>
      </c>
      <c r="M46" s="70">
        <f t="shared" ca="1" si="10"/>
        <v>0</v>
      </c>
      <c r="N46" s="89">
        <f t="shared" ca="1" si="14"/>
        <v>6680827.6039143</v>
      </c>
      <c r="O46" s="52" t="str">
        <f ca="1">IFERROR(OFFSET(INDIRECT($H$3 &amp; "!A71"), 15, 0), "")</f>
        <v>1인치네트워크</v>
      </c>
      <c r="P46" s="39">
        <f t="shared" ca="1" si="11"/>
        <v>505</v>
      </c>
      <c r="Q46" s="70">
        <f t="shared" ca="1" si="12"/>
        <v>3.9761431000000002E-3</v>
      </c>
      <c r="R46" s="89">
        <f t="shared" ca="1" si="15"/>
        <v>776305.72368076001</v>
      </c>
    </row>
    <row r="47" spans="1:18">
      <c r="A47" s="40" t="s">
        <v>238</v>
      </c>
      <c r="B47" s="11" t="s">
        <v>239</v>
      </c>
      <c r="C47" s="86">
        <v>411</v>
      </c>
      <c r="D47" s="34">
        <v>0</v>
      </c>
      <c r="E47" s="84">
        <v>977388.65552757995</v>
      </c>
      <c r="F47" s="35"/>
      <c r="G47" s="52" t="str">
        <f ca="1">IFERROR(OFFSET(INDIRECT($H$3 &amp; "!A98"), 16, 0), "")</f>
        <v>카이버네트워크</v>
      </c>
      <c r="H47" s="39">
        <f t="shared" ca="1" si="7"/>
        <v>635</v>
      </c>
      <c r="I47" s="70">
        <f t="shared" ca="1" si="8"/>
        <v>1.43769968E-2</v>
      </c>
      <c r="J47" s="79">
        <f t="shared" ca="1" si="13"/>
        <v>1446942.9979801299</v>
      </c>
      <c r="K47" s="52" t="str">
        <f ca="1">IFERROR(OFFSET(INDIRECT($H$3 &amp; "!A44"), 16, 0), "")</f>
        <v>휴먼스케이프</v>
      </c>
      <c r="L47" s="39">
        <f t="shared" ca="1" si="9"/>
        <v>93.2</v>
      </c>
      <c r="M47" s="70">
        <f t="shared" ca="1" si="10"/>
        <v>-1.0718113999999999E-3</v>
      </c>
      <c r="N47" s="79">
        <f t="shared" ca="1" si="14"/>
        <v>55202148.585411362</v>
      </c>
      <c r="O47" s="52" t="str">
        <f ca="1">IFERROR(OFFSET(INDIRECT($H$3 &amp; "!A71"), 16, 0), "")</f>
        <v>스택스</v>
      </c>
      <c r="P47" s="39">
        <f t="shared" ca="1" si="11"/>
        <v>279</v>
      </c>
      <c r="Q47" s="70">
        <f t="shared" ca="1" si="12"/>
        <v>3.5971223E-3</v>
      </c>
      <c r="R47" s="79">
        <f t="shared" ca="1" si="15"/>
        <v>4468423.40117482</v>
      </c>
    </row>
    <row r="48" spans="1:18">
      <c r="A48" s="40" t="s">
        <v>202</v>
      </c>
      <c r="B48" s="11" t="s">
        <v>203</v>
      </c>
      <c r="C48" s="86">
        <v>3</v>
      </c>
      <c r="D48" s="34">
        <v>0</v>
      </c>
      <c r="E48" s="84">
        <v>129717941.0490597</v>
      </c>
      <c r="F48" s="35"/>
      <c r="G48" s="52" t="str">
        <f ca="1">IFERROR(OFFSET(INDIRECT($H$3 &amp; "!A98"), 17, 0), "")</f>
        <v>에스티피</v>
      </c>
      <c r="H48" s="39">
        <f t="shared" ca="1" si="7"/>
        <v>35.5</v>
      </c>
      <c r="I48" s="70">
        <f t="shared" ca="1" si="8"/>
        <v>1.42857143E-2</v>
      </c>
      <c r="J48" s="79">
        <f t="shared" ca="1" si="13"/>
        <v>96528223.116356805</v>
      </c>
      <c r="K48" s="52" t="str">
        <f ca="1">IFERROR(OFFSET(INDIRECT($H$3 &amp; "!A44"), 17, 0), "")</f>
        <v>도지코인</v>
      </c>
      <c r="L48" s="39">
        <f t="shared" ca="1" si="9"/>
        <v>91.8</v>
      </c>
      <c r="M48" s="70">
        <f t="shared" ca="1" si="10"/>
        <v>-1.0881393E-3</v>
      </c>
      <c r="N48" s="79">
        <f t="shared" ca="1" si="14"/>
        <v>145349896.92614654</v>
      </c>
      <c r="O48" s="52" t="str">
        <f ca="1">IFERROR(OFFSET(INDIRECT($H$3 &amp; "!A71"), 17, 0), "")</f>
        <v>플로우</v>
      </c>
      <c r="P48" s="39">
        <f t="shared" ca="1" si="11"/>
        <v>891</v>
      </c>
      <c r="Q48" s="70">
        <f t="shared" ca="1" si="12"/>
        <v>2.2497188000000002E-3</v>
      </c>
      <c r="R48" s="79">
        <f t="shared" ca="1" si="15"/>
        <v>11033867.183403259</v>
      </c>
    </row>
    <row r="49" spans="1:18">
      <c r="A49" s="40" t="s">
        <v>175</v>
      </c>
      <c r="B49" s="11" t="s">
        <v>176</v>
      </c>
      <c r="C49" s="86">
        <v>278</v>
      </c>
      <c r="D49" s="34">
        <v>0</v>
      </c>
      <c r="E49" s="84">
        <v>1149356.09922972</v>
      </c>
      <c r="F49" s="35"/>
      <c r="G49" s="52" t="str">
        <f ca="1">IFERROR(OFFSET(INDIRECT($H$3 &amp; "!A98"), 18, 0), "")</f>
        <v>쎄타토큰</v>
      </c>
      <c r="H49" s="39">
        <f t="shared" ca="1" si="7"/>
        <v>977</v>
      </c>
      <c r="I49" s="70">
        <f t="shared" ca="1" si="8"/>
        <v>1.34854772E-2</v>
      </c>
      <c r="J49" s="79">
        <f t="shared" ca="1" si="13"/>
        <v>734300.19055414002</v>
      </c>
      <c r="K49" s="52" t="str">
        <f ca="1">IFERROR(OFFSET(INDIRECT($H$3 &amp; "!A44"), 18, 0), "")</f>
        <v>아이큐</v>
      </c>
      <c r="L49" s="39">
        <f t="shared" ca="1" si="9"/>
        <v>5.55</v>
      </c>
      <c r="M49" s="70">
        <f t="shared" ca="1" si="10"/>
        <v>-1.7985612E-3</v>
      </c>
      <c r="N49" s="79">
        <f t="shared" ca="1" si="14"/>
        <v>218847922.29938182</v>
      </c>
      <c r="O49" s="52" t="str">
        <f ca="1">IFERROR(OFFSET(INDIRECT($H$3 &amp; "!A71"), 18, 0), "")</f>
        <v>골렘</v>
      </c>
      <c r="P49" s="39">
        <f t="shared" ca="1" si="11"/>
        <v>234</v>
      </c>
      <c r="Q49" s="70">
        <f t="shared" ca="1" si="12"/>
        <v>0</v>
      </c>
      <c r="R49" s="79">
        <f t="shared" ca="1" si="15"/>
        <v>2476716.4409089601</v>
      </c>
    </row>
    <row r="50" spans="1:18" ht="17.25" thickBot="1">
      <c r="A50" s="40" t="s">
        <v>320</v>
      </c>
      <c r="B50" s="11" t="s">
        <v>321</v>
      </c>
      <c r="C50" s="86">
        <v>157</v>
      </c>
      <c r="D50" s="34">
        <v>0</v>
      </c>
      <c r="E50" s="84">
        <v>6865851.5718198204</v>
      </c>
      <c r="F50" s="35"/>
      <c r="G50" s="53" t="str">
        <f ca="1">IFERROR(OFFSET(INDIRECT($H$3 &amp; "!A98"), 19, 0), "")</f>
        <v>스텔라루멘</v>
      </c>
      <c r="H50" s="37">
        <f t="shared" ca="1" si="7"/>
        <v>96.1</v>
      </c>
      <c r="I50" s="72">
        <f t="shared" ca="1" si="8"/>
        <v>1.05152471E-2</v>
      </c>
      <c r="J50" s="80">
        <f t="shared" ca="1" si="13"/>
        <v>10241782.273307471</v>
      </c>
      <c r="K50" s="53" t="str">
        <f ca="1">IFERROR(OFFSET(INDIRECT($H$3 &amp; "!A44"), 19, 0), "")</f>
        <v>쎄타퓨엘</v>
      </c>
      <c r="L50" s="37">
        <f t="shared" ca="1" si="9"/>
        <v>41.4</v>
      </c>
      <c r="M50" s="72">
        <f t="shared" ca="1" si="10"/>
        <v>-2.4096386000000002E-3</v>
      </c>
      <c r="N50" s="80">
        <f t="shared" ca="1" si="14"/>
        <v>13364868.349234691</v>
      </c>
      <c r="O50" s="53" t="str">
        <f ca="1">IFERROR(OFFSET(INDIRECT($H$3 &amp; "!A71"), 19, 0), "")</f>
        <v>그로스톨코인</v>
      </c>
      <c r="P50" s="37">
        <f t="shared" ca="1" si="11"/>
        <v>411</v>
      </c>
      <c r="Q50" s="72">
        <f t="shared" ca="1" si="12"/>
        <v>0</v>
      </c>
      <c r="R50" s="80">
        <f t="shared" ca="1" si="15"/>
        <v>977388.65552757995</v>
      </c>
    </row>
    <row r="51" spans="1:18">
      <c r="A51" s="40" t="s">
        <v>166</v>
      </c>
      <c r="B51" s="11" t="s">
        <v>167</v>
      </c>
      <c r="C51" s="86">
        <v>161</v>
      </c>
      <c r="D51" s="34">
        <v>0</v>
      </c>
      <c r="E51" s="84">
        <v>2493484.51206746</v>
      </c>
      <c r="F51" s="35"/>
    </row>
    <row r="52" spans="1:18" ht="17.25" thickBot="1">
      <c r="A52" s="40" t="s">
        <v>212</v>
      </c>
      <c r="B52" s="11" t="s">
        <v>213</v>
      </c>
      <c r="C52" s="86">
        <v>411</v>
      </c>
      <c r="D52" s="34">
        <v>0</v>
      </c>
      <c r="E52" s="84">
        <v>1068554.82863984</v>
      </c>
      <c r="F52" s="35"/>
    </row>
    <row r="53" spans="1:18" ht="17.25" thickBot="1">
      <c r="A53" s="40" t="s">
        <v>154</v>
      </c>
      <c r="B53" s="11" t="s">
        <v>155</v>
      </c>
      <c r="C53" s="86">
        <v>24.8</v>
      </c>
      <c r="D53" s="34">
        <v>0</v>
      </c>
      <c r="E53" s="84">
        <v>6988729.7854043497</v>
      </c>
      <c r="F53" s="35"/>
      <c r="G53" s="157" t="s">
        <v>242</v>
      </c>
      <c r="H53" s="158"/>
      <c r="I53" s="158"/>
      <c r="J53" s="159"/>
      <c r="K53" s="157" t="s">
        <v>245</v>
      </c>
      <c r="L53" s="158"/>
      <c r="M53" s="158"/>
      <c r="N53" s="159"/>
      <c r="O53" s="157" t="s">
        <v>246</v>
      </c>
      <c r="P53" s="158"/>
      <c r="Q53" s="158"/>
      <c r="R53" s="159"/>
    </row>
    <row r="54" spans="1:18" ht="17.25" thickBot="1">
      <c r="A54" s="40" t="s">
        <v>222</v>
      </c>
      <c r="B54" s="11" t="s">
        <v>223</v>
      </c>
      <c r="C54" s="86">
        <v>191</v>
      </c>
      <c r="D54" s="34">
        <v>0</v>
      </c>
      <c r="E54" s="84">
        <v>1463603.4346994101</v>
      </c>
      <c r="F54" s="35"/>
      <c r="G54" s="194" t="s">
        <v>54</v>
      </c>
      <c r="H54" s="210">
        <f ca="1">NOW()</f>
        <v>44934.000288541669</v>
      </c>
      <c r="I54" s="211"/>
      <c r="J54" s="212"/>
      <c r="K54" s="209" t="s">
        <v>54</v>
      </c>
      <c r="L54" s="210">
        <f ca="1">NOW()</f>
        <v>44934.000288541669</v>
      </c>
      <c r="M54" s="211"/>
      <c r="N54" s="212"/>
      <c r="O54" s="209" t="s">
        <v>54</v>
      </c>
      <c r="P54" s="210">
        <f ca="1">NOW()</f>
        <v>44934.000288541669</v>
      </c>
      <c r="Q54" s="211"/>
      <c r="R54" s="212"/>
    </row>
    <row r="55" spans="1:18" ht="17.25" thickBot="1">
      <c r="A55" s="40" t="s">
        <v>139</v>
      </c>
      <c r="B55" s="11" t="s">
        <v>330</v>
      </c>
      <c r="C55" s="86">
        <v>267</v>
      </c>
      <c r="D55" s="34">
        <v>0</v>
      </c>
      <c r="E55" s="84">
        <v>2266976.9883439401</v>
      </c>
      <c r="F55" s="35"/>
      <c r="G55" s="202"/>
      <c r="H55" s="36" t="s">
        <v>57</v>
      </c>
      <c r="I55" s="36" t="s">
        <v>58</v>
      </c>
      <c r="J55" s="64" t="s">
        <v>251</v>
      </c>
      <c r="K55" s="202"/>
      <c r="L55" s="36" t="s">
        <v>57</v>
      </c>
      <c r="M55" s="36" t="s">
        <v>58</v>
      </c>
      <c r="N55" s="64" t="s">
        <v>251</v>
      </c>
      <c r="O55" s="202"/>
      <c r="P55" s="36" t="s">
        <v>57</v>
      </c>
      <c r="Q55" s="36" t="s">
        <v>58</v>
      </c>
      <c r="R55" s="64" t="s">
        <v>251</v>
      </c>
    </row>
    <row r="56" spans="1:18">
      <c r="A56" s="40" t="s">
        <v>55</v>
      </c>
      <c r="B56" s="11" t="s">
        <v>56</v>
      </c>
      <c r="C56" s="86">
        <v>37</v>
      </c>
      <c r="D56" s="34">
        <v>0</v>
      </c>
      <c r="E56" s="84">
        <v>6680827.6039143</v>
      </c>
      <c r="F56" s="35"/>
      <c r="G56" s="51" t="str">
        <f ca="1">IFERROR(OFFSET(INDIRECT($H$3 &amp; "!A179"), 0, 0), "")</f>
        <v>웨이브</v>
      </c>
      <c r="H56" s="38">
        <f t="shared" ref="H56:H65" ca="1" si="16">_xlfn.IFNA(VLOOKUP(G56, $B$2:$D$200, 2, FALSE), "")</f>
        <v>1780</v>
      </c>
      <c r="I56" s="69">
        <f t="shared" ref="I56:I65" ca="1" si="17">_xlfn.IFNA(VLOOKUP(G56, $B$2:$D$200, 3, FALSE), "")</f>
        <v>-8.3565459999999994E-3</v>
      </c>
      <c r="J56" s="78">
        <f ca="1">_xlfn.IFNA(VLOOKUP(G56, $B$2:$E$200, 4, FALSE), "")</f>
        <v>1135373.2395643</v>
      </c>
      <c r="K56" s="51" t="str">
        <f ca="1">IFERROR(OFFSET(INDIRECT($H$3 &amp; "!A125"), 0, 0), "")</f>
        <v>아이오에스티</v>
      </c>
      <c r="L56" s="38">
        <f t="shared" ref="L56:L75" ca="1" si="18">_xlfn.IFNA(VLOOKUP(K56, $B$2:$D$200, 2, FALSE), "")</f>
        <v>9.14</v>
      </c>
      <c r="M56" s="69">
        <f t="shared" ref="M56:M75" ca="1" si="19">_xlfn.IFNA(VLOOKUP(K56, $B$2:$D$200, 3, FALSE), "")</f>
        <v>-3.2715375999999999E-3</v>
      </c>
      <c r="N56" s="78">
        <f ca="1">_xlfn.IFNA(VLOOKUP(K56, $B$2:$E$200, 4, FALSE), "")</f>
        <v>51063671.707371578</v>
      </c>
      <c r="O56" s="51" t="str">
        <f ca="1">IFERROR(OFFSET(INDIRECT($H$3 &amp; "!A152"), 0, 0), "")</f>
        <v>메탈</v>
      </c>
      <c r="P56" s="38">
        <f t="shared" ref="P56:P75" ca="1" si="20">_xlfn.IFNA(VLOOKUP(O56, $B$2:$D$200, 2, FALSE), "")</f>
        <v>888</v>
      </c>
      <c r="Q56" s="69">
        <f t="shared" ref="Q56:Q75" ca="1" si="21">_xlfn.IFNA(VLOOKUP(O56, $B$2:$D$200, 3, FALSE), "")</f>
        <v>-2.2471909999999999E-3</v>
      </c>
      <c r="R56" s="78">
        <f ca="1">_xlfn.IFNA(VLOOKUP(O56, $B$2:$E$200, 4, FALSE), "")</f>
        <v>1688065.5972223701</v>
      </c>
    </row>
    <row r="57" spans="1:18">
      <c r="A57" s="40" t="s">
        <v>204</v>
      </c>
      <c r="B57" s="11" t="s">
        <v>205</v>
      </c>
      <c r="C57" s="86">
        <v>93.2</v>
      </c>
      <c r="D57" s="34">
        <v>-1.0718113999999999E-3</v>
      </c>
      <c r="E57" s="84">
        <v>55202148.585411362</v>
      </c>
      <c r="F57" s="35"/>
      <c r="G57" s="52" t="str">
        <f ca="1">IFERROR(OFFSET(INDIRECT($H$3 &amp; "!A179"), 1, 0), "")</f>
        <v>디카르고</v>
      </c>
      <c r="H57" s="39">
        <f t="shared" ca="1" si="16"/>
        <v>35.4</v>
      </c>
      <c r="I57" s="70">
        <f t="shared" ca="1" si="17"/>
        <v>-8.4033613000000004E-3</v>
      </c>
      <c r="J57" s="79">
        <f t="shared" ref="J57:J75" ca="1" si="22">_xlfn.IFNA(VLOOKUP(G57, $B$2:$E$200, 4, FALSE), "")</f>
        <v>177138721.42319247</v>
      </c>
      <c r="K57" s="52" t="str">
        <f ca="1">IFERROR(OFFSET(INDIRECT($H$3 &amp; "!A125"), 1, 0), "")</f>
        <v>저스트</v>
      </c>
      <c r="L57" s="39">
        <f t="shared" ca="1" si="18"/>
        <v>25.4</v>
      </c>
      <c r="M57" s="70">
        <f t="shared" ca="1" si="19"/>
        <v>-3.9215685999999996E-3</v>
      </c>
      <c r="N57" s="79">
        <f t="shared" ref="N57:N75" ca="1" si="23">_xlfn.IFNA(VLOOKUP(K57, $B$2:$E$200, 4, FALSE), "")</f>
        <v>14804276.62120058</v>
      </c>
      <c r="O57" s="52" t="str">
        <f ca="1">IFERROR(OFFSET(INDIRECT($H$3 &amp; "!A152"), 1, 0), "")</f>
        <v>던프로토콜</v>
      </c>
      <c r="P57" s="39">
        <f t="shared" ca="1" si="20"/>
        <v>711</v>
      </c>
      <c r="Q57" s="70">
        <f t="shared" ca="1" si="21"/>
        <v>-2.8050491E-3</v>
      </c>
      <c r="R57" s="79">
        <f t="shared" ref="R57:R75" ca="1" si="24">_xlfn.IFNA(VLOOKUP(O57, $B$2:$E$200, 4, FALSE), "")</f>
        <v>659726.63169953995</v>
      </c>
    </row>
    <row r="58" spans="1:18">
      <c r="A58" s="40" t="s">
        <v>252</v>
      </c>
      <c r="B58" s="11" t="s">
        <v>253</v>
      </c>
      <c r="C58" s="86">
        <v>91.8</v>
      </c>
      <c r="D58" s="34">
        <v>-1.0881393E-3</v>
      </c>
      <c r="E58" s="84">
        <v>145349896.92614654</v>
      </c>
      <c r="F58" s="35"/>
      <c r="G58" s="52" t="str">
        <f ca="1">IFERROR(OFFSET(INDIRECT($H$3 &amp; "!A179"), 2, 0), "")</f>
        <v>아르고</v>
      </c>
      <c r="H58" s="39">
        <f t="shared" ca="1" si="16"/>
        <v>114</v>
      </c>
      <c r="I58" s="70">
        <f t="shared" ca="1" si="17"/>
        <v>-8.6956522000000008E-3</v>
      </c>
      <c r="J58" s="79">
        <f t="shared" ca="1" si="22"/>
        <v>5662419.2093933197</v>
      </c>
      <c r="K58" s="52" t="str">
        <f ca="1">IFERROR(OFFSET(INDIRECT($H$3 &amp; "!A125"), 2, 0), "")</f>
        <v>모스코인</v>
      </c>
      <c r="L58" s="39">
        <f t="shared" ca="1" si="18"/>
        <v>71</v>
      </c>
      <c r="M58" s="70">
        <f t="shared" ca="1" si="19"/>
        <v>-4.2075736000000002E-3</v>
      </c>
      <c r="N58" s="79">
        <f t="shared" ca="1" si="23"/>
        <v>18607354.843427401</v>
      </c>
      <c r="O58" s="52" t="str">
        <f ca="1">IFERROR(OFFSET(INDIRECT($H$3 &amp; "!A152"), 2, 0), "")</f>
        <v>하이브</v>
      </c>
      <c r="P58" s="39">
        <f t="shared" ca="1" si="20"/>
        <v>342</v>
      </c>
      <c r="Q58" s="70">
        <f t="shared" ca="1" si="21"/>
        <v>-2.9154519000000002E-3</v>
      </c>
      <c r="R58" s="79">
        <f t="shared" ca="1" si="24"/>
        <v>1202233.9734195799</v>
      </c>
    </row>
    <row r="59" spans="1:18">
      <c r="A59" s="40" t="s">
        <v>90</v>
      </c>
      <c r="B59" s="11" t="s">
        <v>91</v>
      </c>
      <c r="C59" s="86">
        <v>17780</v>
      </c>
      <c r="D59" s="34">
        <v>-1.1235955E-3</v>
      </c>
      <c r="E59" s="84">
        <v>932507.23313941003</v>
      </c>
      <c r="F59" s="35"/>
      <c r="G59" s="52" t="str">
        <f ca="1">IFERROR(OFFSET(INDIRECT($H$3 &amp; "!A179"), 3, 0), "")</f>
        <v>누사이퍼</v>
      </c>
      <c r="H59" s="39">
        <f t="shared" ca="1" si="16"/>
        <v>109</v>
      </c>
      <c r="I59" s="70">
        <f t="shared" ca="1" si="17"/>
        <v>-9.0909091000000008E-3</v>
      </c>
      <c r="J59" s="79">
        <f t="shared" ca="1" si="22"/>
        <v>2701390.06464912</v>
      </c>
      <c r="K59" s="52" t="str">
        <f ca="1">IFERROR(OFFSET(INDIRECT($H$3 &amp; "!A125"), 3, 0), "")</f>
        <v>질리카</v>
      </c>
      <c r="L59" s="39">
        <f t="shared" ca="1" si="18"/>
        <v>22.1</v>
      </c>
      <c r="M59" s="70">
        <f t="shared" ca="1" si="19"/>
        <v>-4.5045045000000001E-3</v>
      </c>
      <c r="N59" s="79">
        <f t="shared" ca="1" si="23"/>
        <v>42930930.73416394</v>
      </c>
      <c r="O59" s="52" t="str">
        <f ca="1">IFERROR(OFFSET(INDIRECT($H$3 &amp; "!A152"), 3, 0), "")</f>
        <v>하이파이</v>
      </c>
      <c r="P59" s="39">
        <f t="shared" ca="1" si="20"/>
        <v>551</v>
      </c>
      <c r="Q59" s="70">
        <f t="shared" ca="1" si="21"/>
        <v>-3.6166365000000001E-3</v>
      </c>
      <c r="R59" s="79">
        <f t="shared" ca="1" si="24"/>
        <v>6351909.9817562802</v>
      </c>
    </row>
    <row r="60" spans="1:18">
      <c r="A60" s="40" t="s">
        <v>170</v>
      </c>
      <c r="B60" s="11" t="s">
        <v>350</v>
      </c>
      <c r="C60" s="86">
        <v>5.55</v>
      </c>
      <c r="D60" s="34">
        <v>-1.7985612E-3</v>
      </c>
      <c r="E60" s="84">
        <v>218847922.29938182</v>
      </c>
      <c r="F60" s="35"/>
      <c r="G60" s="52" t="str">
        <f ca="1">IFERROR(OFFSET(INDIRECT($H$3 &amp; "!A179"), 4, 0), "")</f>
        <v>비체인</v>
      </c>
      <c r="H60" s="39">
        <f t="shared" ca="1" si="16"/>
        <v>20.7</v>
      </c>
      <c r="I60" s="70">
        <f t="shared" ca="1" si="17"/>
        <v>-9.5693779999999999E-3</v>
      </c>
      <c r="J60" s="83">
        <f t="shared" ca="1" si="22"/>
        <v>43535416.98062627</v>
      </c>
      <c r="K60" s="54" t="str">
        <f ca="1">IFERROR(OFFSET(INDIRECT($H$3 &amp; "!A125"), 4, 0), "")</f>
        <v>썬더코어</v>
      </c>
      <c r="L60" s="44">
        <f t="shared" ca="1" si="18"/>
        <v>4.0199999999999996</v>
      </c>
      <c r="M60" s="71">
        <f t="shared" ca="1" si="19"/>
        <v>-4.9504950000000001E-3</v>
      </c>
      <c r="N60" s="83">
        <f t="shared" ca="1" si="23"/>
        <v>149011669.38110328</v>
      </c>
      <c r="O60" s="54" t="str">
        <f ca="1">IFERROR(OFFSET(INDIRECT($H$3 &amp; "!A152"), 4, 0), "")</f>
        <v>스트라티스</v>
      </c>
      <c r="P60" s="44">
        <f t="shared" ca="1" si="20"/>
        <v>512</v>
      </c>
      <c r="Q60" s="71">
        <f t="shared" ca="1" si="21"/>
        <v>-3.8910505999999998E-3</v>
      </c>
      <c r="R60" s="83">
        <f t="shared" ca="1" si="24"/>
        <v>1099416.97161364</v>
      </c>
    </row>
    <row r="61" spans="1:18">
      <c r="A61" s="40" t="s">
        <v>232</v>
      </c>
      <c r="B61" s="11" t="s">
        <v>233</v>
      </c>
      <c r="C61" s="86">
        <v>2730</v>
      </c>
      <c r="D61" s="34">
        <v>-1.8281536000000001E-3</v>
      </c>
      <c r="E61" s="84">
        <v>180595.05715969999</v>
      </c>
      <c r="F61" s="35"/>
      <c r="G61" s="56" t="str">
        <f ca="1">IFERROR(OFFSET(INDIRECT($H$3 &amp; "!A179"), 5, 0), "")</f>
        <v>쓰레스홀드</v>
      </c>
      <c r="H61" s="45">
        <f t="shared" ca="1" si="16"/>
        <v>20.6</v>
      </c>
      <c r="I61" s="73">
        <f t="shared" ca="1" si="17"/>
        <v>-9.6153846000000005E-3</v>
      </c>
      <c r="J61" s="89">
        <f t="shared" ca="1" si="22"/>
        <v>22526613.24500677</v>
      </c>
      <c r="K61" s="52" t="str">
        <f ca="1">IFERROR(OFFSET(INDIRECT($H$3 &amp; "!A125"), 5, 0), "")</f>
        <v>센티넬프로토콜</v>
      </c>
      <c r="L61" s="39">
        <f t="shared" ca="1" si="18"/>
        <v>60.1</v>
      </c>
      <c r="M61" s="70">
        <f t="shared" ca="1" si="19"/>
        <v>-4.9668873999999998E-3</v>
      </c>
      <c r="N61" s="89">
        <f t="shared" ca="1" si="23"/>
        <v>8508517.3315474298</v>
      </c>
      <c r="O61" s="52" t="str">
        <f ca="1">IFERROR(OFFSET(INDIRECT($H$3 &amp; "!A152"), 5, 0), "")</f>
        <v>온톨로지</v>
      </c>
      <c r="P61" s="39">
        <f t="shared" ca="1" si="20"/>
        <v>203</v>
      </c>
      <c r="Q61" s="70">
        <f t="shared" ca="1" si="21"/>
        <v>-4.9019607999999998E-3</v>
      </c>
      <c r="R61" s="89">
        <f t="shared" ca="1" si="24"/>
        <v>1519296.1147417901</v>
      </c>
    </row>
    <row r="62" spans="1:18">
      <c r="A62" s="40" t="s">
        <v>164</v>
      </c>
      <c r="B62" s="11" t="s">
        <v>165</v>
      </c>
      <c r="C62" s="86">
        <v>888</v>
      </c>
      <c r="D62" s="34">
        <v>-2.2471909999999999E-3</v>
      </c>
      <c r="E62" s="84">
        <v>1688065.5972223701</v>
      </c>
      <c r="F62" s="35"/>
      <c r="G62" s="52" t="str">
        <f ca="1">IFERROR(OFFSET(INDIRECT($H$3 &amp; "!A179"), 6, 0), "")</f>
        <v>코박토큰</v>
      </c>
      <c r="H62" s="39">
        <f t="shared" ca="1" si="16"/>
        <v>599</v>
      </c>
      <c r="I62" s="70">
        <f t="shared" ca="1" si="17"/>
        <v>-9.9173553999999994E-3</v>
      </c>
      <c r="J62" s="79">
        <f t="shared" ca="1" si="22"/>
        <v>936914.72862634005</v>
      </c>
      <c r="K62" s="52" t="str">
        <f ca="1">IFERROR(OFFSET(INDIRECT($H$3 &amp; "!A125"), 6, 0), "")</f>
        <v>엠블</v>
      </c>
      <c r="L62" s="39">
        <f t="shared" ca="1" si="18"/>
        <v>3.85</v>
      </c>
      <c r="M62" s="70">
        <f t="shared" ca="1" si="19"/>
        <v>-5.1679587000000001E-3</v>
      </c>
      <c r="N62" s="79">
        <f t="shared" ca="1" si="23"/>
        <v>84218117.747815356</v>
      </c>
      <c r="O62" s="52" t="str">
        <f ca="1">IFERROR(OFFSET(INDIRECT($H$3 &amp; "!A152"), 6, 0), "")</f>
        <v>제로엑스</v>
      </c>
      <c r="P62" s="39">
        <f t="shared" ca="1" si="20"/>
        <v>202</v>
      </c>
      <c r="Q62" s="70">
        <f t="shared" ca="1" si="21"/>
        <v>-4.9261084000000004E-3</v>
      </c>
      <c r="R62" s="79">
        <f t="shared" ca="1" si="24"/>
        <v>1129452.2055122999</v>
      </c>
    </row>
    <row r="63" spans="1:18">
      <c r="A63" s="40" t="s">
        <v>131</v>
      </c>
      <c r="B63" s="11" t="s">
        <v>132</v>
      </c>
      <c r="C63" s="86">
        <v>41.4</v>
      </c>
      <c r="D63" s="34">
        <v>-2.4096386000000002E-3</v>
      </c>
      <c r="E63" s="84">
        <v>13364868.349234691</v>
      </c>
      <c r="F63" s="35"/>
      <c r="G63" s="52" t="str">
        <f ca="1">IFERROR(OFFSET(INDIRECT($H$3 &amp; "!A179"), 7, 0), "")</f>
        <v>스트라이크</v>
      </c>
      <c r="H63" s="39">
        <f t="shared" ca="1" si="16"/>
        <v>11960</v>
      </c>
      <c r="I63" s="70">
        <f t="shared" ca="1" si="17"/>
        <v>-9.9337747999999997E-3</v>
      </c>
      <c r="J63" s="79">
        <f t="shared" ca="1" si="22"/>
        <v>95725.086745709996</v>
      </c>
      <c r="K63" s="52" t="str">
        <f ca="1">IFERROR(OFFSET(INDIRECT($H$3 &amp; "!A125"), 7, 0), "")</f>
        <v>쿼크체인</v>
      </c>
      <c r="L63" s="39">
        <f t="shared" ca="1" si="18"/>
        <v>9.6199999999999992</v>
      </c>
      <c r="M63" s="70">
        <f t="shared" ca="1" si="19"/>
        <v>-5.1706308000000001E-3</v>
      </c>
      <c r="N63" s="79">
        <f t="shared" ca="1" si="23"/>
        <v>37909391.18760784</v>
      </c>
      <c r="O63" s="52" t="str">
        <f ca="1">IFERROR(OFFSET(INDIRECT($H$3 &amp; "!A152"), 7, 0), "")</f>
        <v>아크</v>
      </c>
      <c r="P63" s="39">
        <f t="shared" ca="1" si="20"/>
        <v>305</v>
      </c>
      <c r="Q63" s="70">
        <f t="shared" ca="1" si="21"/>
        <v>-6.5146580000000004E-3</v>
      </c>
      <c r="R63" s="79">
        <f t="shared" ca="1" si="24"/>
        <v>2141900.62588481</v>
      </c>
    </row>
    <row r="64" spans="1:18">
      <c r="A64" s="40" t="s">
        <v>186</v>
      </c>
      <c r="B64" s="11" t="s">
        <v>187</v>
      </c>
      <c r="C64" s="86">
        <v>711</v>
      </c>
      <c r="D64" s="34">
        <v>-2.8050491E-3</v>
      </c>
      <c r="E64" s="84">
        <v>659726.63169953995</v>
      </c>
      <c r="F64" s="35"/>
      <c r="G64" s="52" t="str">
        <f ca="1">IFERROR(OFFSET(INDIRECT($H$3 &amp; "!A179"), 8, 0), "")</f>
        <v>트론</v>
      </c>
      <c r="H64" s="39">
        <f t="shared" ca="1" si="16"/>
        <v>66</v>
      </c>
      <c r="I64" s="70">
        <f t="shared" ca="1" si="17"/>
        <v>-1.0494752600000001E-2</v>
      </c>
      <c r="J64" s="79">
        <f t="shared" ca="1" si="22"/>
        <v>105966598.18515368</v>
      </c>
      <c r="K64" s="52" t="str">
        <f ca="1">IFERROR(OFFSET(INDIRECT($H$3 &amp; "!A125"), 8, 0), "")</f>
        <v>썸씽</v>
      </c>
      <c r="L64" s="39">
        <f t="shared" ca="1" si="18"/>
        <v>17.600000000000001</v>
      </c>
      <c r="M64" s="70">
        <f t="shared" ca="1" si="19"/>
        <v>-5.6497175E-3</v>
      </c>
      <c r="N64" s="79">
        <f t="shared" ca="1" si="23"/>
        <v>18918185.561411809</v>
      </c>
      <c r="O64" s="52" t="str">
        <f ca="1">IFERROR(OFFSET(INDIRECT($H$3 &amp; "!A152"), 8, 0), "")</f>
        <v>알파쿼크</v>
      </c>
      <c r="P64" s="39">
        <f t="shared" ca="1" si="20"/>
        <v>909</v>
      </c>
      <c r="Q64" s="70">
        <f t="shared" ca="1" si="21"/>
        <v>-6.5573769999999997E-3</v>
      </c>
      <c r="R64" s="79">
        <f t="shared" ca="1" si="24"/>
        <v>573163.31718200003</v>
      </c>
    </row>
    <row r="65" spans="1:18" ht="17.25" thickBot="1">
      <c r="A65" s="40" t="s">
        <v>218</v>
      </c>
      <c r="B65" s="11" t="s">
        <v>219</v>
      </c>
      <c r="C65" s="86">
        <v>342</v>
      </c>
      <c r="D65" s="34">
        <v>-2.9154519000000002E-3</v>
      </c>
      <c r="E65" s="84">
        <v>1202233.9734195799</v>
      </c>
      <c r="F65" s="35"/>
      <c r="G65" s="53" t="str">
        <f ca="1">IFERROR(OFFSET(INDIRECT($H$3 &amp; "!A179"), 9, 0), "")</f>
        <v>아이오타</v>
      </c>
      <c r="H65" s="37">
        <f t="shared" ca="1" si="16"/>
        <v>228</v>
      </c>
      <c r="I65" s="72">
        <f t="shared" ca="1" si="17"/>
        <v>-1.2987013E-2</v>
      </c>
      <c r="J65" s="80">
        <f t="shared" ca="1" si="22"/>
        <v>3827816.62999315</v>
      </c>
      <c r="K65" s="53" t="str">
        <f ca="1">IFERROR(OFFSET(INDIRECT($H$3 &amp; "!A125"), 9, 0), "")</f>
        <v>시빅</v>
      </c>
      <c r="L65" s="37">
        <f t="shared" ca="1" si="18"/>
        <v>98</v>
      </c>
      <c r="M65" s="72">
        <f t="shared" ca="1" si="19"/>
        <v>-6.0851927000000004E-3</v>
      </c>
      <c r="N65" s="80">
        <f t="shared" ca="1" si="23"/>
        <v>3504609.7010173998</v>
      </c>
      <c r="O65" s="53" t="str">
        <f ca="1">IFERROR(OFFSET(INDIRECT($H$3 &amp; "!A152"), 9, 0), "")</f>
        <v>헌트</v>
      </c>
      <c r="P65" s="37">
        <f t="shared" ca="1" si="20"/>
        <v>286</v>
      </c>
      <c r="Q65" s="72">
        <f t="shared" ca="1" si="21"/>
        <v>-6.9444444000000003E-3</v>
      </c>
      <c r="R65" s="80">
        <f t="shared" ca="1" si="24"/>
        <v>1144371.39406216</v>
      </c>
    </row>
    <row r="66" spans="1:18">
      <c r="A66" s="40" t="s">
        <v>72</v>
      </c>
      <c r="B66" s="11" t="s">
        <v>73</v>
      </c>
      <c r="C66" s="86">
        <v>12980</v>
      </c>
      <c r="D66" s="34">
        <v>-3.0721965999999999E-3</v>
      </c>
      <c r="E66" s="84">
        <v>186967.54909208999</v>
      </c>
      <c r="F66" s="35"/>
      <c r="G66" s="52" t="str">
        <f ca="1">IFERROR(OFFSET(INDIRECT($H$3 &amp; "!A179"), 10, 0), "")</f>
        <v>엘프</v>
      </c>
      <c r="H66" s="38">
        <f t="shared" ref="H66:H75" ca="1" si="25">_xlfn.IFNA(VLOOKUP(G66, $B$2:$D$200, 2, FALSE), "")</f>
        <v>212</v>
      </c>
      <c r="I66" s="69">
        <f t="shared" ref="I66:I75" ca="1" si="26">_xlfn.IFNA(VLOOKUP(G66, $B$2:$D$200, 3, FALSE), "")</f>
        <v>-1.39534884E-2</v>
      </c>
      <c r="J66" s="78">
        <f t="shared" ca="1" si="22"/>
        <v>12084497.000755711</v>
      </c>
      <c r="K66" s="51" t="str">
        <f ca="1">IFERROR(OFFSET(INDIRECT($H$3 &amp; "!A125"), 10, 0), "")</f>
        <v>스톰엑스</v>
      </c>
      <c r="L66" s="38">
        <f t="shared" ca="1" si="18"/>
        <v>4.82</v>
      </c>
      <c r="M66" s="69">
        <f t="shared" ca="1" si="19"/>
        <v>-6.1855670000000003E-3</v>
      </c>
      <c r="N66" s="78">
        <f t="shared" ca="1" si="23"/>
        <v>66787664.364010699</v>
      </c>
      <c r="O66" s="51" t="str">
        <f ca="1">IFERROR(OFFSET(INDIRECT($H$3 &amp; "!A152"), 10, 0), "")</f>
        <v>리스크</v>
      </c>
      <c r="P66" s="38">
        <f t="shared" ca="1" si="20"/>
        <v>911</v>
      </c>
      <c r="Q66" s="69">
        <f t="shared" ca="1" si="21"/>
        <v>-7.6252723000000003E-3</v>
      </c>
      <c r="R66" s="78">
        <f t="shared" ca="1" si="24"/>
        <v>733200.45894104999</v>
      </c>
    </row>
    <row r="67" spans="1:18">
      <c r="A67" s="40" t="s">
        <v>63</v>
      </c>
      <c r="B67" s="11" t="s">
        <v>64</v>
      </c>
      <c r="C67" s="86">
        <v>9.14</v>
      </c>
      <c r="D67" s="34">
        <v>-3.2715375999999999E-3</v>
      </c>
      <c r="E67" s="84">
        <v>51063671.707371578</v>
      </c>
      <c r="F67" s="35"/>
      <c r="G67" s="52" t="str">
        <f ca="1">IFERROR(OFFSET(INDIRECT($H$3 &amp; "!A179"), 11, 0), "")</f>
        <v>톤</v>
      </c>
      <c r="H67" s="39">
        <f t="shared" ca="1" si="25"/>
        <v>1400</v>
      </c>
      <c r="I67" s="70">
        <f t="shared" ca="1" si="26"/>
        <v>-1.4084507E-2</v>
      </c>
      <c r="J67" s="79">
        <f t="shared" ca="1" si="22"/>
        <v>406248.38966371998</v>
      </c>
      <c r="K67" s="52" t="str">
        <f ca="1">IFERROR(OFFSET(INDIRECT($H$3 &amp; "!A125"), 11, 0), "")</f>
        <v>메디블록</v>
      </c>
      <c r="L67" s="39">
        <f t="shared" ca="1" si="18"/>
        <v>15.3</v>
      </c>
      <c r="M67" s="70">
        <f t="shared" ca="1" si="19"/>
        <v>-6.4935065000000002E-3</v>
      </c>
      <c r="N67" s="79">
        <f t="shared" ca="1" si="23"/>
        <v>16386895.606581639</v>
      </c>
      <c r="O67" s="52" t="str">
        <f ca="1">IFERROR(OFFSET(INDIRECT($H$3 &amp; "!A152"), 11, 0), "")</f>
        <v>세럼</v>
      </c>
      <c r="P67" s="39">
        <f t="shared" ca="1" si="20"/>
        <v>251</v>
      </c>
      <c r="Q67" s="70">
        <f t="shared" ca="1" si="21"/>
        <v>-7.9051382999999996E-3</v>
      </c>
      <c r="R67" s="79">
        <f t="shared" ca="1" si="24"/>
        <v>8529553.04132827</v>
      </c>
    </row>
    <row r="68" spans="1:18">
      <c r="A68" s="40" t="s">
        <v>346</v>
      </c>
      <c r="B68" s="11" t="s">
        <v>347</v>
      </c>
      <c r="C68" s="86">
        <v>14920</v>
      </c>
      <c r="D68" s="34">
        <v>-3.3400133999999999E-3</v>
      </c>
      <c r="E68" s="84">
        <v>77672.126770410003</v>
      </c>
      <c r="F68" s="35"/>
      <c r="G68" s="52" t="str">
        <f ca="1">IFERROR(OFFSET(INDIRECT($H$3 &amp; "!A179"), 12, 0), "")</f>
        <v>에이다</v>
      </c>
      <c r="H68" s="39">
        <f t="shared" ca="1" si="25"/>
        <v>348</v>
      </c>
      <c r="I68" s="70">
        <f t="shared" ca="1" si="26"/>
        <v>-1.41643059E-2</v>
      </c>
      <c r="J68" s="79">
        <f t="shared" ca="1" si="22"/>
        <v>19533578.709691562</v>
      </c>
      <c r="K68" s="52" t="str">
        <f ca="1">IFERROR(OFFSET(INDIRECT($H$3 &amp; "!A125"), 12, 0), "")</f>
        <v>시아코인</v>
      </c>
      <c r="L68" s="39">
        <f t="shared" ca="1" si="18"/>
        <v>2.97</v>
      </c>
      <c r="M68" s="70">
        <f t="shared" ca="1" si="19"/>
        <v>-6.6889632000000001E-3</v>
      </c>
      <c r="N68" s="79">
        <f t="shared" ca="1" si="23"/>
        <v>114951266.1451896</v>
      </c>
      <c r="O68" s="52" t="str">
        <f ca="1">IFERROR(OFFSET(INDIRECT($H$3 &amp; "!A152"), 12, 0), "")</f>
        <v>아르고</v>
      </c>
      <c r="P68" s="39">
        <f t="shared" ca="1" si="20"/>
        <v>114</v>
      </c>
      <c r="Q68" s="70">
        <f t="shared" ca="1" si="21"/>
        <v>-8.6956522000000008E-3</v>
      </c>
      <c r="R68" s="79">
        <f t="shared" ca="1" si="24"/>
        <v>5662419.2093933197</v>
      </c>
    </row>
    <row r="69" spans="1:18">
      <c r="A69" s="40" t="s">
        <v>316</v>
      </c>
      <c r="B69" s="11" t="s">
        <v>317</v>
      </c>
      <c r="C69" s="86">
        <v>551</v>
      </c>
      <c r="D69" s="34">
        <v>-3.6166365000000001E-3</v>
      </c>
      <c r="E69" s="84">
        <v>6351909.9817562802</v>
      </c>
      <c r="F69" s="35"/>
      <c r="G69" s="52" t="str">
        <f ca="1">IFERROR(OFFSET(INDIRECT($H$3 &amp; "!A179"), 13, 0), "")</f>
        <v>칠리즈</v>
      </c>
      <c r="H69" s="39">
        <f t="shared" ca="1" si="25"/>
        <v>138</v>
      </c>
      <c r="I69" s="70">
        <f t="shared" ca="1" si="26"/>
        <v>-1.42857143E-2</v>
      </c>
      <c r="J69" s="79">
        <f t="shared" ca="1" si="22"/>
        <v>29596709.050883811</v>
      </c>
      <c r="K69" s="52" t="str">
        <f ca="1">IFERROR(OFFSET(INDIRECT($H$3 &amp; "!A125"), 13, 0), "")</f>
        <v>디카르고</v>
      </c>
      <c r="L69" s="39">
        <f t="shared" ca="1" si="18"/>
        <v>35.4</v>
      </c>
      <c r="M69" s="70">
        <f t="shared" ca="1" si="19"/>
        <v>-8.4033613000000004E-3</v>
      </c>
      <c r="N69" s="79">
        <f t="shared" ca="1" si="23"/>
        <v>177138721.42319247</v>
      </c>
      <c r="O69" s="52" t="str">
        <f ca="1">IFERROR(OFFSET(INDIRECT($H$3 &amp; "!A152"), 13, 0), "")</f>
        <v>누사이퍼</v>
      </c>
      <c r="P69" s="39">
        <f t="shared" ca="1" si="20"/>
        <v>109</v>
      </c>
      <c r="Q69" s="70">
        <f t="shared" ca="1" si="21"/>
        <v>-9.0909091000000008E-3</v>
      </c>
      <c r="R69" s="79">
        <f t="shared" ca="1" si="24"/>
        <v>2701390.06464912</v>
      </c>
    </row>
    <row r="70" spans="1:18">
      <c r="A70" s="40" t="s">
        <v>234</v>
      </c>
      <c r="B70" s="11" t="s">
        <v>235</v>
      </c>
      <c r="C70" s="86">
        <v>512</v>
      </c>
      <c r="D70" s="34">
        <v>-3.8910505999999998E-3</v>
      </c>
      <c r="E70" s="84">
        <v>1099416.97161364</v>
      </c>
      <c r="F70" s="35"/>
      <c r="G70" s="52" t="str">
        <f ca="1">IFERROR(OFFSET(INDIRECT($H$3 &amp; "!A179"), 14, 0), "")</f>
        <v>피르마체인</v>
      </c>
      <c r="H70" s="39">
        <f t="shared" ca="1" si="25"/>
        <v>49.3</v>
      </c>
      <c r="I70" s="70">
        <f t="shared" ca="1" si="26"/>
        <v>-1.5968063899999999E-2</v>
      </c>
      <c r="J70" s="83">
        <f t="shared" ca="1" si="22"/>
        <v>20350572.767610669</v>
      </c>
      <c r="K70" s="54" t="str">
        <f ca="1">IFERROR(OFFSET(INDIRECT($H$3 &amp; "!A125"), 14, 0), "")</f>
        <v>비체인</v>
      </c>
      <c r="L70" s="44">
        <f t="shared" ca="1" si="18"/>
        <v>20.7</v>
      </c>
      <c r="M70" s="71">
        <f t="shared" ca="1" si="19"/>
        <v>-9.5693779999999999E-3</v>
      </c>
      <c r="N70" s="83">
        <f t="shared" ca="1" si="23"/>
        <v>43535416.98062627</v>
      </c>
      <c r="O70" s="54" t="str">
        <f ca="1">IFERROR(OFFSET(INDIRECT($H$3 &amp; "!A152"), 14, 0), "")</f>
        <v>코박토큰</v>
      </c>
      <c r="P70" s="44">
        <f t="shared" ca="1" si="20"/>
        <v>599</v>
      </c>
      <c r="Q70" s="71">
        <f t="shared" ca="1" si="21"/>
        <v>-9.9173553999999994E-3</v>
      </c>
      <c r="R70" s="83">
        <f t="shared" ca="1" si="24"/>
        <v>936914.72862634005</v>
      </c>
    </row>
    <row r="71" spans="1:18">
      <c r="A71" s="40" t="s">
        <v>236</v>
      </c>
      <c r="B71" s="11" t="s">
        <v>237</v>
      </c>
      <c r="C71" s="86">
        <v>25.4</v>
      </c>
      <c r="D71" s="34">
        <v>-3.9215685999999996E-3</v>
      </c>
      <c r="E71" s="84">
        <v>14804276.62120058</v>
      </c>
      <c r="F71" s="35"/>
      <c r="G71" s="56" t="str">
        <f ca="1">IFERROR(OFFSET(INDIRECT($H$3 &amp; "!A179"), 15, 0), "")</f>
        <v>셀로</v>
      </c>
      <c r="H71" s="45">
        <f t="shared" ca="1" si="25"/>
        <v>651</v>
      </c>
      <c r="I71" s="73">
        <f t="shared" ca="1" si="26"/>
        <v>-1.6616314199999999E-2</v>
      </c>
      <c r="J71" s="89">
        <f t="shared" ca="1" si="22"/>
        <v>3136536.5944347898</v>
      </c>
      <c r="K71" s="52" t="str">
        <f ca="1">IFERROR(OFFSET(INDIRECT($H$3 &amp; "!A125"), 15, 0), "")</f>
        <v>쓰레스홀드</v>
      </c>
      <c r="L71" s="39">
        <f t="shared" ca="1" si="18"/>
        <v>20.6</v>
      </c>
      <c r="M71" s="70">
        <f t="shared" ca="1" si="19"/>
        <v>-9.6153846000000005E-3</v>
      </c>
      <c r="N71" s="89">
        <f t="shared" ca="1" si="23"/>
        <v>22526613.24500677</v>
      </c>
      <c r="O71" s="52" t="str">
        <f ca="1">IFERROR(OFFSET(INDIRECT($H$3 &amp; "!A152"), 15, 0), "")</f>
        <v>아이오타</v>
      </c>
      <c r="P71" s="39">
        <f t="shared" ca="1" si="20"/>
        <v>228</v>
      </c>
      <c r="Q71" s="70">
        <f t="shared" ca="1" si="21"/>
        <v>-1.2987013E-2</v>
      </c>
      <c r="R71" s="89">
        <f t="shared" ca="1" si="24"/>
        <v>3827816.62999315</v>
      </c>
    </row>
    <row r="72" spans="1:18">
      <c r="A72" s="40" t="s">
        <v>127</v>
      </c>
      <c r="B72" s="11" t="s">
        <v>128</v>
      </c>
      <c r="C72" s="86">
        <v>5925</v>
      </c>
      <c r="D72" s="34">
        <v>-4.2016807E-3</v>
      </c>
      <c r="E72" s="84">
        <v>146834.37074648999</v>
      </c>
      <c r="F72" s="35"/>
      <c r="G72" s="52" t="str">
        <f ca="1">IFERROR(OFFSET(INDIRECT($H$3 &amp; "!A179"), 16, 0), "")</f>
        <v>니어프로토콜</v>
      </c>
      <c r="H72" s="39">
        <f t="shared" ca="1" si="25"/>
        <v>1985</v>
      </c>
      <c r="I72" s="70">
        <f t="shared" ca="1" si="26"/>
        <v>-1.73267327E-2</v>
      </c>
      <c r="J72" s="79">
        <f t="shared" ca="1" si="22"/>
        <v>1800729.87788549</v>
      </c>
      <c r="K72" s="52" t="str">
        <f ca="1">IFERROR(OFFSET(INDIRECT($H$3 &amp; "!A125"), 16, 0), "")</f>
        <v>트론</v>
      </c>
      <c r="L72" s="39">
        <f t="shared" ca="1" si="18"/>
        <v>66</v>
      </c>
      <c r="M72" s="70">
        <f t="shared" ca="1" si="19"/>
        <v>-1.0494752600000001E-2</v>
      </c>
      <c r="N72" s="79">
        <f t="shared" ca="1" si="23"/>
        <v>105966598.18515368</v>
      </c>
      <c r="O72" s="52" t="str">
        <f ca="1">IFERROR(OFFSET(INDIRECT($H$3 &amp; "!A152"), 16, 0), "")</f>
        <v>엘프</v>
      </c>
      <c r="P72" s="39">
        <f t="shared" ca="1" si="20"/>
        <v>212</v>
      </c>
      <c r="Q72" s="70">
        <f t="shared" ca="1" si="21"/>
        <v>-1.39534884E-2</v>
      </c>
      <c r="R72" s="79">
        <f t="shared" ca="1" si="24"/>
        <v>12084497.000755711</v>
      </c>
    </row>
    <row r="73" spans="1:18">
      <c r="A73" s="40" t="s">
        <v>208</v>
      </c>
      <c r="B73" s="11" t="s">
        <v>209</v>
      </c>
      <c r="C73" s="86">
        <v>71</v>
      </c>
      <c r="D73" s="34">
        <v>-4.2075736000000002E-3</v>
      </c>
      <c r="E73" s="84">
        <v>18607354.843427401</v>
      </c>
      <c r="F73" s="35"/>
      <c r="G73" s="52" t="str">
        <f ca="1">IFERROR(OFFSET(INDIRECT($H$3 &amp; "!A179"), 17, 0), "")</f>
        <v>솔라나</v>
      </c>
      <c r="H73" s="39">
        <f t="shared" ca="1" si="25"/>
        <v>16840</v>
      </c>
      <c r="I73" s="70">
        <f t="shared" ca="1" si="26"/>
        <v>-1.7502917199999999E-2</v>
      </c>
      <c r="J73" s="79">
        <f t="shared" ca="1" si="22"/>
        <v>1243890.9349342801</v>
      </c>
      <c r="K73" s="52" t="str">
        <f ca="1">IFERROR(OFFSET(INDIRECT($H$3 &amp; "!A125"), 17, 0), "")</f>
        <v>피르마체인</v>
      </c>
      <c r="L73" s="39">
        <f t="shared" ca="1" si="18"/>
        <v>49.3</v>
      </c>
      <c r="M73" s="70">
        <f t="shared" ca="1" si="19"/>
        <v>-1.5968063899999999E-2</v>
      </c>
      <c r="N73" s="79">
        <f t="shared" ca="1" si="23"/>
        <v>20350572.767610669</v>
      </c>
      <c r="O73" s="52" t="str">
        <f ca="1">IFERROR(OFFSET(INDIRECT($H$3 &amp; "!A152"), 17, 0), "")</f>
        <v>에이다</v>
      </c>
      <c r="P73" s="39">
        <f t="shared" ca="1" si="20"/>
        <v>348</v>
      </c>
      <c r="Q73" s="70">
        <f t="shared" ca="1" si="21"/>
        <v>-1.41643059E-2</v>
      </c>
      <c r="R73" s="79">
        <f t="shared" ca="1" si="24"/>
        <v>19533578.709691562</v>
      </c>
    </row>
    <row r="74" spans="1:18">
      <c r="A74" s="40" t="s">
        <v>112</v>
      </c>
      <c r="B74" s="11" t="s">
        <v>113</v>
      </c>
      <c r="C74" s="86">
        <v>1115</v>
      </c>
      <c r="D74" s="34">
        <v>-4.4642856999999999E-3</v>
      </c>
      <c r="E74" s="84">
        <v>2145037.81299373</v>
      </c>
      <c r="F74" s="35"/>
      <c r="G74" s="52" t="str">
        <f ca="1">IFERROR(OFFSET(INDIRECT($H$3 &amp; "!A179"), 18, 0), "")</f>
        <v>오브스</v>
      </c>
      <c r="H74" s="39">
        <f t="shared" ca="1" si="25"/>
        <v>27.8</v>
      </c>
      <c r="I74" s="70">
        <f t="shared" ca="1" si="26"/>
        <v>-1.7667844500000002E-2</v>
      </c>
      <c r="J74" s="79">
        <f t="shared" ca="1" si="22"/>
        <v>92604168.997828484</v>
      </c>
      <c r="K74" s="52" t="str">
        <f ca="1">IFERROR(OFFSET(INDIRECT($H$3 &amp; "!A125"), 18, 0), "")</f>
        <v>오브스</v>
      </c>
      <c r="L74" s="39">
        <f t="shared" ca="1" si="18"/>
        <v>27.8</v>
      </c>
      <c r="M74" s="70">
        <f t="shared" ca="1" si="19"/>
        <v>-1.7667844500000002E-2</v>
      </c>
      <c r="N74" s="79">
        <f t="shared" ca="1" si="23"/>
        <v>92604168.997828484</v>
      </c>
      <c r="O74" s="52" t="str">
        <f ca="1">IFERROR(OFFSET(INDIRECT($H$3 &amp; "!A152"), 18, 0), "")</f>
        <v>칠리즈</v>
      </c>
      <c r="P74" s="39">
        <f t="shared" ca="1" si="20"/>
        <v>138</v>
      </c>
      <c r="Q74" s="70">
        <f t="shared" ca="1" si="21"/>
        <v>-1.42857143E-2</v>
      </c>
      <c r="R74" s="79">
        <f t="shared" ca="1" si="24"/>
        <v>29596709.050883811</v>
      </c>
    </row>
    <row r="75" spans="1:18" ht="17.25" thickBot="1">
      <c r="A75" s="40" t="s">
        <v>125</v>
      </c>
      <c r="B75" s="11" t="s">
        <v>126</v>
      </c>
      <c r="C75" s="86">
        <v>22.1</v>
      </c>
      <c r="D75" s="34">
        <v>-4.5045045000000001E-3</v>
      </c>
      <c r="E75" s="84">
        <v>42930930.73416394</v>
      </c>
      <c r="F75" s="35"/>
      <c r="G75" s="53" t="str">
        <f ca="1">IFERROR(OFFSET(INDIRECT($H$3 &amp; "!A179"), 19, 0), "")</f>
        <v>이캐시</v>
      </c>
      <c r="H75" s="37">
        <f t="shared" ca="1" si="25"/>
        <v>3.09E-2</v>
      </c>
      <c r="I75" s="72">
        <f t="shared" ca="1" si="26"/>
        <v>-1.9047618999999998E-2</v>
      </c>
      <c r="J75" s="80">
        <f t="shared" ca="1" si="22"/>
        <v>141304205680.76846</v>
      </c>
      <c r="K75" s="53" t="str">
        <f ca="1">IFERROR(OFFSET(INDIRECT($H$3 &amp; "!A125"), 19, 0), "")</f>
        <v>이캐시</v>
      </c>
      <c r="L75" s="37">
        <f t="shared" ca="1" si="18"/>
        <v>3.09E-2</v>
      </c>
      <c r="M75" s="72">
        <f t="shared" ca="1" si="19"/>
        <v>-1.9047618999999998E-2</v>
      </c>
      <c r="N75" s="80">
        <f t="shared" ca="1" si="23"/>
        <v>141304205680.76846</v>
      </c>
      <c r="O75" s="53" t="str">
        <f ca="1">IFERROR(OFFSET(INDIRECT($H$3 &amp; "!A152"), 19, 0), "")</f>
        <v>셀로</v>
      </c>
      <c r="P75" s="37">
        <f t="shared" ca="1" si="20"/>
        <v>651</v>
      </c>
      <c r="Q75" s="72">
        <f t="shared" ca="1" si="21"/>
        <v>-1.6616314199999999E-2</v>
      </c>
      <c r="R75" s="80">
        <f t="shared" ca="1" si="24"/>
        <v>3136536.5944347898</v>
      </c>
    </row>
    <row r="76" spans="1:18">
      <c r="A76" s="40" t="s">
        <v>100</v>
      </c>
      <c r="B76" s="11" t="s">
        <v>101</v>
      </c>
      <c r="C76" s="86">
        <v>203</v>
      </c>
      <c r="D76" s="34">
        <v>-4.9019607999999998E-3</v>
      </c>
      <c r="E76" s="84">
        <v>1519296.1147417901</v>
      </c>
      <c r="F76" s="35"/>
      <c r="G76" s="35"/>
      <c r="H76" s="35"/>
      <c r="I76" s="35"/>
    </row>
    <row r="77" spans="1:18">
      <c r="A77" s="40" t="s">
        <v>102</v>
      </c>
      <c r="B77" s="11" t="s">
        <v>103</v>
      </c>
      <c r="C77" s="86">
        <v>202</v>
      </c>
      <c r="D77" s="34">
        <v>-4.9261084000000004E-3</v>
      </c>
      <c r="E77" s="84">
        <v>1129452.2055122999</v>
      </c>
      <c r="F77" s="35"/>
      <c r="G77" s="35"/>
      <c r="H77" s="35"/>
      <c r="I77" s="35"/>
    </row>
    <row r="78" spans="1:18">
      <c r="A78" s="40" t="s">
        <v>179</v>
      </c>
      <c r="B78" s="11" t="s">
        <v>333</v>
      </c>
      <c r="C78" s="86">
        <v>4.0199999999999996</v>
      </c>
      <c r="D78" s="34">
        <v>-4.9504950000000001E-3</v>
      </c>
      <c r="E78" s="84">
        <v>149011669.38110328</v>
      </c>
      <c r="F78" s="35"/>
      <c r="G78" s="35"/>
      <c r="H78" s="35"/>
      <c r="I78" s="35"/>
    </row>
    <row r="79" spans="1:18">
      <c r="A79" s="40" t="s">
        <v>206</v>
      </c>
      <c r="B79" s="11" t="s">
        <v>207</v>
      </c>
      <c r="C79" s="86">
        <v>60.1</v>
      </c>
      <c r="D79" s="34">
        <v>-4.9668873999999998E-3</v>
      </c>
      <c r="E79" s="84">
        <v>8508517.3315474298</v>
      </c>
      <c r="F79" s="35"/>
      <c r="G79" s="35"/>
      <c r="H79" s="35"/>
      <c r="I79" s="35"/>
    </row>
    <row r="80" spans="1:18">
      <c r="A80" s="40" t="s">
        <v>180</v>
      </c>
      <c r="B80" s="11" t="s">
        <v>181</v>
      </c>
      <c r="C80" s="86">
        <v>3.85</v>
      </c>
      <c r="D80" s="34">
        <v>-5.1679587000000001E-3</v>
      </c>
      <c r="E80" s="84">
        <v>84218117.747815356</v>
      </c>
      <c r="F80" s="35"/>
      <c r="G80" s="35"/>
      <c r="H80" s="35"/>
      <c r="I80" s="35"/>
    </row>
    <row r="81" spans="1:9">
      <c r="A81" s="40" t="s">
        <v>70</v>
      </c>
      <c r="B81" s="11" t="s">
        <v>71</v>
      </c>
      <c r="C81" s="86">
        <v>9.6199999999999992</v>
      </c>
      <c r="D81" s="34">
        <v>-5.1706308000000001E-3</v>
      </c>
      <c r="E81" s="84">
        <v>37909391.18760784</v>
      </c>
      <c r="F81" s="35"/>
      <c r="G81" s="35"/>
      <c r="H81" s="35"/>
      <c r="I81" s="35"/>
    </row>
    <row r="82" spans="1:9">
      <c r="A82" s="40" t="s">
        <v>162</v>
      </c>
      <c r="B82" s="11" t="s">
        <v>163</v>
      </c>
      <c r="C82" s="86">
        <v>5495</v>
      </c>
      <c r="D82" s="34">
        <v>-5.4298643000000001E-3</v>
      </c>
      <c r="E82" s="84">
        <v>90487.091523349998</v>
      </c>
      <c r="F82" s="35"/>
      <c r="G82" s="35"/>
      <c r="H82" s="35"/>
      <c r="I82" s="35"/>
    </row>
    <row r="83" spans="1:9">
      <c r="A83" s="40" t="s">
        <v>220</v>
      </c>
      <c r="B83" s="11" t="s">
        <v>221</v>
      </c>
      <c r="C83" s="86">
        <v>17.600000000000001</v>
      </c>
      <c r="D83" s="34">
        <v>-5.6497175E-3</v>
      </c>
      <c r="E83" s="84">
        <v>18918185.561411809</v>
      </c>
      <c r="F83" s="35"/>
      <c r="G83" s="35"/>
      <c r="H83" s="35"/>
      <c r="I83" s="35"/>
    </row>
    <row r="84" spans="1:9">
      <c r="A84" s="40" t="s">
        <v>98</v>
      </c>
      <c r="B84" s="11" t="s">
        <v>99</v>
      </c>
      <c r="C84" s="86">
        <v>25810</v>
      </c>
      <c r="D84" s="34">
        <v>-5.7781202000000004E-3</v>
      </c>
      <c r="E84" s="84">
        <v>3238928.9346809802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86">
        <v>98</v>
      </c>
      <c r="D85" s="34">
        <v>-6.0851927000000004E-3</v>
      </c>
      <c r="E85" s="84">
        <v>3504609.7010173998</v>
      </c>
      <c r="F85" s="35"/>
      <c r="G85" s="35"/>
      <c r="H85" s="35"/>
      <c r="I85" s="35"/>
    </row>
    <row r="86" spans="1:9">
      <c r="A86" s="40" t="s">
        <v>117</v>
      </c>
      <c r="B86" s="11" t="s">
        <v>118</v>
      </c>
      <c r="C86" s="86">
        <v>4.82</v>
      </c>
      <c r="D86" s="34">
        <v>-6.1855670000000003E-3</v>
      </c>
      <c r="E86" s="84">
        <v>66787664.364010699</v>
      </c>
      <c r="F86" s="35"/>
      <c r="G86" s="35"/>
      <c r="H86" s="35"/>
      <c r="I86" s="35"/>
    </row>
    <row r="87" spans="1:9">
      <c r="A87" s="40" t="s">
        <v>192</v>
      </c>
      <c r="B87" s="11" t="s">
        <v>193</v>
      </c>
      <c r="C87" s="86">
        <v>15.3</v>
      </c>
      <c r="D87" s="34">
        <v>-6.4935065000000002E-3</v>
      </c>
      <c r="E87" s="84">
        <v>16386895.606581639</v>
      </c>
      <c r="F87" s="35"/>
      <c r="G87" s="35"/>
      <c r="H87" s="35"/>
      <c r="I87" s="35"/>
    </row>
    <row r="88" spans="1:9">
      <c r="A88" s="40" t="s">
        <v>230</v>
      </c>
      <c r="B88" s="11" t="s">
        <v>231</v>
      </c>
      <c r="C88" s="86">
        <v>305</v>
      </c>
      <c r="D88" s="34">
        <v>-6.5146580000000004E-3</v>
      </c>
      <c r="E88" s="84">
        <v>2141900.62588481</v>
      </c>
      <c r="F88" s="35"/>
      <c r="G88" s="35"/>
      <c r="H88" s="35"/>
      <c r="I88" s="35"/>
    </row>
    <row r="89" spans="1:9">
      <c r="A89" s="40" t="s">
        <v>115</v>
      </c>
      <c r="B89" s="11" t="s">
        <v>116</v>
      </c>
      <c r="C89" s="86">
        <v>909</v>
      </c>
      <c r="D89" s="34">
        <v>-6.5573769999999997E-3</v>
      </c>
      <c r="E89" s="84">
        <v>573163.31718200003</v>
      </c>
      <c r="F89" s="35"/>
      <c r="G89" s="35"/>
      <c r="H89" s="35"/>
      <c r="I89" s="35"/>
    </row>
    <row r="90" spans="1:9">
      <c r="A90" s="40" t="s">
        <v>140</v>
      </c>
      <c r="B90" s="11" t="s">
        <v>141</v>
      </c>
      <c r="C90" s="86">
        <v>2.97</v>
      </c>
      <c r="D90" s="34">
        <v>-6.6889632000000001E-3</v>
      </c>
      <c r="E90" s="84">
        <v>114951266.1451896</v>
      </c>
      <c r="F90" s="35"/>
      <c r="G90" s="35"/>
      <c r="H90" s="35"/>
      <c r="I90" s="35"/>
    </row>
    <row r="91" spans="1:9">
      <c r="A91" s="40" t="s">
        <v>214</v>
      </c>
      <c r="B91" s="11" t="s">
        <v>215</v>
      </c>
      <c r="C91" s="86">
        <v>286</v>
      </c>
      <c r="D91" s="34">
        <v>-6.9444444000000003E-3</v>
      </c>
      <c r="E91" s="84">
        <v>1144371.39406216</v>
      </c>
      <c r="F91" s="35"/>
      <c r="G91" s="35"/>
      <c r="H91" s="35"/>
      <c r="I91" s="35"/>
    </row>
    <row r="92" spans="1:9">
      <c r="A92" s="40" t="s">
        <v>327</v>
      </c>
      <c r="B92" s="11" t="s">
        <v>328</v>
      </c>
      <c r="C92" s="86">
        <v>4855</v>
      </c>
      <c r="D92" s="34">
        <v>-7.1574641999999997E-3</v>
      </c>
      <c r="E92" s="84">
        <v>519096.13629754999</v>
      </c>
      <c r="F92" s="35"/>
      <c r="G92" s="35"/>
      <c r="H92" s="35"/>
      <c r="I92" s="35"/>
    </row>
    <row r="93" spans="1:9">
      <c r="A93" s="40" t="s">
        <v>210</v>
      </c>
      <c r="B93" s="11" t="s">
        <v>211</v>
      </c>
      <c r="C93" s="86">
        <v>911</v>
      </c>
      <c r="D93" s="34">
        <v>-7.6252723000000003E-3</v>
      </c>
      <c r="E93" s="84">
        <v>733200.45894104999</v>
      </c>
      <c r="F93" s="35"/>
      <c r="G93" s="35"/>
      <c r="H93" s="35"/>
      <c r="I93" s="35"/>
    </row>
    <row r="94" spans="1:9">
      <c r="A94" s="40" t="s">
        <v>67</v>
      </c>
      <c r="B94" s="11" t="s">
        <v>68</v>
      </c>
      <c r="C94" s="86">
        <v>251</v>
      </c>
      <c r="D94" s="34">
        <v>-7.9051382999999996E-3</v>
      </c>
      <c r="E94" s="84">
        <v>8529553.04132827</v>
      </c>
      <c r="F94" s="35"/>
      <c r="G94" s="35"/>
      <c r="H94" s="35"/>
      <c r="I94" s="35"/>
    </row>
    <row r="95" spans="1:9">
      <c r="A95" s="40" t="s">
        <v>150</v>
      </c>
      <c r="B95" s="11" t="s">
        <v>151</v>
      </c>
      <c r="C95" s="86">
        <v>1780</v>
      </c>
      <c r="D95" s="34">
        <v>-8.3565459999999994E-3</v>
      </c>
      <c r="E95" s="84">
        <v>1135373.2395643</v>
      </c>
      <c r="F95" s="35"/>
      <c r="G95" s="35"/>
      <c r="H95" s="35"/>
      <c r="I95" s="35"/>
    </row>
    <row r="96" spans="1:9">
      <c r="A96" s="40" t="s">
        <v>106</v>
      </c>
      <c r="B96" s="11" t="s">
        <v>107</v>
      </c>
      <c r="C96" s="86">
        <v>35.4</v>
      </c>
      <c r="D96" s="34">
        <v>-8.4033613000000004E-3</v>
      </c>
      <c r="E96" s="84">
        <v>177138721.42319247</v>
      </c>
      <c r="F96" s="35"/>
      <c r="G96" s="35"/>
      <c r="H96" s="35"/>
      <c r="I96" s="35"/>
    </row>
    <row r="97" spans="1:9">
      <c r="A97" s="40" t="s">
        <v>182</v>
      </c>
      <c r="B97" s="11" t="s">
        <v>183</v>
      </c>
      <c r="C97" s="86">
        <v>114</v>
      </c>
      <c r="D97" s="34">
        <v>-8.6956522000000008E-3</v>
      </c>
      <c r="E97" s="84">
        <v>5662419.2093933197</v>
      </c>
      <c r="F97" s="35"/>
      <c r="G97" s="35"/>
      <c r="H97" s="35"/>
      <c r="I97" s="35"/>
    </row>
    <row r="98" spans="1:9">
      <c r="A98" s="40" t="s">
        <v>344</v>
      </c>
      <c r="B98" s="11" t="s">
        <v>345</v>
      </c>
      <c r="C98" s="86">
        <v>109</v>
      </c>
      <c r="D98" s="34">
        <v>-9.0909091000000008E-3</v>
      </c>
      <c r="E98" s="84">
        <v>2701390.06464912</v>
      </c>
      <c r="F98" s="35"/>
      <c r="G98" s="35"/>
      <c r="H98" s="35"/>
      <c r="I98" s="35"/>
    </row>
    <row r="99" spans="1:9">
      <c r="A99" s="40" t="s">
        <v>121</v>
      </c>
      <c r="B99" s="11" t="s">
        <v>122</v>
      </c>
      <c r="C99" s="86">
        <v>20.7</v>
      </c>
      <c r="D99" s="34">
        <v>-9.5693779999999999E-3</v>
      </c>
      <c r="E99" s="84">
        <v>43535416.98062627</v>
      </c>
      <c r="F99" s="35"/>
      <c r="G99" s="35"/>
      <c r="H99" s="35"/>
      <c r="I99" s="35"/>
    </row>
    <row r="100" spans="1:9">
      <c r="A100" s="40" t="s">
        <v>348</v>
      </c>
      <c r="B100" s="11" t="s">
        <v>349</v>
      </c>
      <c r="C100" s="86">
        <v>20.6</v>
      </c>
      <c r="D100" s="34">
        <v>-9.6153846000000005E-3</v>
      </c>
      <c r="E100" s="84">
        <v>22526613.24500677</v>
      </c>
      <c r="F100" s="35"/>
      <c r="G100" s="35"/>
      <c r="H100" s="35"/>
      <c r="I100" s="35"/>
    </row>
    <row r="101" spans="1:9">
      <c r="A101" s="40" t="s">
        <v>65</v>
      </c>
      <c r="B101" s="11" t="s">
        <v>66</v>
      </c>
      <c r="C101" s="86">
        <v>599</v>
      </c>
      <c r="D101" s="34">
        <v>-9.9173553999999994E-3</v>
      </c>
      <c r="E101" s="84">
        <v>936914.72862634005</v>
      </c>
      <c r="F101" s="35"/>
      <c r="G101" s="35"/>
      <c r="H101" s="35"/>
      <c r="I101" s="35"/>
    </row>
    <row r="102" spans="1:9">
      <c r="A102" s="40" t="s">
        <v>173</v>
      </c>
      <c r="B102" s="11" t="s">
        <v>174</v>
      </c>
      <c r="C102" s="86">
        <v>11960</v>
      </c>
      <c r="D102" s="34">
        <v>-9.9337747999999997E-3</v>
      </c>
      <c r="E102" s="84">
        <v>95725.086745709996</v>
      </c>
      <c r="F102" s="35"/>
      <c r="G102" s="35"/>
      <c r="H102" s="35"/>
      <c r="I102" s="35"/>
    </row>
    <row r="103" spans="1:9">
      <c r="A103" s="40" t="s">
        <v>144</v>
      </c>
      <c r="B103" s="11" t="s">
        <v>145</v>
      </c>
      <c r="C103" s="86">
        <v>66</v>
      </c>
      <c r="D103" s="34">
        <v>-1.0494752600000001E-2</v>
      </c>
      <c r="E103" s="84">
        <v>105966598.18515368</v>
      </c>
      <c r="F103" s="35"/>
      <c r="G103" s="35"/>
      <c r="H103" s="35"/>
      <c r="I103" s="35"/>
    </row>
    <row r="104" spans="1:9">
      <c r="A104" s="40" t="s">
        <v>168</v>
      </c>
      <c r="B104" s="11" t="s">
        <v>169</v>
      </c>
      <c r="C104" s="86">
        <v>228</v>
      </c>
      <c r="D104" s="34">
        <v>-1.2987013E-2</v>
      </c>
      <c r="E104" s="84">
        <v>3827816.62999315</v>
      </c>
      <c r="F104" s="35"/>
      <c r="G104" s="35"/>
      <c r="H104" s="35"/>
      <c r="I104" s="35"/>
    </row>
    <row r="105" spans="1:9">
      <c r="A105" s="40" t="s">
        <v>156</v>
      </c>
      <c r="B105" s="11" t="s">
        <v>157</v>
      </c>
      <c r="C105" s="86">
        <v>212</v>
      </c>
      <c r="D105" s="34">
        <v>-1.39534884E-2</v>
      </c>
      <c r="E105" s="84">
        <v>12084497.000755711</v>
      </c>
      <c r="F105" s="35"/>
      <c r="G105" s="35"/>
      <c r="H105" s="35"/>
      <c r="I105" s="35"/>
    </row>
    <row r="106" spans="1:9">
      <c r="A106" s="40" t="s">
        <v>177</v>
      </c>
      <c r="B106" s="11" t="s">
        <v>178</v>
      </c>
      <c r="C106" s="86">
        <v>1400</v>
      </c>
      <c r="D106" s="34">
        <v>-1.4084507E-2</v>
      </c>
      <c r="E106" s="84">
        <v>406248.38966371998</v>
      </c>
      <c r="F106" s="35"/>
      <c r="G106" s="35"/>
      <c r="H106" s="35"/>
      <c r="I106" s="35"/>
    </row>
    <row r="107" spans="1:9">
      <c r="A107" s="40" t="s">
        <v>80</v>
      </c>
      <c r="B107" s="11" t="s">
        <v>81</v>
      </c>
      <c r="C107" s="86">
        <v>348</v>
      </c>
      <c r="D107" s="34">
        <v>-1.41643059E-2</v>
      </c>
      <c r="E107" s="84">
        <v>19533578.709691562</v>
      </c>
      <c r="F107" s="35"/>
      <c r="G107" s="35"/>
      <c r="H107" s="35"/>
      <c r="I107" s="35"/>
    </row>
    <row r="108" spans="1:9">
      <c r="A108" s="40" t="s">
        <v>84</v>
      </c>
      <c r="B108" s="11" t="s">
        <v>85</v>
      </c>
      <c r="C108" s="86">
        <v>138</v>
      </c>
      <c r="D108" s="34">
        <v>-1.42857143E-2</v>
      </c>
      <c r="E108" s="84">
        <v>29596709.050883811</v>
      </c>
      <c r="F108" s="35"/>
      <c r="G108" s="35"/>
      <c r="H108" s="35"/>
      <c r="I108" s="35"/>
    </row>
    <row r="109" spans="1:9">
      <c r="A109" s="40" t="s">
        <v>190</v>
      </c>
      <c r="B109" s="11" t="s">
        <v>191</v>
      </c>
      <c r="C109" s="86">
        <v>49.3</v>
      </c>
      <c r="D109" s="34">
        <v>-1.5968063899999999E-2</v>
      </c>
      <c r="E109" s="41">
        <v>20350572.767610669</v>
      </c>
    </row>
    <row r="110" spans="1:9">
      <c r="A110" s="40" t="s">
        <v>340</v>
      </c>
      <c r="B110" s="11" t="s">
        <v>341</v>
      </c>
      <c r="C110" s="86">
        <v>651</v>
      </c>
      <c r="D110" s="34">
        <v>-1.6616314199999999E-2</v>
      </c>
      <c r="E110" s="41">
        <v>3136536.5944347898</v>
      </c>
    </row>
    <row r="111" spans="1:9">
      <c r="A111" s="40" t="s">
        <v>334</v>
      </c>
      <c r="B111" s="11" t="s">
        <v>335</v>
      </c>
      <c r="C111" s="86">
        <v>1985</v>
      </c>
      <c r="D111" s="34">
        <v>-1.73267327E-2</v>
      </c>
      <c r="E111" s="41">
        <v>1800729.87788549</v>
      </c>
    </row>
    <row r="112" spans="1:9">
      <c r="A112" s="40" t="s">
        <v>342</v>
      </c>
      <c r="B112" s="11" t="s">
        <v>343</v>
      </c>
      <c r="C112" s="86">
        <v>16840</v>
      </c>
      <c r="D112" s="34">
        <v>-1.7502917199999999E-2</v>
      </c>
      <c r="E112" s="41">
        <v>1243890.9349342801</v>
      </c>
    </row>
    <row r="113" spans="1:5">
      <c r="A113" s="40" t="s">
        <v>123</v>
      </c>
      <c r="B113" s="11" t="s">
        <v>124</v>
      </c>
      <c r="C113" s="86">
        <v>27.8</v>
      </c>
      <c r="D113" s="34">
        <v>-1.7667844500000002E-2</v>
      </c>
      <c r="E113" s="41">
        <v>92604168.997828484</v>
      </c>
    </row>
    <row r="114" spans="1:5">
      <c r="A114" s="40" t="s">
        <v>322</v>
      </c>
      <c r="B114" s="11" t="s">
        <v>323</v>
      </c>
      <c r="C114" s="86">
        <v>3.09E-2</v>
      </c>
      <c r="D114" s="34">
        <v>-1.9047618999999998E-2</v>
      </c>
      <c r="E114" s="41">
        <v>141304205680.76846</v>
      </c>
    </row>
    <row r="115" spans="1:5">
      <c r="A115" s="40"/>
      <c r="B115" s="11"/>
      <c r="C115" s="86"/>
      <c r="E115" s="41"/>
    </row>
    <row r="116" spans="1:5">
      <c r="A116" s="40"/>
      <c r="B116" s="11"/>
      <c r="C116" s="86"/>
      <c r="E116" s="41"/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B199" s="1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68"/>
    <col min="11" max="11" width="17.375" customWidth="1"/>
    <col min="12" max="12" width="17.5" bestFit="1" customWidth="1"/>
    <col min="14" max="14" width="9" style="68"/>
    <col min="15" max="15" width="17.375" customWidth="1"/>
    <col min="16" max="16" width="17.5" bestFit="1" customWidth="1"/>
    <col min="18" max="18" width="9" style="68"/>
  </cols>
  <sheetData>
    <row r="1" spans="1:18" ht="17.25" thickBot="1">
      <c r="A1" s="9" t="s">
        <v>244</v>
      </c>
      <c r="B1" s="64" t="s">
        <v>39</v>
      </c>
      <c r="C1" s="63" t="s">
        <v>37</v>
      </c>
      <c r="D1" s="65" t="s">
        <v>38</v>
      </c>
      <c r="E1" s="64" t="s">
        <v>251</v>
      </c>
    </row>
    <row r="2" spans="1:18" ht="17.25" thickBot="1">
      <c r="A2" s="40" t="s">
        <v>59</v>
      </c>
      <c r="B2" s="11" t="s">
        <v>60</v>
      </c>
      <c r="C2" s="86">
        <v>446</v>
      </c>
      <c r="D2" s="34">
        <v>6.9544364499999997E-2</v>
      </c>
      <c r="E2" s="84">
        <v>42726604.94720491</v>
      </c>
      <c r="F2" s="35"/>
      <c r="G2" s="50"/>
      <c r="H2" s="35"/>
      <c r="I2" s="35"/>
    </row>
    <row r="3" spans="1:18" ht="17.25" thickBot="1">
      <c r="A3" s="40" t="s">
        <v>110</v>
      </c>
      <c r="B3" s="11" t="s">
        <v>111</v>
      </c>
      <c r="C3" s="86">
        <v>580</v>
      </c>
      <c r="D3" s="34">
        <v>5.8394160600000002E-2</v>
      </c>
      <c r="E3" s="84">
        <v>99001737.708957464</v>
      </c>
      <c r="F3" s="35"/>
      <c r="G3" s="201" t="s">
        <v>247</v>
      </c>
      <c r="H3" s="213" t="s">
        <v>351</v>
      </c>
      <c r="I3" s="213"/>
      <c r="K3" s="157" t="s">
        <v>34</v>
      </c>
      <c r="L3" s="158"/>
      <c r="M3" s="158"/>
      <c r="N3" s="159"/>
      <c r="O3" s="157" t="s">
        <v>248</v>
      </c>
      <c r="P3" s="158"/>
      <c r="Q3" s="158"/>
      <c r="R3" s="159"/>
    </row>
    <row r="4" spans="1:18" ht="17.25" thickBot="1">
      <c r="A4" s="40" t="s">
        <v>133</v>
      </c>
      <c r="B4" s="11" t="s">
        <v>134</v>
      </c>
      <c r="C4" s="86">
        <v>1395</v>
      </c>
      <c r="D4" s="34">
        <v>3.7174721199999997E-2</v>
      </c>
      <c r="E4" s="84">
        <v>2435540.7886467101</v>
      </c>
      <c r="F4" s="35"/>
      <c r="G4" s="202"/>
      <c r="H4" s="214"/>
      <c r="I4" s="214"/>
      <c r="K4" s="194" t="s">
        <v>54</v>
      </c>
      <c r="L4" s="210">
        <f ca="1">NOW()</f>
        <v>44934.000288541669</v>
      </c>
      <c r="M4" s="211"/>
      <c r="N4" s="212"/>
      <c r="O4" s="209" t="s">
        <v>54</v>
      </c>
      <c r="P4" s="210">
        <f ca="1">NOW()</f>
        <v>44934.000288541669</v>
      </c>
      <c r="Q4" s="211"/>
      <c r="R4" s="212"/>
    </row>
    <row r="5" spans="1:18" ht="17.25" thickBot="1">
      <c r="A5" s="40" t="s">
        <v>148</v>
      </c>
      <c r="B5" s="11" t="s">
        <v>149</v>
      </c>
      <c r="C5" s="86">
        <v>334</v>
      </c>
      <c r="D5" s="34">
        <v>2.7692307699999998E-2</v>
      </c>
      <c r="E5" s="84">
        <v>13716532.533533121</v>
      </c>
      <c r="F5" s="35"/>
      <c r="K5" s="202"/>
      <c r="L5" s="36" t="s">
        <v>57</v>
      </c>
      <c r="M5" s="36" t="s">
        <v>58</v>
      </c>
      <c r="N5" s="64" t="s">
        <v>251</v>
      </c>
      <c r="O5" s="180"/>
      <c r="P5" s="36" t="s">
        <v>57</v>
      </c>
      <c r="Q5" s="36" t="s">
        <v>58</v>
      </c>
      <c r="R5" s="64" t="s">
        <v>251</v>
      </c>
    </row>
    <row r="6" spans="1:18" ht="17.25" thickBot="1">
      <c r="A6" s="40" t="s">
        <v>318</v>
      </c>
      <c r="B6" s="11" t="s">
        <v>319</v>
      </c>
      <c r="C6" s="86">
        <v>337</v>
      </c>
      <c r="D6" s="34">
        <v>2.7439024400000001E-2</v>
      </c>
      <c r="E6" s="84">
        <v>11946178.267010169</v>
      </c>
      <c r="F6" s="35"/>
      <c r="G6" s="157" t="s">
        <v>52</v>
      </c>
      <c r="H6" s="158"/>
      <c r="I6" s="159"/>
      <c r="K6" s="51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69" t="str">
        <f t="shared" ref="M6:M25" ca="1" si="1">_xlfn.IFNA(VLOOKUP(K6, $B$2:$D$200, 3, FALSE), "")</f>
        <v/>
      </c>
      <c r="N6" s="78" t="str">
        <f ca="1">_xlfn.IFNA(VLOOKUP(K6, $B$2:$E$200, 4, FALSE), "")</f>
        <v/>
      </c>
      <c r="O6" s="66" t="s">
        <v>60</v>
      </c>
      <c r="P6" s="38">
        <f t="shared" ref="P6:P25" si="2">_xlfn.IFNA(VLOOKUP(O6, $B$2:$D$200, 2, FALSE), "")</f>
        <v>446</v>
      </c>
      <c r="Q6" s="69">
        <f t="shared" ref="Q6:Q25" si="3">_xlfn.IFNA(VLOOKUP(O6, $B$2:$D$200, 3, FALSE), "")</f>
        <v>6.9544364499999997E-2</v>
      </c>
      <c r="R6" s="78">
        <f>_xlfn.IFNA(VLOOKUP(O6, $B$2:$E$200, 4, FALSE), "")</f>
        <v>42726604.94720491</v>
      </c>
    </row>
    <row r="7" spans="1:18">
      <c r="A7" s="40" t="s">
        <v>325</v>
      </c>
      <c r="B7" s="11" t="s">
        <v>326</v>
      </c>
      <c r="C7" s="86">
        <v>245</v>
      </c>
      <c r="D7" s="34">
        <v>2.51046025E-2</v>
      </c>
      <c r="E7" s="84">
        <v>6166252.7912561903</v>
      </c>
      <c r="F7" s="35"/>
      <c r="G7" s="185" t="s">
        <v>36</v>
      </c>
      <c r="H7" s="186"/>
      <c r="I7" s="187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81" t="s">
        <v>111</v>
      </c>
      <c r="P7" s="39">
        <f t="shared" si="2"/>
        <v>580</v>
      </c>
      <c r="Q7" s="70">
        <f t="shared" si="3"/>
        <v>5.8394160600000002E-2</v>
      </c>
      <c r="R7" s="79">
        <f t="shared" ref="R7:R25" si="5">_xlfn.IFNA(VLOOKUP(O7, $B$2:$E$200, 4, FALSE), "")</f>
        <v>99001737.708957464</v>
      </c>
    </row>
    <row r="8" spans="1:18" ht="17.25" thickBot="1">
      <c r="A8" s="40" t="s">
        <v>200</v>
      </c>
      <c r="B8" s="11" t="s">
        <v>201</v>
      </c>
      <c r="C8" s="86">
        <v>185</v>
      </c>
      <c r="D8" s="34">
        <v>2.2099447500000001E-2</v>
      </c>
      <c r="E8" s="84">
        <v>28055917.359245289</v>
      </c>
      <c r="F8" s="35"/>
      <c r="G8" s="178"/>
      <c r="H8" s="179"/>
      <c r="I8" s="180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81" t="s">
        <v>134</v>
      </c>
      <c r="P8" s="39">
        <f t="shared" si="2"/>
        <v>1395</v>
      </c>
      <c r="Q8" s="70">
        <f t="shared" si="3"/>
        <v>3.7174721199999997E-2</v>
      </c>
      <c r="R8" s="79">
        <f t="shared" si="5"/>
        <v>2435540.7886467101</v>
      </c>
    </row>
    <row r="9" spans="1:18" ht="17.25" thickBot="1">
      <c r="A9" s="40" t="s">
        <v>146</v>
      </c>
      <c r="B9" s="11" t="s">
        <v>147</v>
      </c>
      <c r="C9" s="86">
        <v>8860</v>
      </c>
      <c r="D9" s="34">
        <v>2.1914648200000001E-2</v>
      </c>
      <c r="E9" s="84">
        <v>3322888.9361803201</v>
      </c>
      <c r="F9" s="35"/>
      <c r="G9" s="9" t="s">
        <v>38</v>
      </c>
      <c r="H9" s="158" t="s">
        <v>37</v>
      </c>
      <c r="I9" s="159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81" t="s">
        <v>149</v>
      </c>
      <c r="P9" s="39">
        <f t="shared" si="2"/>
        <v>334</v>
      </c>
      <c r="Q9" s="70">
        <f t="shared" si="3"/>
        <v>2.7692307699999998E-2</v>
      </c>
      <c r="R9" s="79">
        <f t="shared" si="5"/>
        <v>13716532.533533121</v>
      </c>
    </row>
    <row r="10" spans="1:18">
      <c r="A10" s="40" t="s">
        <v>216</v>
      </c>
      <c r="B10" s="11" t="s">
        <v>217</v>
      </c>
      <c r="C10" s="86">
        <v>56.9</v>
      </c>
      <c r="D10" s="34">
        <v>2.1543985599999999E-2</v>
      </c>
      <c r="E10" s="84">
        <v>38809893.454749987</v>
      </c>
      <c r="F10" s="35"/>
      <c r="G10" s="203">
        <f>_xlfn.IFNA(VLOOKUP(G7, $B$2:$D$200, 3, FALSE), "-")</f>
        <v>1.0224474E-3</v>
      </c>
      <c r="H10" s="205">
        <f>_xlfn.IFNA(VLOOKUP(G7, $B$2:$D$200, 2, FALSE), "-")</f>
        <v>21539000</v>
      </c>
      <c r="I10" s="206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81" t="s">
        <v>319</v>
      </c>
      <c r="P10" s="39">
        <f t="shared" si="2"/>
        <v>337</v>
      </c>
      <c r="Q10" s="70">
        <f t="shared" si="3"/>
        <v>2.7439024400000001E-2</v>
      </c>
      <c r="R10" s="83">
        <f t="shared" si="5"/>
        <v>11946178.267010169</v>
      </c>
    </row>
    <row r="11" spans="1:18" ht="17.25" thickBot="1">
      <c r="A11" s="40" t="s">
        <v>94</v>
      </c>
      <c r="B11" s="11" t="s">
        <v>95</v>
      </c>
      <c r="C11" s="86">
        <v>998</v>
      </c>
      <c r="D11" s="34">
        <v>1.9407558700000001E-2</v>
      </c>
      <c r="E11" s="84">
        <v>770167.54666719004</v>
      </c>
      <c r="F11" s="35"/>
      <c r="G11" s="204"/>
      <c r="H11" s="207"/>
      <c r="I11" s="208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82" t="s">
        <v>326</v>
      </c>
      <c r="P11" s="45">
        <f t="shared" si="2"/>
        <v>245</v>
      </c>
      <c r="Q11" s="73">
        <f t="shared" si="3"/>
        <v>2.51046025E-2</v>
      </c>
      <c r="R11" s="89">
        <f t="shared" si="5"/>
        <v>6166252.7912561903</v>
      </c>
    </row>
    <row r="12" spans="1:18" ht="17.25" thickBot="1">
      <c r="A12" s="40" t="s">
        <v>114</v>
      </c>
      <c r="B12" s="11" t="s">
        <v>324</v>
      </c>
      <c r="C12" s="86">
        <v>78.7</v>
      </c>
      <c r="D12" s="34">
        <v>1.8111254899999998E-2</v>
      </c>
      <c r="E12" s="84">
        <v>8069577.1284512402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81" t="s">
        <v>201</v>
      </c>
      <c r="P12" s="39">
        <f t="shared" si="2"/>
        <v>185</v>
      </c>
      <c r="Q12" s="70">
        <f t="shared" si="3"/>
        <v>2.2099447500000001E-2</v>
      </c>
      <c r="R12" s="79">
        <f t="shared" si="5"/>
        <v>28055917.359245289</v>
      </c>
    </row>
    <row r="13" spans="1:18" ht="17.25" thickBot="1">
      <c r="A13" s="40" t="s">
        <v>78</v>
      </c>
      <c r="B13" s="11" t="s">
        <v>79</v>
      </c>
      <c r="C13" s="86">
        <v>229</v>
      </c>
      <c r="D13" s="34">
        <v>1.7777777799999998E-2</v>
      </c>
      <c r="E13" s="84">
        <v>5288454.8189765699</v>
      </c>
      <c r="F13" s="35"/>
      <c r="G13" s="157" t="s">
        <v>69</v>
      </c>
      <c r="H13" s="158"/>
      <c r="I13" s="159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81" t="s">
        <v>147</v>
      </c>
      <c r="P13" s="39">
        <f t="shared" si="2"/>
        <v>8860</v>
      </c>
      <c r="Q13" s="70">
        <f t="shared" si="3"/>
        <v>2.1914648200000001E-2</v>
      </c>
      <c r="R13" s="79">
        <f t="shared" si="5"/>
        <v>3322888.9361803201</v>
      </c>
    </row>
    <row r="14" spans="1:18">
      <c r="A14" s="40" t="s">
        <v>224</v>
      </c>
      <c r="B14" s="11" t="s">
        <v>225</v>
      </c>
      <c r="C14" s="86">
        <v>52.8</v>
      </c>
      <c r="D14" s="34">
        <v>1.7341040499999998E-2</v>
      </c>
      <c r="E14" s="84">
        <v>205615471.94551545</v>
      </c>
      <c r="F14" s="35"/>
      <c r="G14" s="185" t="s">
        <v>36</v>
      </c>
      <c r="H14" s="186"/>
      <c r="I14" s="187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81" t="s">
        <v>217</v>
      </c>
      <c r="P14" s="39">
        <f t="shared" si="2"/>
        <v>56.9</v>
      </c>
      <c r="Q14" s="70">
        <f t="shared" si="3"/>
        <v>2.1543985599999999E-2</v>
      </c>
      <c r="R14" s="79">
        <f t="shared" si="5"/>
        <v>38809893.454749987</v>
      </c>
    </row>
    <row r="15" spans="1:18" ht="17.25" thickBot="1">
      <c r="A15" s="40" t="s">
        <v>184</v>
      </c>
      <c r="B15" s="11" t="s">
        <v>185</v>
      </c>
      <c r="C15" s="86">
        <v>23.7</v>
      </c>
      <c r="D15" s="34">
        <v>1.7167381999999998E-2</v>
      </c>
      <c r="E15" s="84">
        <v>23917244.737971049</v>
      </c>
      <c r="F15" s="35"/>
      <c r="G15" s="178"/>
      <c r="H15" s="179"/>
      <c r="I15" s="180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67" t="s">
        <v>95</v>
      </c>
      <c r="P15" s="37">
        <f t="shared" si="2"/>
        <v>998</v>
      </c>
      <c r="Q15" s="72">
        <f t="shared" si="3"/>
        <v>1.9407558700000001E-2</v>
      </c>
      <c r="R15" s="80">
        <f t="shared" si="5"/>
        <v>770167.54666719004</v>
      </c>
    </row>
    <row r="16" spans="1:18" ht="17.25" thickBot="1">
      <c r="A16" s="40" t="s">
        <v>74</v>
      </c>
      <c r="B16" s="11" t="s">
        <v>75</v>
      </c>
      <c r="C16" s="86">
        <v>7370</v>
      </c>
      <c r="D16" s="34">
        <v>1.5851137099999999E-2</v>
      </c>
      <c r="E16" s="84">
        <v>249172.66460727001</v>
      </c>
      <c r="F16" s="35"/>
      <c r="G16" s="9" t="s">
        <v>38</v>
      </c>
      <c r="H16" s="158" t="s">
        <v>37</v>
      </c>
      <c r="I16" s="159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66" t="s">
        <v>324</v>
      </c>
      <c r="P16" s="38">
        <f t="shared" si="2"/>
        <v>78.7</v>
      </c>
      <c r="Q16" s="69">
        <f t="shared" si="3"/>
        <v>1.8111254899999998E-2</v>
      </c>
      <c r="R16" s="78">
        <f t="shared" si="5"/>
        <v>8069577.1284512402</v>
      </c>
    </row>
    <row r="17" spans="1:18">
      <c r="A17" s="40" t="s">
        <v>104</v>
      </c>
      <c r="B17" s="11" t="s">
        <v>105</v>
      </c>
      <c r="C17" s="86">
        <v>195</v>
      </c>
      <c r="D17" s="34">
        <v>1.5625E-2</v>
      </c>
      <c r="E17" s="84">
        <v>2762329.95000479</v>
      </c>
      <c r="F17" s="35"/>
      <c r="G17" s="203">
        <f>_xlfn.IFNA(VLOOKUP(G14, $B$2:$D$200, 3, FALSE), "-")</f>
        <v>1.0224474E-3</v>
      </c>
      <c r="H17" s="205">
        <f>_xlfn.IFNA(VLOOKUP(G14, $B$2:$D$200, 2, FALSE), "-")</f>
        <v>21539000</v>
      </c>
      <c r="I17" s="206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81" t="s">
        <v>79</v>
      </c>
      <c r="P17" s="39">
        <f t="shared" si="2"/>
        <v>229</v>
      </c>
      <c r="Q17" s="70">
        <f t="shared" si="3"/>
        <v>1.7777777799999998E-2</v>
      </c>
      <c r="R17" s="79">
        <f t="shared" si="5"/>
        <v>5288454.8189765699</v>
      </c>
    </row>
    <row r="18" spans="1:18" ht="17.25" thickBot="1">
      <c r="A18" s="40" t="s">
        <v>129</v>
      </c>
      <c r="B18" s="11" t="s">
        <v>130</v>
      </c>
      <c r="C18" s="86">
        <v>635</v>
      </c>
      <c r="D18" s="34">
        <v>1.43769968E-2</v>
      </c>
      <c r="E18" s="84">
        <v>1446942.9979801299</v>
      </c>
      <c r="F18" s="35"/>
      <c r="G18" s="204"/>
      <c r="H18" s="207"/>
      <c r="I18" s="208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81" t="s">
        <v>225</v>
      </c>
      <c r="P18" s="39">
        <f t="shared" si="2"/>
        <v>52.8</v>
      </c>
      <c r="Q18" s="70">
        <f t="shared" si="3"/>
        <v>1.7341040499999998E-2</v>
      </c>
      <c r="R18" s="79">
        <f t="shared" si="5"/>
        <v>205615471.94551545</v>
      </c>
    </row>
    <row r="19" spans="1:18" ht="17.25" thickBot="1">
      <c r="A19" s="40" t="s">
        <v>226</v>
      </c>
      <c r="B19" s="11" t="s">
        <v>227</v>
      </c>
      <c r="C19" s="86">
        <v>35.5</v>
      </c>
      <c r="D19" s="34">
        <v>1.42857143E-2</v>
      </c>
      <c r="E19" s="84">
        <v>96528223.116356805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81" t="s">
        <v>185</v>
      </c>
      <c r="P19" s="39">
        <f t="shared" si="2"/>
        <v>23.7</v>
      </c>
      <c r="Q19" s="70">
        <f t="shared" si="3"/>
        <v>1.7167381999999998E-2</v>
      </c>
      <c r="R19" s="79">
        <f t="shared" si="5"/>
        <v>23917244.737971049</v>
      </c>
    </row>
    <row r="20" spans="1:18" ht="17.25" thickBot="1">
      <c r="A20" s="40" t="s">
        <v>108</v>
      </c>
      <c r="B20" s="11" t="s">
        <v>109</v>
      </c>
      <c r="C20" s="86">
        <v>977</v>
      </c>
      <c r="D20" s="34">
        <v>1.34854772E-2</v>
      </c>
      <c r="E20" s="84">
        <v>734300.19055414002</v>
      </c>
      <c r="F20" s="35"/>
      <c r="G20" s="157" t="s">
        <v>243</v>
      </c>
      <c r="H20" s="158"/>
      <c r="I20" s="159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81" t="s">
        <v>75</v>
      </c>
      <c r="P20" s="39">
        <f t="shared" si="2"/>
        <v>7370</v>
      </c>
      <c r="Q20" s="70">
        <f t="shared" si="3"/>
        <v>1.5851137099999999E-2</v>
      </c>
      <c r="R20" s="83">
        <f t="shared" si="5"/>
        <v>249172.66460727001</v>
      </c>
    </row>
    <row r="21" spans="1:18">
      <c r="A21" s="40" t="s">
        <v>50</v>
      </c>
      <c r="B21" s="11" t="s">
        <v>51</v>
      </c>
      <c r="C21" s="86">
        <v>96.1</v>
      </c>
      <c r="D21" s="34">
        <v>1.05152471E-2</v>
      </c>
      <c r="E21" s="84">
        <v>10241782.273307471</v>
      </c>
      <c r="F21" s="35"/>
      <c r="G21" s="185" t="s">
        <v>36</v>
      </c>
      <c r="H21" s="186"/>
      <c r="I21" s="187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82" t="s">
        <v>105</v>
      </c>
      <c r="P21" s="45">
        <f t="shared" si="2"/>
        <v>195</v>
      </c>
      <c r="Q21" s="73">
        <f t="shared" si="3"/>
        <v>1.5625E-2</v>
      </c>
      <c r="R21" s="89">
        <f t="shared" si="5"/>
        <v>2762329.95000479</v>
      </c>
    </row>
    <row r="22" spans="1:18" ht="17.25" thickBot="1">
      <c r="A22" s="40" t="s">
        <v>338</v>
      </c>
      <c r="B22" s="11" t="s">
        <v>339</v>
      </c>
      <c r="C22" s="86">
        <v>1025</v>
      </c>
      <c r="D22" s="34">
        <v>9.8522166999999994E-3</v>
      </c>
      <c r="E22" s="84">
        <v>5162795.3084689397</v>
      </c>
      <c r="F22" s="35"/>
      <c r="G22" s="178"/>
      <c r="H22" s="179"/>
      <c r="I22" s="180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81" t="s">
        <v>130</v>
      </c>
      <c r="P22" s="39">
        <f t="shared" si="2"/>
        <v>635</v>
      </c>
      <c r="Q22" s="70">
        <f t="shared" si="3"/>
        <v>1.43769968E-2</v>
      </c>
      <c r="R22" s="79">
        <f t="shared" si="5"/>
        <v>1446942.9979801299</v>
      </c>
    </row>
    <row r="23" spans="1:18" ht="17.25" thickBot="1">
      <c r="A23" s="40" t="s">
        <v>194</v>
      </c>
      <c r="B23" s="11" t="s">
        <v>195</v>
      </c>
      <c r="C23" s="86">
        <v>5.68</v>
      </c>
      <c r="D23" s="34">
        <v>8.8809947000000004E-3</v>
      </c>
      <c r="E23" s="84">
        <v>91346092.475750044</v>
      </c>
      <c r="F23" s="35"/>
      <c r="G23" s="9" t="s">
        <v>38</v>
      </c>
      <c r="H23" s="158" t="s">
        <v>37</v>
      </c>
      <c r="I23" s="159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81" t="s">
        <v>227</v>
      </c>
      <c r="P23" s="39">
        <f t="shared" si="2"/>
        <v>35.5</v>
      </c>
      <c r="Q23" s="70">
        <f t="shared" si="3"/>
        <v>1.42857143E-2</v>
      </c>
      <c r="R23" s="79">
        <f t="shared" si="5"/>
        <v>96528223.116356805</v>
      </c>
    </row>
    <row r="24" spans="1:18">
      <c r="A24" s="40" t="s">
        <v>240</v>
      </c>
      <c r="B24" s="11" t="s">
        <v>241</v>
      </c>
      <c r="C24" s="86">
        <v>85.5</v>
      </c>
      <c r="D24" s="34">
        <v>8.254717E-3</v>
      </c>
      <c r="E24" s="84">
        <v>25995613.536978088</v>
      </c>
      <c r="F24" s="35"/>
      <c r="G24" s="203">
        <f>_xlfn.IFNA(VLOOKUP(G21, $B$2:$D$200, 3, FALSE), "-")</f>
        <v>1.0224474E-3</v>
      </c>
      <c r="H24" s="205">
        <f>_xlfn.IFNA(VLOOKUP(G21, $B$2:$D$200, 2, FALSE), "-")</f>
        <v>21539000</v>
      </c>
      <c r="I24" s="206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81" t="s">
        <v>109</v>
      </c>
      <c r="P24" s="39">
        <f t="shared" si="2"/>
        <v>977</v>
      </c>
      <c r="Q24" s="70">
        <f t="shared" si="3"/>
        <v>1.34854772E-2</v>
      </c>
      <c r="R24" s="79">
        <f t="shared" si="5"/>
        <v>734300.19055414002</v>
      </c>
    </row>
    <row r="25" spans="1:18" ht="17.25" thickBot="1">
      <c r="A25" s="40" t="s">
        <v>198</v>
      </c>
      <c r="B25" s="11" t="s">
        <v>199</v>
      </c>
      <c r="C25" s="86">
        <v>267</v>
      </c>
      <c r="D25" s="34">
        <v>7.5471697999999997E-3</v>
      </c>
      <c r="E25" s="84">
        <v>2592182.4665596699</v>
      </c>
      <c r="F25" s="35"/>
      <c r="G25" s="204"/>
      <c r="H25" s="207"/>
      <c r="I25" s="208"/>
      <c r="K25" s="53">
        <f ca="1">IFERROR(OFFSET(INDIRECT($H$3 &amp; "!A17"), 19, 0), "")</f>
        <v>0</v>
      </c>
      <c r="L25" s="37" t="str">
        <f t="shared" ca="1" si="0"/>
        <v/>
      </c>
      <c r="M25" s="72" t="str">
        <f t="shared" ca="1" si="1"/>
        <v/>
      </c>
      <c r="N25" s="80" t="str">
        <f t="shared" ca="1" si="4"/>
        <v/>
      </c>
      <c r="O25" s="67" t="s">
        <v>51</v>
      </c>
      <c r="P25" s="37">
        <f t="shared" si="2"/>
        <v>96.1</v>
      </c>
      <c r="Q25" s="72">
        <f t="shared" si="3"/>
        <v>1.05152471E-2</v>
      </c>
      <c r="R25" s="80">
        <f t="shared" si="5"/>
        <v>10241782.273307471</v>
      </c>
    </row>
    <row r="26" spans="1:18">
      <c r="A26" s="40" t="s">
        <v>158</v>
      </c>
      <c r="B26" s="11" t="s">
        <v>159</v>
      </c>
      <c r="C26" s="86">
        <v>140</v>
      </c>
      <c r="D26" s="34">
        <v>7.1942446E-3</v>
      </c>
      <c r="E26" s="84">
        <v>17367257.579798691</v>
      </c>
      <c r="F26" s="35"/>
    </row>
    <row r="27" spans="1:18" ht="17.25" thickBot="1">
      <c r="A27" s="40" t="s">
        <v>61</v>
      </c>
      <c r="B27" s="11" t="s">
        <v>62</v>
      </c>
      <c r="C27" s="86">
        <v>8375</v>
      </c>
      <c r="D27" s="34">
        <v>6.6105768999999998E-3</v>
      </c>
      <c r="E27" s="84">
        <v>180627.43699289</v>
      </c>
      <c r="F27" s="35"/>
    </row>
    <row r="28" spans="1:18" ht="17.25" thickBot="1">
      <c r="A28" s="40" t="s">
        <v>152</v>
      </c>
      <c r="B28" s="11" t="s">
        <v>153</v>
      </c>
      <c r="C28" s="86">
        <v>330</v>
      </c>
      <c r="D28" s="34">
        <v>6.0975609999999996E-3</v>
      </c>
      <c r="E28" s="84">
        <v>4981417.6108927801</v>
      </c>
      <c r="F28" s="35"/>
      <c r="G28" s="157" t="s">
        <v>46</v>
      </c>
      <c r="H28" s="158"/>
      <c r="I28" s="158"/>
      <c r="J28" s="159"/>
      <c r="K28" s="157" t="s">
        <v>44</v>
      </c>
      <c r="L28" s="158"/>
      <c r="M28" s="158"/>
      <c r="N28" s="159"/>
      <c r="O28" s="157" t="s">
        <v>45</v>
      </c>
      <c r="P28" s="158"/>
      <c r="Q28" s="158"/>
      <c r="R28" s="159"/>
    </row>
    <row r="29" spans="1:18" ht="17.25" thickBot="1">
      <c r="A29" s="40" t="s">
        <v>88</v>
      </c>
      <c r="B29" s="11" t="s">
        <v>89</v>
      </c>
      <c r="C29" s="86">
        <v>439</v>
      </c>
      <c r="D29" s="34">
        <v>4.5766590000000003E-3</v>
      </c>
      <c r="E29" s="84">
        <v>64013733.180480197</v>
      </c>
      <c r="F29" s="35"/>
      <c r="G29" s="194" t="s">
        <v>54</v>
      </c>
      <c r="H29" s="210">
        <f ca="1">NOW()</f>
        <v>44934.000288541669</v>
      </c>
      <c r="I29" s="211"/>
      <c r="J29" s="212"/>
      <c r="K29" s="209" t="s">
        <v>54</v>
      </c>
      <c r="L29" s="210">
        <f ca="1">NOW()</f>
        <v>44934.000288541669</v>
      </c>
      <c r="M29" s="211"/>
      <c r="N29" s="212"/>
      <c r="O29" s="209" t="s">
        <v>54</v>
      </c>
      <c r="P29" s="210">
        <f ca="1">NOW()</f>
        <v>44934.000288541669</v>
      </c>
      <c r="Q29" s="211"/>
      <c r="R29" s="212"/>
    </row>
    <row r="30" spans="1:18" ht="17.25" thickBot="1">
      <c r="A30" s="40" t="s">
        <v>331</v>
      </c>
      <c r="B30" s="11" t="s">
        <v>332</v>
      </c>
      <c r="C30" s="86">
        <v>505</v>
      </c>
      <c r="D30" s="34">
        <v>3.9761431000000002E-3</v>
      </c>
      <c r="E30" s="84">
        <v>776305.72368076001</v>
      </c>
      <c r="F30" s="35"/>
      <c r="G30" s="202"/>
      <c r="H30" s="36" t="s">
        <v>57</v>
      </c>
      <c r="I30" s="36" t="s">
        <v>58</v>
      </c>
      <c r="J30" s="64" t="s">
        <v>251</v>
      </c>
      <c r="K30" s="180"/>
      <c r="L30" s="36" t="s">
        <v>57</v>
      </c>
      <c r="M30" s="36" t="s">
        <v>58</v>
      </c>
      <c r="N30" s="64" t="s">
        <v>251</v>
      </c>
      <c r="O30" s="180"/>
      <c r="P30" s="36" t="s">
        <v>57</v>
      </c>
      <c r="Q30" s="36" t="s">
        <v>58</v>
      </c>
      <c r="R30" s="64" t="s">
        <v>251</v>
      </c>
    </row>
    <row r="31" spans="1:18">
      <c r="A31" s="40" t="s">
        <v>160</v>
      </c>
      <c r="B31" s="11" t="s">
        <v>161</v>
      </c>
      <c r="C31" s="86">
        <v>279</v>
      </c>
      <c r="D31" s="34">
        <v>3.5971223E-3</v>
      </c>
      <c r="E31" s="84">
        <v>4468423.40117482</v>
      </c>
      <c r="F31" s="35"/>
      <c r="G31" s="46" t="s">
        <v>60</v>
      </c>
      <c r="H31" s="38">
        <f t="shared" ref="H31:H50" si="6">_xlfn.IFNA(VLOOKUP(G31, $B$2:$D$200, 2, FALSE), "")</f>
        <v>446</v>
      </c>
      <c r="I31" s="69">
        <f t="shared" ref="I31:I50" si="7">_xlfn.IFNA(VLOOKUP(G31, $B$2:$D$200, 3, FALSE), "")</f>
        <v>6.9544364499999997E-2</v>
      </c>
      <c r="J31" s="78">
        <f>_xlfn.IFNA(VLOOKUP(G31, $B$2:$E$200, 4, FALSE), "")</f>
        <v>42726604.94720491</v>
      </c>
      <c r="K31" s="74" t="s">
        <v>217</v>
      </c>
      <c r="L31" s="38">
        <f t="shared" ref="L31:L50" si="8">_xlfn.IFNA(VLOOKUP(K31, $B$2:$D$200, 2, FALSE), "")</f>
        <v>56.9</v>
      </c>
      <c r="M31" s="69">
        <f t="shared" ref="M31:M50" si="9">_xlfn.IFNA(VLOOKUP(K31, $B$2:$D$200, 3, FALSE), "")</f>
        <v>2.1543985599999999E-2</v>
      </c>
      <c r="N31" s="78">
        <f>_xlfn.IFNA(VLOOKUP(K31, $B$2:$E$200, 4, FALSE), "")</f>
        <v>38809893.454749987</v>
      </c>
      <c r="O31" s="74" t="s">
        <v>60</v>
      </c>
      <c r="P31" s="38">
        <f t="shared" ref="P31:P50" si="10">_xlfn.IFNA(VLOOKUP(O31, $B$2:$D$200, 2, FALSE), "")</f>
        <v>446</v>
      </c>
      <c r="Q31" s="69">
        <f t="shared" ref="Q31:Q50" si="11">_xlfn.IFNA(VLOOKUP(O31, $B$2:$D$200, 3, FALSE), "")</f>
        <v>6.9544364499999997E-2</v>
      </c>
      <c r="R31" s="78">
        <f>_xlfn.IFNA(VLOOKUP(O31, $B$2:$E$200, 4, FALSE), "")</f>
        <v>42726604.94720491</v>
      </c>
    </row>
    <row r="32" spans="1:18">
      <c r="A32" s="40" t="s">
        <v>196</v>
      </c>
      <c r="B32" s="11" t="s">
        <v>197</v>
      </c>
      <c r="C32" s="86">
        <v>5.62</v>
      </c>
      <c r="D32" s="34">
        <v>3.5714286E-3</v>
      </c>
      <c r="E32" s="84">
        <v>88732842.578827307</v>
      </c>
      <c r="F32" s="35"/>
      <c r="G32" s="47" t="s">
        <v>111</v>
      </c>
      <c r="H32" s="39">
        <f t="shared" si="6"/>
        <v>580</v>
      </c>
      <c r="I32" s="70">
        <f t="shared" si="7"/>
        <v>5.8394160600000002E-2</v>
      </c>
      <c r="J32" s="79">
        <f t="shared" ref="J32:J50" si="12">_xlfn.IFNA(VLOOKUP(G32, $B$2:$E$200, 4, FALSE), "")</f>
        <v>99001737.708957464</v>
      </c>
      <c r="K32" s="75" t="s">
        <v>324</v>
      </c>
      <c r="L32" s="39">
        <f t="shared" si="8"/>
        <v>78.7</v>
      </c>
      <c r="M32" s="70">
        <f t="shared" si="9"/>
        <v>1.8111254899999998E-2</v>
      </c>
      <c r="N32" s="79">
        <f t="shared" ref="N32:N50" si="13">_xlfn.IFNA(VLOOKUP(K32, $B$2:$E$200, 4, FALSE), "")</f>
        <v>8069577.1284512402</v>
      </c>
      <c r="O32" s="75" t="s">
        <v>111</v>
      </c>
      <c r="P32" s="39">
        <f t="shared" si="10"/>
        <v>580</v>
      </c>
      <c r="Q32" s="70">
        <f t="shared" si="11"/>
        <v>5.8394160600000002E-2</v>
      </c>
      <c r="R32" s="79">
        <f t="shared" ref="R32:R50" si="14">_xlfn.IFNA(VLOOKUP(O32, $B$2:$E$200, 4, FALSE), "")</f>
        <v>99001737.708957464</v>
      </c>
    </row>
    <row r="33" spans="1:18">
      <c r="A33" s="40" t="s">
        <v>188</v>
      </c>
      <c r="B33" s="11" t="s">
        <v>189</v>
      </c>
      <c r="C33" s="86">
        <v>891</v>
      </c>
      <c r="D33" s="34">
        <v>2.2497188000000002E-3</v>
      </c>
      <c r="E33" s="84">
        <v>11033867.183403259</v>
      </c>
      <c r="F33" s="35"/>
      <c r="G33" s="47" t="s">
        <v>134</v>
      </c>
      <c r="H33" s="39">
        <f t="shared" si="6"/>
        <v>1395</v>
      </c>
      <c r="I33" s="70">
        <f t="shared" si="7"/>
        <v>3.7174721199999997E-2</v>
      </c>
      <c r="J33" s="79">
        <f t="shared" si="12"/>
        <v>2435540.7886467101</v>
      </c>
      <c r="K33" s="75" t="s">
        <v>225</v>
      </c>
      <c r="L33" s="39">
        <f t="shared" si="8"/>
        <v>52.8</v>
      </c>
      <c r="M33" s="70">
        <f t="shared" si="9"/>
        <v>1.7341040499999998E-2</v>
      </c>
      <c r="N33" s="79">
        <f t="shared" si="13"/>
        <v>205615471.94551545</v>
      </c>
      <c r="O33" s="75" t="s">
        <v>149</v>
      </c>
      <c r="P33" s="39">
        <f t="shared" si="10"/>
        <v>334</v>
      </c>
      <c r="Q33" s="70">
        <f t="shared" si="11"/>
        <v>2.7692307699999998E-2</v>
      </c>
      <c r="R33" s="79">
        <f t="shared" si="14"/>
        <v>13716532.533533121</v>
      </c>
    </row>
    <row r="34" spans="1:18">
      <c r="A34" s="40" t="s">
        <v>53</v>
      </c>
      <c r="B34" s="11" t="s">
        <v>329</v>
      </c>
      <c r="C34" s="86">
        <v>49.7</v>
      </c>
      <c r="D34" s="34">
        <v>2.0161290000000002E-3</v>
      </c>
      <c r="E34" s="84">
        <v>12926822.426928559</v>
      </c>
      <c r="F34" s="35"/>
      <c r="G34" s="47" t="s">
        <v>149</v>
      </c>
      <c r="H34" s="39">
        <f t="shared" si="6"/>
        <v>334</v>
      </c>
      <c r="I34" s="70">
        <f t="shared" si="7"/>
        <v>2.7692307699999998E-2</v>
      </c>
      <c r="J34" s="79">
        <f t="shared" si="12"/>
        <v>13716532.533533121</v>
      </c>
      <c r="K34" s="75" t="s">
        <v>185</v>
      </c>
      <c r="L34" s="39">
        <f t="shared" si="8"/>
        <v>23.7</v>
      </c>
      <c r="M34" s="70">
        <f t="shared" si="9"/>
        <v>1.7167381999999998E-2</v>
      </c>
      <c r="N34" s="79">
        <f t="shared" si="13"/>
        <v>23917244.737971049</v>
      </c>
      <c r="O34" s="75" t="s">
        <v>319</v>
      </c>
      <c r="P34" s="39">
        <f t="shared" si="10"/>
        <v>337</v>
      </c>
      <c r="Q34" s="70">
        <f t="shared" si="11"/>
        <v>2.7439024400000001E-2</v>
      </c>
      <c r="R34" s="79">
        <f t="shared" si="14"/>
        <v>11946178.267010169</v>
      </c>
    </row>
    <row r="35" spans="1:18">
      <c r="A35" s="40" t="s">
        <v>86</v>
      </c>
      <c r="B35" s="11" t="s">
        <v>87</v>
      </c>
      <c r="C35" s="86">
        <v>54740</v>
      </c>
      <c r="D35" s="34">
        <v>2.0135457000000001E-3</v>
      </c>
      <c r="E35" s="84">
        <v>23797.985951549999</v>
      </c>
      <c r="F35" s="35"/>
      <c r="G35" s="47" t="s">
        <v>319</v>
      </c>
      <c r="H35" s="44">
        <f t="shared" si="6"/>
        <v>337</v>
      </c>
      <c r="I35" s="71">
        <f t="shared" si="7"/>
        <v>2.7439024400000001E-2</v>
      </c>
      <c r="J35" s="83">
        <f t="shared" si="12"/>
        <v>11946178.267010169</v>
      </c>
      <c r="K35" s="76" t="s">
        <v>227</v>
      </c>
      <c r="L35" s="44">
        <f t="shared" si="8"/>
        <v>35.5</v>
      </c>
      <c r="M35" s="71">
        <f t="shared" si="9"/>
        <v>1.42857143E-2</v>
      </c>
      <c r="N35" s="83">
        <f t="shared" si="13"/>
        <v>96528223.116356805</v>
      </c>
      <c r="O35" s="76" t="s">
        <v>326</v>
      </c>
      <c r="P35" s="44">
        <f t="shared" si="10"/>
        <v>245</v>
      </c>
      <c r="Q35" s="71">
        <f t="shared" si="11"/>
        <v>2.51046025E-2</v>
      </c>
      <c r="R35" s="83">
        <f t="shared" si="14"/>
        <v>6166252.7912561903</v>
      </c>
    </row>
    <row r="36" spans="1:18">
      <c r="A36" s="40" t="s">
        <v>171</v>
      </c>
      <c r="B36" s="11" t="s">
        <v>172</v>
      </c>
      <c r="C36" s="86">
        <v>2495</v>
      </c>
      <c r="D36" s="34">
        <v>2.0080320999999999E-3</v>
      </c>
      <c r="E36" s="84">
        <v>484008.18170188001</v>
      </c>
      <c r="F36" s="35"/>
      <c r="G36" s="49" t="s">
        <v>326</v>
      </c>
      <c r="H36" s="39">
        <f t="shared" si="6"/>
        <v>245</v>
      </c>
      <c r="I36" s="70">
        <f t="shared" si="7"/>
        <v>2.51046025E-2</v>
      </c>
      <c r="J36" s="89">
        <f t="shared" si="12"/>
        <v>6166252.7912561903</v>
      </c>
      <c r="K36" s="75" t="s">
        <v>51</v>
      </c>
      <c r="L36" s="39">
        <f t="shared" si="8"/>
        <v>96.1</v>
      </c>
      <c r="M36" s="70">
        <f t="shared" si="9"/>
        <v>1.05152471E-2</v>
      </c>
      <c r="N36" s="89">
        <f t="shared" si="13"/>
        <v>10241782.273307471</v>
      </c>
      <c r="O36" s="75" t="s">
        <v>201</v>
      </c>
      <c r="P36" s="39">
        <f t="shared" si="10"/>
        <v>185</v>
      </c>
      <c r="Q36" s="70">
        <f t="shared" si="11"/>
        <v>2.2099447500000001E-2</v>
      </c>
      <c r="R36" s="89">
        <f t="shared" si="14"/>
        <v>28055917.359245289</v>
      </c>
    </row>
    <row r="37" spans="1:18">
      <c r="A37" s="40" t="s">
        <v>48</v>
      </c>
      <c r="B37" s="11" t="s">
        <v>49</v>
      </c>
      <c r="C37" s="86">
        <v>21539000</v>
      </c>
      <c r="D37" s="34">
        <v>1.0224474E-3</v>
      </c>
      <c r="E37" s="84">
        <v>1035.9572804500001</v>
      </c>
      <c r="F37" s="35"/>
      <c r="G37" s="47" t="s">
        <v>201</v>
      </c>
      <c r="H37" s="39">
        <f t="shared" si="6"/>
        <v>185</v>
      </c>
      <c r="I37" s="70">
        <f t="shared" si="7"/>
        <v>2.2099447500000001E-2</v>
      </c>
      <c r="J37" s="79">
        <f t="shared" si="12"/>
        <v>28055917.359245289</v>
      </c>
      <c r="K37" s="75" t="s">
        <v>195</v>
      </c>
      <c r="L37" s="39">
        <f t="shared" si="8"/>
        <v>5.68</v>
      </c>
      <c r="M37" s="70">
        <f t="shared" si="9"/>
        <v>8.8809947000000004E-3</v>
      </c>
      <c r="N37" s="79">
        <f t="shared" si="13"/>
        <v>91346092.475750044</v>
      </c>
      <c r="O37" s="75" t="s">
        <v>95</v>
      </c>
      <c r="P37" s="39">
        <f t="shared" si="10"/>
        <v>998</v>
      </c>
      <c r="Q37" s="70">
        <f t="shared" si="11"/>
        <v>1.9407558700000001E-2</v>
      </c>
      <c r="R37" s="79">
        <f t="shared" si="14"/>
        <v>770167.54666719004</v>
      </c>
    </row>
    <row r="38" spans="1:18">
      <c r="A38" s="40" t="s">
        <v>336</v>
      </c>
      <c r="B38" s="11" t="s">
        <v>337</v>
      </c>
      <c r="C38" s="86">
        <v>71640</v>
      </c>
      <c r="D38" s="34">
        <v>9.7806340000000007E-4</v>
      </c>
      <c r="E38" s="84">
        <v>9446.29859407</v>
      </c>
      <c r="F38" s="35"/>
      <c r="G38" s="47" t="s">
        <v>147</v>
      </c>
      <c r="H38" s="39">
        <f t="shared" si="6"/>
        <v>8860</v>
      </c>
      <c r="I38" s="70">
        <f t="shared" si="7"/>
        <v>2.1914648200000001E-2</v>
      </c>
      <c r="J38" s="79">
        <f t="shared" si="12"/>
        <v>3322888.9361803201</v>
      </c>
      <c r="K38" s="75" t="s">
        <v>241</v>
      </c>
      <c r="L38" s="39">
        <f t="shared" si="8"/>
        <v>85.5</v>
      </c>
      <c r="M38" s="70">
        <f t="shared" si="9"/>
        <v>8.254717E-3</v>
      </c>
      <c r="N38" s="79">
        <f t="shared" si="13"/>
        <v>25995613.536978088</v>
      </c>
      <c r="O38" s="75" t="s">
        <v>79</v>
      </c>
      <c r="P38" s="39">
        <f t="shared" si="10"/>
        <v>229</v>
      </c>
      <c r="Q38" s="70">
        <f t="shared" si="11"/>
        <v>1.7777777799999998E-2</v>
      </c>
      <c r="R38" s="79">
        <f t="shared" si="14"/>
        <v>5288454.8189765699</v>
      </c>
    </row>
    <row r="39" spans="1:18">
      <c r="A39" s="40" t="s">
        <v>137</v>
      </c>
      <c r="B39" s="11" t="s">
        <v>138</v>
      </c>
      <c r="C39" s="86">
        <v>21</v>
      </c>
      <c r="D39" s="34">
        <v>0</v>
      </c>
      <c r="E39" s="84">
        <v>24455963.621777091</v>
      </c>
      <c r="F39" s="35"/>
      <c r="G39" s="47" t="s">
        <v>217</v>
      </c>
      <c r="H39" s="39">
        <f t="shared" si="6"/>
        <v>56.9</v>
      </c>
      <c r="I39" s="70">
        <f t="shared" si="7"/>
        <v>2.1543985599999999E-2</v>
      </c>
      <c r="J39" s="79">
        <f t="shared" si="12"/>
        <v>38809893.454749987</v>
      </c>
      <c r="K39" s="75" t="s">
        <v>197</v>
      </c>
      <c r="L39" s="39">
        <f t="shared" si="8"/>
        <v>5.62</v>
      </c>
      <c r="M39" s="70">
        <f t="shared" si="9"/>
        <v>3.5714286E-3</v>
      </c>
      <c r="N39" s="79">
        <f t="shared" si="13"/>
        <v>88732842.578827307</v>
      </c>
      <c r="O39" s="75" t="s">
        <v>105</v>
      </c>
      <c r="P39" s="39">
        <f t="shared" si="10"/>
        <v>195</v>
      </c>
      <c r="Q39" s="70">
        <f t="shared" si="11"/>
        <v>1.5625E-2</v>
      </c>
      <c r="R39" s="79">
        <f t="shared" si="14"/>
        <v>2762329.95000479</v>
      </c>
    </row>
    <row r="40" spans="1:18" ht="17.25" thickBot="1">
      <c r="A40" s="40" t="s">
        <v>76</v>
      </c>
      <c r="B40" s="11" t="s">
        <v>77</v>
      </c>
      <c r="C40" s="86">
        <v>129200</v>
      </c>
      <c r="D40" s="34">
        <v>0</v>
      </c>
      <c r="E40" s="84">
        <v>13159.216841539999</v>
      </c>
      <c r="F40" s="35"/>
      <c r="G40" s="48" t="s">
        <v>95</v>
      </c>
      <c r="H40" s="37">
        <f t="shared" si="6"/>
        <v>998</v>
      </c>
      <c r="I40" s="72">
        <f t="shared" si="7"/>
        <v>1.9407558700000001E-2</v>
      </c>
      <c r="J40" s="80">
        <f t="shared" si="12"/>
        <v>770167.54666719004</v>
      </c>
      <c r="K40" s="77" t="s">
        <v>329</v>
      </c>
      <c r="L40" s="37">
        <f t="shared" si="8"/>
        <v>49.7</v>
      </c>
      <c r="M40" s="72">
        <f t="shared" si="9"/>
        <v>2.0161290000000002E-3</v>
      </c>
      <c r="N40" s="80">
        <f t="shared" si="13"/>
        <v>12926822.426928559</v>
      </c>
      <c r="O40" s="77" t="s">
        <v>130</v>
      </c>
      <c r="P40" s="37">
        <f t="shared" si="10"/>
        <v>635</v>
      </c>
      <c r="Q40" s="72">
        <f t="shared" si="11"/>
        <v>1.43769968E-2</v>
      </c>
      <c r="R40" s="80">
        <f t="shared" si="14"/>
        <v>1446942.9979801299</v>
      </c>
    </row>
    <row r="41" spans="1:18">
      <c r="A41" s="40" t="s">
        <v>96</v>
      </c>
      <c r="B41" s="11" t="s">
        <v>97</v>
      </c>
      <c r="C41" s="86">
        <v>8.0000000000000004E-4</v>
      </c>
      <c r="D41" s="34">
        <v>0</v>
      </c>
      <c r="E41" s="84">
        <v>214435082993.8407</v>
      </c>
      <c r="F41" s="35"/>
      <c r="G41" s="46" t="s">
        <v>324</v>
      </c>
      <c r="H41" s="38">
        <f t="shared" si="6"/>
        <v>78.7</v>
      </c>
      <c r="I41" s="69">
        <f t="shared" si="7"/>
        <v>1.8111254899999998E-2</v>
      </c>
      <c r="J41" s="78">
        <f t="shared" si="12"/>
        <v>8069577.1284512402</v>
      </c>
      <c r="K41" s="74" t="s">
        <v>138</v>
      </c>
      <c r="L41" s="38">
        <f t="shared" si="8"/>
        <v>21</v>
      </c>
      <c r="M41" s="69">
        <f t="shared" si="9"/>
        <v>0</v>
      </c>
      <c r="N41" s="78">
        <f t="shared" si="13"/>
        <v>24455963.621777091</v>
      </c>
      <c r="O41" s="74" t="s">
        <v>109</v>
      </c>
      <c r="P41" s="38">
        <f t="shared" si="10"/>
        <v>977</v>
      </c>
      <c r="Q41" s="69">
        <f t="shared" si="11"/>
        <v>1.34854772E-2</v>
      </c>
      <c r="R41" s="78">
        <f t="shared" si="14"/>
        <v>734300.19055414002</v>
      </c>
    </row>
    <row r="42" spans="1:18">
      <c r="A42" s="40" t="s">
        <v>142</v>
      </c>
      <c r="B42" s="11" t="s">
        <v>143</v>
      </c>
      <c r="C42" s="86">
        <v>3.38</v>
      </c>
      <c r="D42" s="34">
        <v>0</v>
      </c>
      <c r="E42" s="84">
        <v>44354477.130314007</v>
      </c>
      <c r="F42" s="35"/>
      <c r="G42" s="47" t="s">
        <v>79</v>
      </c>
      <c r="H42" s="39">
        <f t="shared" si="6"/>
        <v>229</v>
      </c>
      <c r="I42" s="70">
        <f t="shared" si="7"/>
        <v>1.7777777799999998E-2</v>
      </c>
      <c r="J42" s="79">
        <f t="shared" si="12"/>
        <v>5288454.8189765699</v>
      </c>
      <c r="K42" s="75" t="s">
        <v>97</v>
      </c>
      <c r="L42" s="39">
        <f t="shared" si="8"/>
        <v>8.0000000000000004E-4</v>
      </c>
      <c r="M42" s="70">
        <f t="shared" si="9"/>
        <v>0</v>
      </c>
      <c r="N42" s="79">
        <f t="shared" si="13"/>
        <v>214435082993.8407</v>
      </c>
      <c r="O42" s="75" t="s">
        <v>199</v>
      </c>
      <c r="P42" s="39">
        <f t="shared" si="10"/>
        <v>267</v>
      </c>
      <c r="Q42" s="70">
        <f t="shared" si="11"/>
        <v>7.5471697999999997E-3</v>
      </c>
      <c r="R42" s="79">
        <f t="shared" si="14"/>
        <v>2592182.4665596699</v>
      </c>
    </row>
    <row r="43" spans="1:18">
      <c r="A43" s="40" t="s">
        <v>82</v>
      </c>
      <c r="B43" s="11" t="s">
        <v>83</v>
      </c>
      <c r="C43" s="86">
        <v>1140</v>
      </c>
      <c r="D43" s="34">
        <v>0</v>
      </c>
      <c r="E43" s="84">
        <v>1254939.0355115901</v>
      </c>
      <c r="F43" s="35"/>
      <c r="G43" s="47" t="s">
        <v>225</v>
      </c>
      <c r="H43" s="39">
        <f t="shared" si="6"/>
        <v>52.8</v>
      </c>
      <c r="I43" s="70">
        <f t="shared" si="7"/>
        <v>1.7341040499999998E-2</v>
      </c>
      <c r="J43" s="79">
        <f t="shared" si="12"/>
        <v>205615471.94551545</v>
      </c>
      <c r="K43" s="75" t="s">
        <v>143</v>
      </c>
      <c r="L43" s="39">
        <f t="shared" si="8"/>
        <v>3.38</v>
      </c>
      <c r="M43" s="70">
        <f t="shared" si="9"/>
        <v>0</v>
      </c>
      <c r="N43" s="79">
        <f t="shared" si="13"/>
        <v>44354477.130314007</v>
      </c>
      <c r="O43" s="75" t="s">
        <v>159</v>
      </c>
      <c r="P43" s="39">
        <f t="shared" si="10"/>
        <v>140</v>
      </c>
      <c r="Q43" s="70">
        <f t="shared" si="11"/>
        <v>7.1942446E-3</v>
      </c>
      <c r="R43" s="79">
        <f t="shared" si="14"/>
        <v>17367257.579798691</v>
      </c>
    </row>
    <row r="44" spans="1:18">
      <c r="A44" s="40" t="s">
        <v>92</v>
      </c>
      <c r="B44" s="11" t="s">
        <v>93</v>
      </c>
      <c r="C44" s="86">
        <v>1610000</v>
      </c>
      <c r="D44" s="34">
        <v>0</v>
      </c>
      <c r="E44" s="84">
        <v>7297.8836729300001</v>
      </c>
      <c r="F44" s="35"/>
      <c r="G44" s="47" t="s">
        <v>185</v>
      </c>
      <c r="H44" s="39">
        <f t="shared" si="6"/>
        <v>23.7</v>
      </c>
      <c r="I44" s="70">
        <f t="shared" si="7"/>
        <v>1.7167381999999998E-2</v>
      </c>
      <c r="J44" s="79">
        <f t="shared" si="12"/>
        <v>23917244.737971049</v>
      </c>
      <c r="K44" s="75" t="s">
        <v>203</v>
      </c>
      <c r="L44" s="39">
        <f t="shared" si="8"/>
        <v>3</v>
      </c>
      <c r="M44" s="70">
        <f t="shared" si="9"/>
        <v>0</v>
      </c>
      <c r="N44" s="79">
        <f t="shared" si="13"/>
        <v>129717941.0490597</v>
      </c>
      <c r="O44" s="75" t="s">
        <v>153</v>
      </c>
      <c r="P44" s="39">
        <f t="shared" si="10"/>
        <v>330</v>
      </c>
      <c r="Q44" s="70">
        <f t="shared" si="11"/>
        <v>6.0975609999999996E-3</v>
      </c>
      <c r="R44" s="79">
        <f t="shared" si="14"/>
        <v>4981417.6108927801</v>
      </c>
    </row>
    <row r="45" spans="1:18">
      <c r="A45" s="40" t="s">
        <v>135</v>
      </c>
      <c r="B45" s="11" t="s">
        <v>136</v>
      </c>
      <c r="C45" s="86">
        <v>2575</v>
      </c>
      <c r="D45" s="34">
        <v>0</v>
      </c>
      <c r="E45" s="84">
        <v>121468.74108637001</v>
      </c>
      <c r="F45" s="35"/>
      <c r="G45" s="47" t="s">
        <v>75</v>
      </c>
      <c r="H45" s="44">
        <f t="shared" si="6"/>
        <v>7370</v>
      </c>
      <c r="I45" s="71">
        <f t="shared" si="7"/>
        <v>1.5851137099999999E-2</v>
      </c>
      <c r="J45" s="83">
        <f t="shared" si="12"/>
        <v>249172.66460727001</v>
      </c>
      <c r="K45" s="76" t="s">
        <v>155</v>
      </c>
      <c r="L45" s="44">
        <f t="shared" si="8"/>
        <v>24.8</v>
      </c>
      <c r="M45" s="71">
        <f t="shared" si="9"/>
        <v>0</v>
      </c>
      <c r="N45" s="83">
        <f t="shared" si="13"/>
        <v>6988729.7854043497</v>
      </c>
      <c r="O45" s="76" t="s">
        <v>89</v>
      </c>
      <c r="P45" s="44">
        <f t="shared" si="10"/>
        <v>439</v>
      </c>
      <c r="Q45" s="71">
        <f t="shared" si="11"/>
        <v>4.5766590000000003E-3</v>
      </c>
      <c r="R45" s="83">
        <f t="shared" si="14"/>
        <v>64013733.180480197</v>
      </c>
    </row>
    <row r="46" spans="1:18">
      <c r="A46" s="40" t="s">
        <v>228</v>
      </c>
      <c r="B46" s="11" t="s">
        <v>229</v>
      </c>
      <c r="C46" s="86">
        <v>234</v>
      </c>
      <c r="D46" s="34">
        <v>0</v>
      </c>
      <c r="E46" s="84">
        <v>2476716.4409089601</v>
      </c>
      <c r="F46" s="35"/>
      <c r="G46" s="49" t="s">
        <v>105</v>
      </c>
      <c r="H46" s="39">
        <f t="shared" si="6"/>
        <v>195</v>
      </c>
      <c r="I46" s="70">
        <f t="shared" si="7"/>
        <v>1.5625E-2</v>
      </c>
      <c r="J46" s="89">
        <f t="shared" si="12"/>
        <v>2762329.95000479</v>
      </c>
      <c r="K46" s="75" t="s">
        <v>56</v>
      </c>
      <c r="L46" s="39">
        <f t="shared" si="8"/>
        <v>37</v>
      </c>
      <c r="M46" s="70">
        <f t="shared" si="9"/>
        <v>0</v>
      </c>
      <c r="N46" s="89">
        <f t="shared" si="13"/>
        <v>6680827.6039143</v>
      </c>
      <c r="O46" s="75" t="s">
        <v>332</v>
      </c>
      <c r="P46" s="39">
        <f t="shared" si="10"/>
        <v>505</v>
      </c>
      <c r="Q46" s="70">
        <f t="shared" si="11"/>
        <v>3.9761431000000002E-3</v>
      </c>
      <c r="R46" s="89">
        <f t="shared" si="14"/>
        <v>776305.72368076001</v>
      </c>
    </row>
    <row r="47" spans="1:18">
      <c r="A47" s="40" t="s">
        <v>238</v>
      </c>
      <c r="B47" s="11" t="s">
        <v>239</v>
      </c>
      <c r="C47" s="86">
        <v>411</v>
      </c>
      <c r="D47" s="34">
        <v>0</v>
      </c>
      <c r="E47" s="84">
        <v>977388.65552757995</v>
      </c>
      <c r="F47" s="35"/>
      <c r="G47" s="47" t="s">
        <v>130</v>
      </c>
      <c r="H47" s="39">
        <f t="shared" si="6"/>
        <v>635</v>
      </c>
      <c r="I47" s="70">
        <f t="shared" si="7"/>
        <v>1.43769968E-2</v>
      </c>
      <c r="J47" s="79">
        <f t="shared" si="12"/>
        <v>1446942.9979801299</v>
      </c>
      <c r="K47" s="75" t="s">
        <v>205</v>
      </c>
      <c r="L47" s="39">
        <f t="shared" si="8"/>
        <v>93.2</v>
      </c>
      <c r="M47" s="70">
        <f t="shared" si="9"/>
        <v>-1.0718113999999999E-3</v>
      </c>
      <c r="N47" s="79">
        <f t="shared" si="13"/>
        <v>55202148.585411362</v>
      </c>
      <c r="O47" s="75" t="s">
        <v>161</v>
      </c>
      <c r="P47" s="39">
        <f t="shared" si="10"/>
        <v>279</v>
      </c>
      <c r="Q47" s="70">
        <f t="shared" si="11"/>
        <v>3.5971223E-3</v>
      </c>
      <c r="R47" s="79">
        <f t="shared" si="14"/>
        <v>4468423.40117482</v>
      </c>
    </row>
    <row r="48" spans="1:18">
      <c r="A48" s="40" t="s">
        <v>202</v>
      </c>
      <c r="B48" s="11" t="s">
        <v>203</v>
      </c>
      <c r="C48" s="86">
        <v>3</v>
      </c>
      <c r="D48" s="34">
        <v>0</v>
      </c>
      <c r="E48" s="84">
        <v>129717941.0490597</v>
      </c>
      <c r="F48" s="35"/>
      <c r="G48" s="47" t="s">
        <v>227</v>
      </c>
      <c r="H48" s="39">
        <f t="shared" si="6"/>
        <v>35.5</v>
      </c>
      <c r="I48" s="70">
        <f t="shared" si="7"/>
        <v>1.42857143E-2</v>
      </c>
      <c r="J48" s="79">
        <f t="shared" si="12"/>
        <v>96528223.116356805</v>
      </c>
      <c r="K48" s="75" t="s">
        <v>253</v>
      </c>
      <c r="L48" s="39">
        <f t="shared" si="8"/>
        <v>91.8</v>
      </c>
      <c r="M48" s="70">
        <f t="shared" si="9"/>
        <v>-1.0881393E-3</v>
      </c>
      <c r="N48" s="79">
        <f t="shared" si="13"/>
        <v>145349896.92614654</v>
      </c>
      <c r="O48" s="75" t="s">
        <v>189</v>
      </c>
      <c r="P48" s="39">
        <f t="shared" si="10"/>
        <v>891</v>
      </c>
      <c r="Q48" s="70">
        <f t="shared" si="11"/>
        <v>2.2497188000000002E-3</v>
      </c>
      <c r="R48" s="79">
        <f t="shared" si="14"/>
        <v>11033867.183403259</v>
      </c>
    </row>
    <row r="49" spans="1:18">
      <c r="A49" s="40" t="s">
        <v>175</v>
      </c>
      <c r="B49" s="11" t="s">
        <v>176</v>
      </c>
      <c r="C49" s="86">
        <v>278</v>
      </c>
      <c r="D49" s="34">
        <v>0</v>
      </c>
      <c r="E49" s="84">
        <v>1149356.09922972</v>
      </c>
      <c r="F49" s="35"/>
      <c r="G49" s="47" t="s">
        <v>109</v>
      </c>
      <c r="H49" s="39">
        <f t="shared" si="6"/>
        <v>977</v>
      </c>
      <c r="I49" s="70">
        <f t="shared" si="7"/>
        <v>1.34854772E-2</v>
      </c>
      <c r="J49" s="79">
        <f t="shared" si="12"/>
        <v>734300.19055414002</v>
      </c>
      <c r="K49" s="75" t="s">
        <v>350</v>
      </c>
      <c r="L49" s="39">
        <f t="shared" si="8"/>
        <v>5.55</v>
      </c>
      <c r="M49" s="70">
        <f t="shared" si="9"/>
        <v>-1.7985612E-3</v>
      </c>
      <c r="N49" s="79">
        <f t="shared" si="13"/>
        <v>218847922.29938182</v>
      </c>
      <c r="O49" s="75" t="s">
        <v>229</v>
      </c>
      <c r="P49" s="39">
        <f t="shared" si="10"/>
        <v>234</v>
      </c>
      <c r="Q49" s="70">
        <f t="shared" si="11"/>
        <v>0</v>
      </c>
      <c r="R49" s="79">
        <f t="shared" si="14"/>
        <v>2476716.4409089601</v>
      </c>
    </row>
    <row r="50" spans="1:18" ht="17.25" thickBot="1">
      <c r="A50" s="40" t="s">
        <v>320</v>
      </c>
      <c r="B50" s="11" t="s">
        <v>321</v>
      </c>
      <c r="C50" s="86">
        <v>157</v>
      </c>
      <c r="D50" s="34">
        <v>0</v>
      </c>
      <c r="E50" s="84">
        <v>6865851.5718198204</v>
      </c>
      <c r="F50" s="35"/>
      <c r="G50" s="48" t="s">
        <v>51</v>
      </c>
      <c r="H50" s="37">
        <f t="shared" si="6"/>
        <v>96.1</v>
      </c>
      <c r="I50" s="72">
        <f t="shared" si="7"/>
        <v>1.05152471E-2</v>
      </c>
      <c r="J50" s="80">
        <f t="shared" si="12"/>
        <v>10241782.273307471</v>
      </c>
      <c r="K50" s="77" t="s">
        <v>132</v>
      </c>
      <c r="L50" s="37">
        <f t="shared" si="8"/>
        <v>41.4</v>
      </c>
      <c r="M50" s="72">
        <f t="shared" si="9"/>
        <v>-2.4096386000000002E-3</v>
      </c>
      <c r="N50" s="80">
        <f t="shared" si="13"/>
        <v>13364868.349234691</v>
      </c>
      <c r="O50" s="77" t="s">
        <v>239</v>
      </c>
      <c r="P50" s="37">
        <f t="shared" si="10"/>
        <v>411</v>
      </c>
      <c r="Q50" s="72">
        <f t="shared" si="11"/>
        <v>0</v>
      </c>
      <c r="R50" s="80">
        <f t="shared" si="14"/>
        <v>977388.65552757995</v>
      </c>
    </row>
    <row r="51" spans="1:18">
      <c r="A51" s="40" t="s">
        <v>166</v>
      </c>
      <c r="B51" s="11" t="s">
        <v>167</v>
      </c>
      <c r="C51" s="86">
        <v>161</v>
      </c>
      <c r="D51" s="34">
        <v>0</v>
      </c>
      <c r="E51" s="84">
        <v>2493484.51206746</v>
      </c>
      <c r="F51" s="35"/>
    </row>
    <row r="52" spans="1:18" ht="17.25" thickBot="1">
      <c r="A52" s="40" t="s">
        <v>212</v>
      </c>
      <c r="B52" s="11" t="s">
        <v>213</v>
      </c>
      <c r="C52" s="86">
        <v>411</v>
      </c>
      <c r="D52" s="34">
        <v>0</v>
      </c>
      <c r="E52" s="84">
        <v>1068554.82863984</v>
      </c>
      <c r="F52" s="35"/>
    </row>
    <row r="53" spans="1:18" ht="17.25" thickBot="1">
      <c r="A53" s="40" t="s">
        <v>154</v>
      </c>
      <c r="B53" s="11" t="s">
        <v>155</v>
      </c>
      <c r="C53" s="86">
        <v>24.8</v>
      </c>
      <c r="D53" s="34">
        <v>0</v>
      </c>
      <c r="E53" s="84">
        <v>6988729.7854043497</v>
      </c>
      <c r="F53" s="35"/>
      <c r="G53" s="157" t="s">
        <v>242</v>
      </c>
      <c r="H53" s="158"/>
      <c r="I53" s="158"/>
      <c r="J53" s="159"/>
      <c r="K53" s="157" t="s">
        <v>245</v>
      </c>
      <c r="L53" s="158"/>
      <c r="M53" s="158"/>
      <c r="N53" s="159"/>
      <c r="O53" s="157" t="s">
        <v>246</v>
      </c>
      <c r="P53" s="158"/>
      <c r="Q53" s="158"/>
      <c r="R53" s="159"/>
    </row>
    <row r="54" spans="1:18" ht="17.25" thickBot="1">
      <c r="A54" s="40" t="s">
        <v>222</v>
      </c>
      <c r="B54" s="11" t="s">
        <v>223</v>
      </c>
      <c r="C54" s="86">
        <v>191</v>
      </c>
      <c r="D54" s="34">
        <v>0</v>
      </c>
      <c r="E54" s="84">
        <v>1463603.4346994101</v>
      </c>
      <c r="F54" s="35"/>
      <c r="G54" s="194" t="s">
        <v>54</v>
      </c>
      <c r="H54" s="210">
        <f ca="1">NOW()</f>
        <v>44934.000288541669</v>
      </c>
      <c r="I54" s="211"/>
      <c r="J54" s="212"/>
      <c r="K54" s="209" t="s">
        <v>54</v>
      </c>
      <c r="L54" s="210">
        <f ca="1">NOW()</f>
        <v>44934.000288541669</v>
      </c>
      <c r="M54" s="211"/>
      <c r="N54" s="212"/>
      <c r="O54" s="209" t="s">
        <v>54</v>
      </c>
      <c r="P54" s="210">
        <f ca="1">NOW()</f>
        <v>44934.000288541669</v>
      </c>
      <c r="Q54" s="211"/>
      <c r="R54" s="212"/>
    </row>
    <row r="55" spans="1:18" ht="17.25" thickBot="1">
      <c r="A55" s="40" t="s">
        <v>139</v>
      </c>
      <c r="B55" s="11" t="s">
        <v>330</v>
      </c>
      <c r="C55" s="86">
        <v>267</v>
      </c>
      <c r="D55" s="34">
        <v>0</v>
      </c>
      <c r="E55" s="84">
        <v>2266976.9883439401</v>
      </c>
      <c r="F55" s="35"/>
      <c r="G55" s="202"/>
      <c r="H55" s="36" t="s">
        <v>57</v>
      </c>
      <c r="I55" s="36" t="s">
        <v>58</v>
      </c>
      <c r="J55" s="64" t="s">
        <v>251</v>
      </c>
      <c r="K55" s="180"/>
      <c r="L55" s="36" t="s">
        <v>57</v>
      </c>
      <c r="M55" s="36" t="s">
        <v>58</v>
      </c>
      <c r="N55" s="64" t="s">
        <v>251</v>
      </c>
      <c r="O55" s="180"/>
      <c r="P55" s="36" t="s">
        <v>57</v>
      </c>
      <c r="Q55" s="36" t="s">
        <v>58</v>
      </c>
      <c r="R55" s="64" t="s">
        <v>251</v>
      </c>
    </row>
    <row r="56" spans="1:18">
      <c r="A56" s="40" t="s">
        <v>55</v>
      </c>
      <c r="B56" s="11" t="s">
        <v>56</v>
      </c>
      <c r="C56" s="86">
        <v>37</v>
      </c>
      <c r="D56" s="34">
        <v>0</v>
      </c>
      <c r="E56" s="84">
        <v>6680827.6039143</v>
      </c>
      <c r="F56" s="35"/>
      <c r="G56" s="51" t="s">
        <v>151</v>
      </c>
      <c r="H56" s="38">
        <f t="shared" ref="H56:H75" si="15">_xlfn.IFNA(VLOOKUP(G56, $B$2:$D$200, 2, FALSE), "")</f>
        <v>1780</v>
      </c>
      <c r="I56" s="69">
        <f t="shared" ref="I56:I65" si="16">_xlfn.IFNA(VLOOKUP(G56, $B$2:$D$200, 3, FALSE), "")</f>
        <v>-8.3565459999999994E-3</v>
      </c>
      <c r="J56" s="78">
        <f>_xlfn.IFNA(VLOOKUP(G56, $B$2:$E$200, 4, FALSE), "")</f>
        <v>1135373.2395643</v>
      </c>
      <c r="K56" s="74" t="s">
        <v>64</v>
      </c>
      <c r="L56" s="38">
        <f t="shared" ref="L56:L75" si="17">_xlfn.IFNA(VLOOKUP(K56, $B$2:$D$200, 2, FALSE), "")</f>
        <v>9.14</v>
      </c>
      <c r="M56" s="69">
        <f t="shared" ref="M56:M75" si="18">_xlfn.IFNA(VLOOKUP(K56, $B$2:$D$200, 3, FALSE), "")</f>
        <v>-3.2715375999999999E-3</v>
      </c>
      <c r="N56" s="78">
        <f>_xlfn.IFNA(VLOOKUP(K56, $B$2:$E$200, 4, FALSE), "")</f>
        <v>51063671.707371578</v>
      </c>
      <c r="O56" s="74" t="s">
        <v>165</v>
      </c>
      <c r="P56" s="38">
        <f t="shared" ref="P56:P75" si="19">_xlfn.IFNA(VLOOKUP(O56, $B$2:$D$200, 2, FALSE), "")</f>
        <v>888</v>
      </c>
      <c r="Q56" s="69">
        <f t="shared" ref="Q56:Q75" si="20">_xlfn.IFNA(VLOOKUP(O56, $B$2:$D$200, 3, FALSE), "")</f>
        <v>-2.2471909999999999E-3</v>
      </c>
      <c r="R56" s="78">
        <f>_xlfn.IFNA(VLOOKUP(O56, $B$2:$E$200, 4, FALSE), "")</f>
        <v>1688065.5972223701</v>
      </c>
    </row>
    <row r="57" spans="1:18">
      <c r="A57" s="40" t="s">
        <v>204</v>
      </c>
      <c r="B57" s="11" t="s">
        <v>205</v>
      </c>
      <c r="C57" s="86">
        <v>93.2</v>
      </c>
      <c r="D57" s="34">
        <v>-1.0718113999999999E-3</v>
      </c>
      <c r="E57" s="84">
        <v>55202148.585411362</v>
      </c>
      <c r="F57" s="35"/>
      <c r="G57" s="52" t="s">
        <v>107</v>
      </c>
      <c r="H57" s="39">
        <f t="shared" si="15"/>
        <v>35.4</v>
      </c>
      <c r="I57" s="70">
        <f t="shared" si="16"/>
        <v>-8.4033613000000004E-3</v>
      </c>
      <c r="J57" s="79">
        <f t="shared" ref="J57:J75" si="21">_xlfn.IFNA(VLOOKUP(G57, $B$2:$E$200, 4, FALSE), "")</f>
        <v>177138721.42319247</v>
      </c>
      <c r="K57" s="75" t="s">
        <v>237</v>
      </c>
      <c r="L57" s="39">
        <f t="shared" si="17"/>
        <v>25.4</v>
      </c>
      <c r="M57" s="70">
        <f t="shared" si="18"/>
        <v>-3.9215685999999996E-3</v>
      </c>
      <c r="N57" s="79">
        <f t="shared" ref="N57:N75" si="22">_xlfn.IFNA(VLOOKUP(K57, $B$2:$E$200, 4, FALSE), "")</f>
        <v>14804276.62120058</v>
      </c>
      <c r="O57" s="75" t="s">
        <v>187</v>
      </c>
      <c r="P57" s="39">
        <f t="shared" si="19"/>
        <v>711</v>
      </c>
      <c r="Q57" s="70">
        <f t="shared" si="20"/>
        <v>-2.8050491E-3</v>
      </c>
      <c r="R57" s="79">
        <f t="shared" ref="R57:R75" si="23">_xlfn.IFNA(VLOOKUP(O57, $B$2:$E$200, 4, FALSE), "")</f>
        <v>659726.63169953995</v>
      </c>
    </row>
    <row r="58" spans="1:18">
      <c r="A58" s="40" t="s">
        <v>252</v>
      </c>
      <c r="B58" s="11" t="s">
        <v>253</v>
      </c>
      <c r="C58" s="86">
        <v>91.8</v>
      </c>
      <c r="D58" s="34">
        <v>-1.0881393E-3</v>
      </c>
      <c r="E58" s="84">
        <v>145349896.92614654</v>
      </c>
      <c r="F58" s="35"/>
      <c r="G58" s="52" t="s">
        <v>183</v>
      </c>
      <c r="H58" s="39">
        <f t="shared" si="15"/>
        <v>114</v>
      </c>
      <c r="I58" s="70">
        <f t="shared" si="16"/>
        <v>-8.6956522000000008E-3</v>
      </c>
      <c r="J58" s="79">
        <f t="shared" si="21"/>
        <v>5662419.2093933197</v>
      </c>
      <c r="K58" s="75" t="s">
        <v>209</v>
      </c>
      <c r="L58" s="39">
        <f t="shared" si="17"/>
        <v>71</v>
      </c>
      <c r="M58" s="70">
        <f t="shared" si="18"/>
        <v>-4.2075736000000002E-3</v>
      </c>
      <c r="N58" s="79">
        <f t="shared" si="22"/>
        <v>18607354.843427401</v>
      </c>
      <c r="O58" s="75" t="s">
        <v>219</v>
      </c>
      <c r="P58" s="39">
        <f t="shared" si="19"/>
        <v>342</v>
      </c>
      <c r="Q58" s="70">
        <f t="shared" si="20"/>
        <v>-2.9154519000000002E-3</v>
      </c>
      <c r="R58" s="79">
        <f t="shared" si="23"/>
        <v>1202233.9734195799</v>
      </c>
    </row>
    <row r="59" spans="1:18">
      <c r="A59" s="40" t="s">
        <v>90</v>
      </c>
      <c r="B59" s="11" t="s">
        <v>91</v>
      </c>
      <c r="C59" s="86">
        <v>17780</v>
      </c>
      <c r="D59" s="34">
        <v>-1.1235955E-3</v>
      </c>
      <c r="E59" s="84">
        <v>932507.23313941003</v>
      </c>
      <c r="F59" s="35"/>
      <c r="G59" s="52" t="s">
        <v>345</v>
      </c>
      <c r="H59" s="39">
        <f t="shared" si="15"/>
        <v>109</v>
      </c>
      <c r="I59" s="70">
        <f t="shared" si="16"/>
        <v>-9.0909091000000008E-3</v>
      </c>
      <c r="J59" s="79">
        <f t="shared" si="21"/>
        <v>2701390.06464912</v>
      </c>
      <c r="K59" s="75" t="s">
        <v>126</v>
      </c>
      <c r="L59" s="39">
        <f t="shared" si="17"/>
        <v>22.1</v>
      </c>
      <c r="M59" s="70">
        <f t="shared" si="18"/>
        <v>-4.5045045000000001E-3</v>
      </c>
      <c r="N59" s="79">
        <f t="shared" si="22"/>
        <v>42930930.73416394</v>
      </c>
      <c r="O59" s="75" t="s">
        <v>317</v>
      </c>
      <c r="P59" s="39">
        <f t="shared" si="19"/>
        <v>551</v>
      </c>
      <c r="Q59" s="70">
        <f t="shared" si="20"/>
        <v>-3.6166365000000001E-3</v>
      </c>
      <c r="R59" s="79">
        <f t="shared" si="23"/>
        <v>6351909.9817562802</v>
      </c>
    </row>
    <row r="60" spans="1:18">
      <c r="A60" s="40" t="s">
        <v>170</v>
      </c>
      <c r="B60" s="11" t="s">
        <v>350</v>
      </c>
      <c r="C60" s="86">
        <v>5.55</v>
      </c>
      <c r="D60" s="34">
        <v>-1.7985612E-3</v>
      </c>
      <c r="E60" s="84">
        <v>218847922.29938182</v>
      </c>
      <c r="F60" s="35"/>
      <c r="G60" s="52" t="s">
        <v>122</v>
      </c>
      <c r="H60" s="39">
        <f t="shared" si="15"/>
        <v>20.7</v>
      </c>
      <c r="I60" s="70">
        <f t="shared" si="16"/>
        <v>-9.5693779999999999E-3</v>
      </c>
      <c r="J60" s="83">
        <f t="shared" si="21"/>
        <v>43535416.98062627</v>
      </c>
      <c r="K60" s="76" t="s">
        <v>333</v>
      </c>
      <c r="L60" s="44">
        <f t="shared" si="17"/>
        <v>4.0199999999999996</v>
      </c>
      <c r="M60" s="71">
        <f t="shared" si="18"/>
        <v>-4.9504950000000001E-3</v>
      </c>
      <c r="N60" s="83">
        <f t="shared" si="22"/>
        <v>149011669.38110328</v>
      </c>
      <c r="O60" s="76" t="s">
        <v>235</v>
      </c>
      <c r="P60" s="44">
        <f t="shared" si="19"/>
        <v>512</v>
      </c>
      <c r="Q60" s="71">
        <f t="shared" si="20"/>
        <v>-3.8910505999999998E-3</v>
      </c>
      <c r="R60" s="83">
        <f t="shared" si="23"/>
        <v>1099416.97161364</v>
      </c>
    </row>
    <row r="61" spans="1:18">
      <c r="A61" s="40" t="s">
        <v>232</v>
      </c>
      <c r="B61" s="11" t="s">
        <v>233</v>
      </c>
      <c r="C61" s="86">
        <v>2730</v>
      </c>
      <c r="D61" s="34">
        <v>-1.8281536000000001E-3</v>
      </c>
      <c r="E61" s="84">
        <v>180595.05715969999</v>
      </c>
      <c r="F61" s="35"/>
      <c r="G61" s="56" t="s">
        <v>349</v>
      </c>
      <c r="H61" s="45">
        <f t="shared" si="15"/>
        <v>20.6</v>
      </c>
      <c r="I61" s="73">
        <f t="shared" si="16"/>
        <v>-9.6153846000000005E-3</v>
      </c>
      <c r="J61" s="89">
        <f t="shared" si="21"/>
        <v>22526613.24500677</v>
      </c>
      <c r="K61" s="75" t="s">
        <v>207</v>
      </c>
      <c r="L61" s="39">
        <f t="shared" si="17"/>
        <v>60.1</v>
      </c>
      <c r="M61" s="70">
        <f t="shared" si="18"/>
        <v>-4.9668873999999998E-3</v>
      </c>
      <c r="N61" s="89">
        <f t="shared" si="22"/>
        <v>8508517.3315474298</v>
      </c>
      <c r="O61" s="75" t="s">
        <v>101</v>
      </c>
      <c r="P61" s="39">
        <f t="shared" si="19"/>
        <v>203</v>
      </c>
      <c r="Q61" s="70">
        <f t="shared" si="20"/>
        <v>-4.9019607999999998E-3</v>
      </c>
      <c r="R61" s="89">
        <f t="shared" si="23"/>
        <v>1519296.1147417901</v>
      </c>
    </row>
    <row r="62" spans="1:18">
      <c r="A62" s="40" t="s">
        <v>164</v>
      </c>
      <c r="B62" s="11" t="s">
        <v>165</v>
      </c>
      <c r="C62" s="86">
        <v>888</v>
      </c>
      <c r="D62" s="34">
        <v>-2.2471909999999999E-3</v>
      </c>
      <c r="E62" s="84">
        <v>1688065.5972223701</v>
      </c>
      <c r="F62" s="35"/>
      <c r="G62" s="52" t="s">
        <v>66</v>
      </c>
      <c r="H62" s="39">
        <f t="shared" si="15"/>
        <v>599</v>
      </c>
      <c r="I62" s="70">
        <f t="shared" si="16"/>
        <v>-9.9173553999999994E-3</v>
      </c>
      <c r="J62" s="79">
        <f t="shared" si="21"/>
        <v>936914.72862634005</v>
      </c>
      <c r="K62" s="75" t="s">
        <v>181</v>
      </c>
      <c r="L62" s="39">
        <f t="shared" si="17"/>
        <v>3.85</v>
      </c>
      <c r="M62" s="70">
        <f t="shared" si="18"/>
        <v>-5.1679587000000001E-3</v>
      </c>
      <c r="N62" s="79">
        <f t="shared" si="22"/>
        <v>84218117.747815356</v>
      </c>
      <c r="O62" s="75" t="s">
        <v>103</v>
      </c>
      <c r="P62" s="39">
        <f t="shared" si="19"/>
        <v>202</v>
      </c>
      <c r="Q62" s="70">
        <f t="shared" si="20"/>
        <v>-4.9261084000000004E-3</v>
      </c>
      <c r="R62" s="79">
        <f t="shared" si="23"/>
        <v>1129452.2055122999</v>
      </c>
    </row>
    <row r="63" spans="1:18">
      <c r="A63" s="40" t="s">
        <v>131</v>
      </c>
      <c r="B63" s="11" t="s">
        <v>132</v>
      </c>
      <c r="C63" s="86">
        <v>41.4</v>
      </c>
      <c r="D63" s="34">
        <v>-2.4096386000000002E-3</v>
      </c>
      <c r="E63" s="84">
        <v>13364868.349234691</v>
      </c>
      <c r="F63" s="35"/>
      <c r="G63" s="52" t="s">
        <v>174</v>
      </c>
      <c r="H63" s="39">
        <f t="shared" si="15"/>
        <v>11960</v>
      </c>
      <c r="I63" s="70">
        <f t="shared" si="16"/>
        <v>-9.9337747999999997E-3</v>
      </c>
      <c r="J63" s="79">
        <f t="shared" si="21"/>
        <v>95725.086745709996</v>
      </c>
      <c r="K63" s="75" t="s">
        <v>71</v>
      </c>
      <c r="L63" s="39">
        <f t="shared" si="17"/>
        <v>9.6199999999999992</v>
      </c>
      <c r="M63" s="70">
        <f t="shared" si="18"/>
        <v>-5.1706308000000001E-3</v>
      </c>
      <c r="N63" s="79">
        <f t="shared" si="22"/>
        <v>37909391.18760784</v>
      </c>
      <c r="O63" s="75" t="s">
        <v>231</v>
      </c>
      <c r="P63" s="39">
        <f t="shared" si="19"/>
        <v>305</v>
      </c>
      <c r="Q63" s="70">
        <f t="shared" si="20"/>
        <v>-6.5146580000000004E-3</v>
      </c>
      <c r="R63" s="79">
        <f t="shared" si="23"/>
        <v>2141900.62588481</v>
      </c>
    </row>
    <row r="64" spans="1:18">
      <c r="A64" s="40" t="s">
        <v>186</v>
      </c>
      <c r="B64" s="11" t="s">
        <v>187</v>
      </c>
      <c r="C64" s="86">
        <v>711</v>
      </c>
      <c r="D64" s="34">
        <v>-2.8050491E-3</v>
      </c>
      <c r="E64" s="84">
        <v>659726.63169953995</v>
      </c>
      <c r="F64" s="35"/>
      <c r="G64" s="52" t="s">
        <v>145</v>
      </c>
      <c r="H64" s="39">
        <f t="shared" si="15"/>
        <v>66</v>
      </c>
      <c r="I64" s="70">
        <f t="shared" si="16"/>
        <v>-1.0494752600000001E-2</v>
      </c>
      <c r="J64" s="79">
        <f t="shared" si="21"/>
        <v>105966598.18515368</v>
      </c>
      <c r="K64" s="75" t="s">
        <v>221</v>
      </c>
      <c r="L64" s="39">
        <f t="shared" si="17"/>
        <v>17.600000000000001</v>
      </c>
      <c r="M64" s="70">
        <f t="shared" si="18"/>
        <v>-5.6497175E-3</v>
      </c>
      <c r="N64" s="79">
        <f t="shared" si="22"/>
        <v>18918185.561411809</v>
      </c>
      <c r="O64" s="75" t="s">
        <v>116</v>
      </c>
      <c r="P64" s="39">
        <f t="shared" si="19"/>
        <v>909</v>
      </c>
      <c r="Q64" s="70">
        <f t="shared" si="20"/>
        <v>-6.5573769999999997E-3</v>
      </c>
      <c r="R64" s="79">
        <f t="shared" si="23"/>
        <v>573163.31718200003</v>
      </c>
    </row>
    <row r="65" spans="1:18" ht="17.25" thickBot="1">
      <c r="A65" s="40" t="s">
        <v>218</v>
      </c>
      <c r="B65" s="11" t="s">
        <v>219</v>
      </c>
      <c r="C65" s="86">
        <v>342</v>
      </c>
      <c r="D65" s="34">
        <v>-2.9154519000000002E-3</v>
      </c>
      <c r="E65" s="84">
        <v>1202233.9734195799</v>
      </c>
      <c r="F65" s="35"/>
      <c r="G65" s="53" t="s">
        <v>169</v>
      </c>
      <c r="H65" s="37">
        <f t="shared" si="15"/>
        <v>228</v>
      </c>
      <c r="I65" s="72">
        <f t="shared" si="16"/>
        <v>-1.2987013E-2</v>
      </c>
      <c r="J65" s="80">
        <f t="shared" si="21"/>
        <v>3827816.62999315</v>
      </c>
      <c r="K65" s="77" t="s">
        <v>120</v>
      </c>
      <c r="L65" s="37">
        <f t="shared" si="17"/>
        <v>98</v>
      </c>
      <c r="M65" s="72">
        <f t="shared" si="18"/>
        <v>-6.0851927000000004E-3</v>
      </c>
      <c r="N65" s="80">
        <f t="shared" si="22"/>
        <v>3504609.7010173998</v>
      </c>
      <c r="O65" s="77" t="s">
        <v>215</v>
      </c>
      <c r="P65" s="37">
        <f t="shared" si="19"/>
        <v>286</v>
      </c>
      <c r="Q65" s="72">
        <f t="shared" si="20"/>
        <v>-6.9444444000000003E-3</v>
      </c>
      <c r="R65" s="80">
        <f t="shared" si="23"/>
        <v>1144371.39406216</v>
      </c>
    </row>
    <row r="66" spans="1:18">
      <c r="A66" s="40" t="s">
        <v>72</v>
      </c>
      <c r="B66" s="11" t="s">
        <v>73</v>
      </c>
      <c r="C66" s="86">
        <v>12980</v>
      </c>
      <c r="D66" s="34">
        <v>-3.0721965999999999E-3</v>
      </c>
      <c r="E66" s="84">
        <v>186967.54909208999</v>
      </c>
      <c r="F66" s="35"/>
      <c r="G66" s="52" t="s">
        <v>157</v>
      </c>
      <c r="H66" s="38">
        <f t="shared" si="15"/>
        <v>212</v>
      </c>
      <c r="I66" s="69">
        <f t="shared" ref="I66:I75" si="24">_xlfn.IFNA(VLOOKUP(G66, $B$2:$D$200, 3, FALSE), "")</f>
        <v>-1.39534884E-2</v>
      </c>
      <c r="J66" s="78">
        <f t="shared" si="21"/>
        <v>12084497.000755711</v>
      </c>
      <c r="K66" s="74" t="s">
        <v>118</v>
      </c>
      <c r="L66" s="38">
        <f t="shared" si="17"/>
        <v>4.82</v>
      </c>
      <c r="M66" s="69">
        <f t="shared" si="18"/>
        <v>-6.1855670000000003E-3</v>
      </c>
      <c r="N66" s="78">
        <f t="shared" si="22"/>
        <v>66787664.364010699</v>
      </c>
      <c r="O66" s="74" t="s">
        <v>211</v>
      </c>
      <c r="P66" s="38">
        <f t="shared" si="19"/>
        <v>911</v>
      </c>
      <c r="Q66" s="69">
        <f t="shared" si="20"/>
        <v>-7.6252723000000003E-3</v>
      </c>
      <c r="R66" s="78">
        <f t="shared" si="23"/>
        <v>733200.45894104999</v>
      </c>
    </row>
    <row r="67" spans="1:18">
      <c r="A67" s="40" t="s">
        <v>63</v>
      </c>
      <c r="B67" s="11" t="s">
        <v>64</v>
      </c>
      <c r="C67" s="86">
        <v>9.14</v>
      </c>
      <c r="D67" s="34">
        <v>-3.2715375999999999E-3</v>
      </c>
      <c r="E67" s="84">
        <v>51063671.707371578</v>
      </c>
      <c r="F67" s="35"/>
      <c r="G67" s="52" t="s">
        <v>178</v>
      </c>
      <c r="H67" s="39">
        <f t="shared" si="15"/>
        <v>1400</v>
      </c>
      <c r="I67" s="70">
        <f t="shared" si="24"/>
        <v>-1.4084507E-2</v>
      </c>
      <c r="J67" s="79">
        <f t="shared" si="21"/>
        <v>406248.38966371998</v>
      </c>
      <c r="K67" s="75" t="s">
        <v>193</v>
      </c>
      <c r="L67" s="39">
        <f t="shared" si="17"/>
        <v>15.3</v>
      </c>
      <c r="M67" s="70">
        <f t="shared" si="18"/>
        <v>-6.4935065000000002E-3</v>
      </c>
      <c r="N67" s="79">
        <f t="shared" si="22"/>
        <v>16386895.606581639</v>
      </c>
      <c r="O67" s="75" t="s">
        <v>68</v>
      </c>
      <c r="P67" s="39">
        <f t="shared" si="19"/>
        <v>251</v>
      </c>
      <c r="Q67" s="70">
        <f t="shared" si="20"/>
        <v>-7.9051382999999996E-3</v>
      </c>
      <c r="R67" s="79">
        <f t="shared" si="23"/>
        <v>8529553.04132827</v>
      </c>
    </row>
    <row r="68" spans="1:18">
      <c r="A68" s="40" t="s">
        <v>346</v>
      </c>
      <c r="B68" s="11" t="s">
        <v>347</v>
      </c>
      <c r="C68" s="86">
        <v>14920</v>
      </c>
      <c r="D68" s="34">
        <v>-3.3400133999999999E-3</v>
      </c>
      <c r="E68" s="84">
        <v>77672.126770410003</v>
      </c>
      <c r="F68" s="35"/>
      <c r="G68" s="52" t="s">
        <v>81</v>
      </c>
      <c r="H68" s="39">
        <f t="shared" si="15"/>
        <v>348</v>
      </c>
      <c r="I68" s="70">
        <f t="shared" si="24"/>
        <v>-1.41643059E-2</v>
      </c>
      <c r="J68" s="79">
        <f t="shared" si="21"/>
        <v>19533578.709691562</v>
      </c>
      <c r="K68" s="75" t="s">
        <v>141</v>
      </c>
      <c r="L68" s="39">
        <f t="shared" si="17"/>
        <v>2.97</v>
      </c>
      <c r="M68" s="70">
        <f t="shared" si="18"/>
        <v>-6.6889632000000001E-3</v>
      </c>
      <c r="N68" s="79">
        <f t="shared" si="22"/>
        <v>114951266.1451896</v>
      </c>
      <c r="O68" s="75" t="s">
        <v>183</v>
      </c>
      <c r="P68" s="39">
        <f t="shared" si="19"/>
        <v>114</v>
      </c>
      <c r="Q68" s="70">
        <f t="shared" si="20"/>
        <v>-8.6956522000000008E-3</v>
      </c>
      <c r="R68" s="79">
        <f t="shared" si="23"/>
        <v>5662419.2093933197</v>
      </c>
    </row>
    <row r="69" spans="1:18">
      <c r="A69" s="40" t="s">
        <v>316</v>
      </c>
      <c r="B69" s="11" t="s">
        <v>317</v>
      </c>
      <c r="C69" s="86">
        <v>551</v>
      </c>
      <c r="D69" s="34">
        <v>-3.6166365000000001E-3</v>
      </c>
      <c r="E69" s="84">
        <v>6351909.9817562802</v>
      </c>
      <c r="F69" s="35"/>
      <c r="G69" s="52" t="s">
        <v>85</v>
      </c>
      <c r="H69" s="39">
        <f t="shared" si="15"/>
        <v>138</v>
      </c>
      <c r="I69" s="70">
        <f t="shared" si="24"/>
        <v>-1.42857143E-2</v>
      </c>
      <c r="J69" s="79">
        <f t="shared" si="21"/>
        <v>29596709.050883811</v>
      </c>
      <c r="K69" s="75" t="s">
        <v>107</v>
      </c>
      <c r="L69" s="39">
        <f t="shared" si="17"/>
        <v>35.4</v>
      </c>
      <c r="M69" s="70">
        <f t="shared" si="18"/>
        <v>-8.4033613000000004E-3</v>
      </c>
      <c r="N69" s="79">
        <f t="shared" si="22"/>
        <v>177138721.42319247</v>
      </c>
      <c r="O69" s="75" t="s">
        <v>345</v>
      </c>
      <c r="P69" s="39">
        <f t="shared" si="19"/>
        <v>109</v>
      </c>
      <c r="Q69" s="70">
        <f t="shared" si="20"/>
        <v>-9.0909091000000008E-3</v>
      </c>
      <c r="R69" s="79">
        <f t="shared" si="23"/>
        <v>2701390.06464912</v>
      </c>
    </row>
    <row r="70" spans="1:18">
      <c r="A70" s="40" t="s">
        <v>234</v>
      </c>
      <c r="B70" s="11" t="s">
        <v>235</v>
      </c>
      <c r="C70" s="86">
        <v>512</v>
      </c>
      <c r="D70" s="34">
        <v>-3.8910505999999998E-3</v>
      </c>
      <c r="E70" s="84">
        <v>1099416.97161364</v>
      </c>
      <c r="F70" s="35"/>
      <c r="G70" s="52" t="s">
        <v>191</v>
      </c>
      <c r="H70" s="39">
        <f t="shared" si="15"/>
        <v>49.3</v>
      </c>
      <c r="I70" s="70">
        <f t="shared" si="24"/>
        <v>-1.5968063899999999E-2</v>
      </c>
      <c r="J70" s="83">
        <f t="shared" si="21"/>
        <v>20350572.767610669</v>
      </c>
      <c r="K70" s="76" t="s">
        <v>122</v>
      </c>
      <c r="L70" s="44">
        <f t="shared" si="17"/>
        <v>20.7</v>
      </c>
      <c r="M70" s="71">
        <f t="shared" si="18"/>
        <v>-9.5693779999999999E-3</v>
      </c>
      <c r="N70" s="83">
        <f t="shared" si="22"/>
        <v>43535416.98062627</v>
      </c>
      <c r="O70" s="76" t="s">
        <v>66</v>
      </c>
      <c r="P70" s="44">
        <f t="shared" si="19"/>
        <v>599</v>
      </c>
      <c r="Q70" s="71">
        <f t="shared" si="20"/>
        <v>-9.9173553999999994E-3</v>
      </c>
      <c r="R70" s="83">
        <f t="shared" si="23"/>
        <v>936914.72862634005</v>
      </c>
    </row>
    <row r="71" spans="1:18">
      <c r="A71" s="40" t="s">
        <v>236</v>
      </c>
      <c r="B71" s="11" t="s">
        <v>237</v>
      </c>
      <c r="C71" s="86">
        <v>25.4</v>
      </c>
      <c r="D71" s="34">
        <v>-3.9215685999999996E-3</v>
      </c>
      <c r="E71" s="84">
        <v>14804276.62120058</v>
      </c>
      <c r="F71" s="35"/>
      <c r="G71" s="56" t="s">
        <v>341</v>
      </c>
      <c r="H71" s="45">
        <f t="shared" si="15"/>
        <v>651</v>
      </c>
      <c r="I71" s="73">
        <f t="shared" si="24"/>
        <v>-1.6616314199999999E-2</v>
      </c>
      <c r="J71" s="89">
        <f t="shared" si="21"/>
        <v>3136536.5944347898</v>
      </c>
      <c r="K71" s="75" t="s">
        <v>349</v>
      </c>
      <c r="L71" s="39">
        <f t="shared" si="17"/>
        <v>20.6</v>
      </c>
      <c r="M71" s="70">
        <f t="shared" si="18"/>
        <v>-9.6153846000000005E-3</v>
      </c>
      <c r="N71" s="89">
        <f t="shared" si="22"/>
        <v>22526613.24500677</v>
      </c>
      <c r="O71" s="75" t="s">
        <v>169</v>
      </c>
      <c r="P71" s="39">
        <f t="shared" si="19"/>
        <v>228</v>
      </c>
      <c r="Q71" s="70">
        <f t="shared" si="20"/>
        <v>-1.2987013E-2</v>
      </c>
      <c r="R71" s="89">
        <f t="shared" si="23"/>
        <v>3827816.62999315</v>
      </c>
    </row>
    <row r="72" spans="1:18">
      <c r="A72" s="40" t="s">
        <v>127</v>
      </c>
      <c r="B72" s="11" t="s">
        <v>128</v>
      </c>
      <c r="C72" s="86">
        <v>5925</v>
      </c>
      <c r="D72" s="34">
        <v>-4.2016807E-3</v>
      </c>
      <c r="E72" s="84">
        <v>146834.37074648999</v>
      </c>
      <c r="F72" s="35"/>
      <c r="G72" s="52" t="s">
        <v>335</v>
      </c>
      <c r="H72" s="39">
        <f t="shared" si="15"/>
        <v>1985</v>
      </c>
      <c r="I72" s="70">
        <f t="shared" si="24"/>
        <v>-1.73267327E-2</v>
      </c>
      <c r="J72" s="79">
        <f t="shared" si="21"/>
        <v>1800729.87788549</v>
      </c>
      <c r="K72" s="75" t="s">
        <v>145</v>
      </c>
      <c r="L72" s="39">
        <f t="shared" si="17"/>
        <v>66</v>
      </c>
      <c r="M72" s="70">
        <f t="shared" si="18"/>
        <v>-1.0494752600000001E-2</v>
      </c>
      <c r="N72" s="79">
        <f t="shared" si="22"/>
        <v>105966598.18515368</v>
      </c>
      <c r="O72" s="75" t="s">
        <v>157</v>
      </c>
      <c r="P72" s="39">
        <f t="shared" si="19"/>
        <v>212</v>
      </c>
      <c r="Q72" s="70">
        <f t="shared" si="20"/>
        <v>-1.39534884E-2</v>
      </c>
      <c r="R72" s="79">
        <f t="shared" si="23"/>
        <v>12084497.000755711</v>
      </c>
    </row>
    <row r="73" spans="1:18">
      <c r="A73" s="40" t="s">
        <v>208</v>
      </c>
      <c r="B73" s="11" t="s">
        <v>209</v>
      </c>
      <c r="C73" s="86">
        <v>71</v>
      </c>
      <c r="D73" s="34">
        <v>-4.2075736000000002E-3</v>
      </c>
      <c r="E73" s="84">
        <v>18607354.843427401</v>
      </c>
      <c r="F73" s="35"/>
      <c r="G73" s="52" t="s">
        <v>343</v>
      </c>
      <c r="H73" s="39">
        <f t="shared" si="15"/>
        <v>16840</v>
      </c>
      <c r="I73" s="70">
        <f t="shared" si="24"/>
        <v>-1.7502917199999999E-2</v>
      </c>
      <c r="J73" s="79">
        <f t="shared" si="21"/>
        <v>1243890.9349342801</v>
      </c>
      <c r="K73" s="75" t="s">
        <v>191</v>
      </c>
      <c r="L73" s="39">
        <f t="shared" si="17"/>
        <v>49.3</v>
      </c>
      <c r="M73" s="70">
        <f t="shared" si="18"/>
        <v>-1.5968063899999999E-2</v>
      </c>
      <c r="N73" s="79">
        <f t="shared" si="22"/>
        <v>20350572.767610669</v>
      </c>
      <c r="O73" s="75" t="s">
        <v>81</v>
      </c>
      <c r="P73" s="39">
        <f t="shared" si="19"/>
        <v>348</v>
      </c>
      <c r="Q73" s="70">
        <f t="shared" si="20"/>
        <v>-1.41643059E-2</v>
      </c>
      <c r="R73" s="79">
        <f t="shared" si="23"/>
        <v>19533578.709691562</v>
      </c>
    </row>
    <row r="74" spans="1:18">
      <c r="A74" s="40" t="s">
        <v>112</v>
      </c>
      <c r="B74" s="11" t="s">
        <v>113</v>
      </c>
      <c r="C74" s="86">
        <v>1115</v>
      </c>
      <c r="D74" s="34">
        <v>-4.4642856999999999E-3</v>
      </c>
      <c r="E74" s="84">
        <v>2145037.81299373</v>
      </c>
      <c r="F74" s="35"/>
      <c r="G74" s="52" t="s">
        <v>124</v>
      </c>
      <c r="H74" s="39">
        <f t="shared" si="15"/>
        <v>27.8</v>
      </c>
      <c r="I74" s="70">
        <f t="shared" si="24"/>
        <v>-1.7667844500000002E-2</v>
      </c>
      <c r="J74" s="79">
        <f t="shared" si="21"/>
        <v>92604168.997828484</v>
      </c>
      <c r="K74" s="75" t="s">
        <v>124</v>
      </c>
      <c r="L74" s="39">
        <f t="shared" si="17"/>
        <v>27.8</v>
      </c>
      <c r="M74" s="70">
        <f t="shared" si="18"/>
        <v>-1.7667844500000002E-2</v>
      </c>
      <c r="N74" s="79">
        <f t="shared" si="22"/>
        <v>92604168.997828484</v>
      </c>
      <c r="O74" s="75" t="s">
        <v>85</v>
      </c>
      <c r="P74" s="39">
        <f t="shared" si="19"/>
        <v>138</v>
      </c>
      <c r="Q74" s="70">
        <f t="shared" si="20"/>
        <v>-1.42857143E-2</v>
      </c>
      <c r="R74" s="79">
        <f t="shared" si="23"/>
        <v>29596709.050883811</v>
      </c>
    </row>
    <row r="75" spans="1:18" ht="17.25" thickBot="1">
      <c r="A75" s="40" t="s">
        <v>125</v>
      </c>
      <c r="B75" s="11" t="s">
        <v>126</v>
      </c>
      <c r="C75" s="86">
        <v>22.1</v>
      </c>
      <c r="D75" s="34">
        <v>-4.5045045000000001E-3</v>
      </c>
      <c r="E75" s="84">
        <v>42930930.73416394</v>
      </c>
      <c r="F75" s="35"/>
      <c r="G75" s="53" t="s">
        <v>323</v>
      </c>
      <c r="H75" s="37">
        <f t="shared" si="15"/>
        <v>3.09E-2</v>
      </c>
      <c r="I75" s="72">
        <f t="shared" si="24"/>
        <v>-1.9047618999999998E-2</v>
      </c>
      <c r="J75" s="80">
        <f t="shared" si="21"/>
        <v>141304205680.76846</v>
      </c>
      <c r="K75" s="77" t="s">
        <v>323</v>
      </c>
      <c r="L75" s="37">
        <f t="shared" si="17"/>
        <v>3.09E-2</v>
      </c>
      <c r="M75" s="72">
        <f t="shared" si="18"/>
        <v>-1.9047618999999998E-2</v>
      </c>
      <c r="N75" s="80">
        <f t="shared" si="22"/>
        <v>141304205680.76846</v>
      </c>
      <c r="O75" s="77" t="s">
        <v>341</v>
      </c>
      <c r="P75" s="37">
        <f t="shared" si="19"/>
        <v>651</v>
      </c>
      <c r="Q75" s="72">
        <f t="shared" si="20"/>
        <v>-1.6616314199999999E-2</v>
      </c>
      <c r="R75" s="80">
        <f t="shared" si="23"/>
        <v>3136536.5944347898</v>
      </c>
    </row>
    <row r="76" spans="1:18">
      <c r="A76" s="40" t="s">
        <v>100</v>
      </c>
      <c r="B76" s="11" t="s">
        <v>101</v>
      </c>
      <c r="C76" s="86">
        <v>203</v>
      </c>
      <c r="D76" s="34">
        <v>-4.9019607999999998E-3</v>
      </c>
      <c r="E76" s="84">
        <v>1519296.1147417901</v>
      </c>
      <c r="F76" s="35"/>
      <c r="G76" s="35"/>
      <c r="H76" s="35"/>
      <c r="I76" s="35"/>
    </row>
    <row r="77" spans="1:18">
      <c r="A77" s="40" t="s">
        <v>102</v>
      </c>
      <c r="B77" s="11" t="s">
        <v>103</v>
      </c>
      <c r="C77" s="86">
        <v>202</v>
      </c>
      <c r="D77" s="34">
        <v>-4.9261084000000004E-3</v>
      </c>
      <c r="E77" s="84">
        <v>1129452.2055122999</v>
      </c>
      <c r="F77" s="35"/>
      <c r="G77" s="35"/>
      <c r="H77" s="35"/>
      <c r="I77" s="35"/>
    </row>
    <row r="78" spans="1:18">
      <c r="A78" s="40" t="s">
        <v>179</v>
      </c>
      <c r="B78" s="11" t="s">
        <v>333</v>
      </c>
      <c r="C78" s="86">
        <v>4.0199999999999996</v>
      </c>
      <c r="D78" s="34">
        <v>-4.9504950000000001E-3</v>
      </c>
      <c r="E78" s="84">
        <v>149011669.38110328</v>
      </c>
      <c r="F78" s="35"/>
      <c r="G78" s="35"/>
      <c r="H78" s="35"/>
      <c r="I78" s="35"/>
    </row>
    <row r="79" spans="1:18">
      <c r="A79" s="40" t="s">
        <v>206</v>
      </c>
      <c r="B79" s="11" t="s">
        <v>207</v>
      </c>
      <c r="C79" s="86">
        <v>60.1</v>
      </c>
      <c r="D79" s="34">
        <v>-4.9668873999999998E-3</v>
      </c>
      <c r="E79" s="84">
        <v>8508517.3315474298</v>
      </c>
      <c r="F79" s="35"/>
      <c r="G79" s="35"/>
      <c r="H79" s="35"/>
      <c r="I79" s="35"/>
    </row>
    <row r="80" spans="1:18">
      <c r="A80" s="40" t="s">
        <v>180</v>
      </c>
      <c r="B80" s="11" t="s">
        <v>181</v>
      </c>
      <c r="C80" s="86">
        <v>3.85</v>
      </c>
      <c r="D80" s="34">
        <v>-5.1679587000000001E-3</v>
      </c>
      <c r="E80" s="84">
        <v>84218117.747815356</v>
      </c>
      <c r="F80" s="35"/>
      <c r="G80" s="35"/>
      <c r="H80" s="35"/>
      <c r="I80" s="35"/>
    </row>
    <row r="81" spans="1:9">
      <c r="A81" s="40" t="s">
        <v>70</v>
      </c>
      <c r="B81" s="11" t="s">
        <v>71</v>
      </c>
      <c r="C81" s="86">
        <v>9.6199999999999992</v>
      </c>
      <c r="D81" s="34">
        <v>-5.1706308000000001E-3</v>
      </c>
      <c r="E81" s="84">
        <v>37909391.18760784</v>
      </c>
      <c r="F81" s="35"/>
      <c r="G81" s="35"/>
      <c r="H81" s="35"/>
      <c r="I81" s="35"/>
    </row>
    <row r="82" spans="1:9">
      <c r="A82" s="40" t="s">
        <v>162</v>
      </c>
      <c r="B82" s="11" t="s">
        <v>163</v>
      </c>
      <c r="C82" s="86">
        <v>5495</v>
      </c>
      <c r="D82" s="34">
        <v>-5.4298643000000001E-3</v>
      </c>
      <c r="E82" s="84">
        <v>90487.091523349998</v>
      </c>
      <c r="F82" s="35"/>
      <c r="G82" s="35"/>
      <c r="H82" s="35"/>
      <c r="I82" s="35"/>
    </row>
    <row r="83" spans="1:9">
      <c r="A83" s="40" t="s">
        <v>220</v>
      </c>
      <c r="B83" s="11" t="s">
        <v>221</v>
      </c>
      <c r="C83" s="86">
        <v>17.600000000000001</v>
      </c>
      <c r="D83" s="34">
        <v>-5.6497175E-3</v>
      </c>
      <c r="E83" s="84">
        <v>18918185.561411809</v>
      </c>
      <c r="F83" s="35"/>
      <c r="G83" s="35"/>
      <c r="H83" s="35"/>
      <c r="I83" s="35"/>
    </row>
    <row r="84" spans="1:9">
      <c r="A84" s="40" t="s">
        <v>98</v>
      </c>
      <c r="B84" s="11" t="s">
        <v>99</v>
      </c>
      <c r="C84" s="86">
        <v>25810</v>
      </c>
      <c r="D84" s="34">
        <v>-5.7781202000000004E-3</v>
      </c>
      <c r="E84" s="84">
        <v>3238928.9346809802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86">
        <v>98</v>
      </c>
      <c r="D85" s="34">
        <v>-6.0851927000000004E-3</v>
      </c>
      <c r="E85" s="84">
        <v>3504609.7010173998</v>
      </c>
      <c r="F85" s="35"/>
      <c r="G85" s="35"/>
      <c r="H85" s="35"/>
      <c r="I85" s="35"/>
    </row>
    <row r="86" spans="1:9">
      <c r="A86" s="40" t="s">
        <v>117</v>
      </c>
      <c r="B86" s="11" t="s">
        <v>118</v>
      </c>
      <c r="C86" s="86">
        <v>4.82</v>
      </c>
      <c r="D86" s="34">
        <v>-6.1855670000000003E-3</v>
      </c>
      <c r="E86" s="84">
        <v>66787664.364010699</v>
      </c>
      <c r="F86" s="35"/>
      <c r="G86" s="35"/>
      <c r="H86" s="35"/>
      <c r="I86" s="35"/>
    </row>
    <row r="87" spans="1:9">
      <c r="A87" s="40" t="s">
        <v>192</v>
      </c>
      <c r="B87" s="11" t="s">
        <v>193</v>
      </c>
      <c r="C87" s="86">
        <v>15.3</v>
      </c>
      <c r="D87" s="34">
        <v>-6.4935065000000002E-3</v>
      </c>
      <c r="E87" s="84">
        <v>16386895.606581639</v>
      </c>
      <c r="F87" s="35"/>
      <c r="G87" s="35"/>
      <c r="H87" s="35"/>
      <c r="I87" s="35"/>
    </row>
    <row r="88" spans="1:9">
      <c r="A88" s="40" t="s">
        <v>230</v>
      </c>
      <c r="B88" s="11" t="s">
        <v>231</v>
      </c>
      <c r="C88" s="86">
        <v>305</v>
      </c>
      <c r="D88" s="34">
        <v>-6.5146580000000004E-3</v>
      </c>
      <c r="E88" s="84">
        <v>2141900.62588481</v>
      </c>
      <c r="F88" s="35"/>
      <c r="G88" s="35"/>
      <c r="H88" s="35"/>
      <c r="I88" s="35"/>
    </row>
    <row r="89" spans="1:9">
      <c r="A89" s="40" t="s">
        <v>115</v>
      </c>
      <c r="B89" s="11" t="s">
        <v>116</v>
      </c>
      <c r="C89" s="86">
        <v>909</v>
      </c>
      <c r="D89" s="34">
        <v>-6.5573769999999997E-3</v>
      </c>
      <c r="E89" s="84">
        <v>573163.31718200003</v>
      </c>
      <c r="F89" s="35"/>
      <c r="G89" s="35"/>
      <c r="H89" s="35"/>
      <c r="I89" s="35"/>
    </row>
    <row r="90" spans="1:9">
      <c r="A90" s="40" t="s">
        <v>140</v>
      </c>
      <c r="B90" s="11" t="s">
        <v>141</v>
      </c>
      <c r="C90" s="86">
        <v>2.97</v>
      </c>
      <c r="D90" s="34">
        <v>-6.6889632000000001E-3</v>
      </c>
      <c r="E90" s="84">
        <v>114951266.1451896</v>
      </c>
      <c r="F90" s="35"/>
      <c r="G90" s="35"/>
      <c r="H90" s="35"/>
      <c r="I90" s="35"/>
    </row>
    <row r="91" spans="1:9">
      <c r="A91" s="40" t="s">
        <v>214</v>
      </c>
      <c r="B91" s="11" t="s">
        <v>215</v>
      </c>
      <c r="C91" s="86">
        <v>286</v>
      </c>
      <c r="D91" s="34">
        <v>-6.9444444000000003E-3</v>
      </c>
      <c r="E91" s="84">
        <v>1144371.39406216</v>
      </c>
      <c r="F91" s="35"/>
      <c r="G91" s="35"/>
      <c r="H91" s="35"/>
      <c r="I91" s="35"/>
    </row>
    <row r="92" spans="1:9">
      <c r="A92" s="40" t="s">
        <v>327</v>
      </c>
      <c r="B92" s="11" t="s">
        <v>328</v>
      </c>
      <c r="C92" s="86">
        <v>4855</v>
      </c>
      <c r="D92" s="34">
        <v>-7.1574641999999997E-3</v>
      </c>
      <c r="E92" s="84">
        <v>519096.13629754999</v>
      </c>
      <c r="F92" s="35"/>
      <c r="G92" s="35"/>
      <c r="H92" s="35"/>
      <c r="I92" s="35"/>
    </row>
    <row r="93" spans="1:9">
      <c r="A93" s="40" t="s">
        <v>210</v>
      </c>
      <c r="B93" s="11" t="s">
        <v>211</v>
      </c>
      <c r="C93" s="86">
        <v>911</v>
      </c>
      <c r="D93" s="34">
        <v>-7.6252723000000003E-3</v>
      </c>
      <c r="E93" s="84">
        <v>733200.45894104999</v>
      </c>
      <c r="F93" s="35"/>
      <c r="G93" s="35"/>
      <c r="H93" s="35"/>
      <c r="I93" s="35"/>
    </row>
    <row r="94" spans="1:9">
      <c r="A94" s="40" t="s">
        <v>67</v>
      </c>
      <c r="B94" s="11" t="s">
        <v>68</v>
      </c>
      <c r="C94" s="86">
        <v>251</v>
      </c>
      <c r="D94" s="34">
        <v>-7.9051382999999996E-3</v>
      </c>
      <c r="E94" s="84">
        <v>8529553.04132827</v>
      </c>
      <c r="F94" s="35"/>
      <c r="G94" s="35"/>
      <c r="H94" s="35"/>
      <c r="I94" s="35"/>
    </row>
    <row r="95" spans="1:9">
      <c r="A95" s="40" t="s">
        <v>150</v>
      </c>
      <c r="B95" s="11" t="s">
        <v>151</v>
      </c>
      <c r="C95" s="86">
        <v>1780</v>
      </c>
      <c r="D95" s="34">
        <v>-8.3565459999999994E-3</v>
      </c>
      <c r="E95" s="84">
        <v>1135373.2395643</v>
      </c>
      <c r="F95" s="35"/>
      <c r="G95" s="35"/>
      <c r="H95" s="35"/>
      <c r="I95" s="35"/>
    </row>
    <row r="96" spans="1:9">
      <c r="A96" s="40" t="s">
        <v>106</v>
      </c>
      <c r="B96" s="11" t="s">
        <v>107</v>
      </c>
      <c r="C96" s="86">
        <v>35.4</v>
      </c>
      <c r="D96" s="34">
        <v>-8.4033613000000004E-3</v>
      </c>
      <c r="E96" s="84">
        <v>177138721.42319247</v>
      </c>
      <c r="F96" s="35"/>
      <c r="G96" s="35"/>
      <c r="H96" s="35"/>
      <c r="I96" s="35"/>
    </row>
    <row r="97" spans="1:9">
      <c r="A97" s="40" t="s">
        <v>182</v>
      </c>
      <c r="B97" s="11" t="s">
        <v>183</v>
      </c>
      <c r="C97" s="86">
        <v>114</v>
      </c>
      <c r="D97" s="34">
        <v>-8.6956522000000008E-3</v>
      </c>
      <c r="E97" s="84">
        <v>5662419.2093933197</v>
      </c>
      <c r="F97" s="35"/>
      <c r="G97" s="35"/>
      <c r="H97" s="35"/>
      <c r="I97" s="35"/>
    </row>
    <row r="98" spans="1:9">
      <c r="A98" s="40" t="s">
        <v>344</v>
      </c>
      <c r="B98" s="11" t="s">
        <v>345</v>
      </c>
      <c r="C98" s="86">
        <v>109</v>
      </c>
      <c r="D98" s="34">
        <v>-9.0909091000000008E-3</v>
      </c>
      <c r="E98" s="84">
        <v>2701390.06464912</v>
      </c>
      <c r="F98" s="35"/>
      <c r="G98" s="35"/>
      <c r="H98" s="35"/>
      <c r="I98" s="35"/>
    </row>
    <row r="99" spans="1:9">
      <c r="A99" s="40" t="s">
        <v>121</v>
      </c>
      <c r="B99" s="11" t="s">
        <v>122</v>
      </c>
      <c r="C99" s="86">
        <v>20.7</v>
      </c>
      <c r="D99" s="34">
        <v>-9.5693779999999999E-3</v>
      </c>
      <c r="E99" s="84">
        <v>43535416.98062627</v>
      </c>
      <c r="F99" s="35"/>
      <c r="G99" s="35"/>
      <c r="H99" s="35"/>
      <c r="I99" s="35"/>
    </row>
    <row r="100" spans="1:9">
      <c r="A100" s="40" t="s">
        <v>348</v>
      </c>
      <c r="B100" s="11" t="s">
        <v>349</v>
      </c>
      <c r="C100" s="86">
        <v>20.6</v>
      </c>
      <c r="D100" s="34">
        <v>-9.6153846000000005E-3</v>
      </c>
      <c r="E100" s="84">
        <v>22526613.24500677</v>
      </c>
      <c r="F100" s="35"/>
      <c r="G100" s="35"/>
      <c r="H100" s="35"/>
      <c r="I100" s="35"/>
    </row>
    <row r="101" spans="1:9">
      <c r="A101" s="40" t="s">
        <v>65</v>
      </c>
      <c r="B101" s="11" t="s">
        <v>66</v>
      </c>
      <c r="C101" s="86">
        <v>599</v>
      </c>
      <c r="D101" s="34">
        <v>-9.9173553999999994E-3</v>
      </c>
      <c r="E101" s="84">
        <v>936914.72862634005</v>
      </c>
      <c r="F101" s="35"/>
      <c r="G101" s="35"/>
      <c r="H101" s="35"/>
      <c r="I101" s="35"/>
    </row>
    <row r="102" spans="1:9">
      <c r="A102" s="40" t="s">
        <v>173</v>
      </c>
      <c r="B102" s="11" t="s">
        <v>174</v>
      </c>
      <c r="C102" s="86">
        <v>11960</v>
      </c>
      <c r="D102" s="34">
        <v>-9.9337747999999997E-3</v>
      </c>
      <c r="E102" s="84">
        <v>95725.086745709996</v>
      </c>
      <c r="F102" s="35"/>
      <c r="G102" s="35"/>
      <c r="H102" s="35"/>
      <c r="I102" s="35"/>
    </row>
    <row r="103" spans="1:9">
      <c r="A103" s="40" t="s">
        <v>144</v>
      </c>
      <c r="B103" s="11" t="s">
        <v>145</v>
      </c>
      <c r="C103" s="86">
        <v>66</v>
      </c>
      <c r="D103" s="34">
        <v>-1.0494752600000001E-2</v>
      </c>
      <c r="E103" s="84">
        <v>105966598.18515368</v>
      </c>
      <c r="F103" s="35"/>
      <c r="G103" s="35"/>
      <c r="H103" s="35"/>
      <c r="I103" s="35"/>
    </row>
    <row r="104" spans="1:9">
      <c r="A104" s="40" t="s">
        <v>168</v>
      </c>
      <c r="B104" s="11" t="s">
        <v>169</v>
      </c>
      <c r="C104" s="86">
        <v>228</v>
      </c>
      <c r="D104" s="34">
        <v>-1.2987013E-2</v>
      </c>
      <c r="E104" s="84">
        <v>3827816.62999315</v>
      </c>
      <c r="F104" s="35"/>
      <c r="G104" s="35"/>
      <c r="H104" s="35"/>
      <c r="I104" s="35"/>
    </row>
    <row r="105" spans="1:9">
      <c r="A105" s="40" t="s">
        <v>156</v>
      </c>
      <c r="B105" s="11" t="s">
        <v>157</v>
      </c>
      <c r="C105" s="86">
        <v>212</v>
      </c>
      <c r="D105" s="34">
        <v>-1.39534884E-2</v>
      </c>
      <c r="E105" s="84">
        <v>12084497.000755711</v>
      </c>
      <c r="F105" s="35"/>
      <c r="G105" s="35"/>
      <c r="H105" s="35"/>
      <c r="I105" s="35"/>
    </row>
    <row r="106" spans="1:9">
      <c r="A106" s="40" t="s">
        <v>177</v>
      </c>
      <c r="B106" s="11" t="s">
        <v>178</v>
      </c>
      <c r="C106" s="86">
        <v>1400</v>
      </c>
      <c r="D106" s="34">
        <v>-1.4084507E-2</v>
      </c>
      <c r="E106" s="84">
        <v>406248.38966371998</v>
      </c>
      <c r="F106" s="35"/>
      <c r="G106" s="35"/>
      <c r="H106" s="35"/>
      <c r="I106" s="35"/>
    </row>
    <row r="107" spans="1:9">
      <c r="A107" s="40" t="s">
        <v>80</v>
      </c>
      <c r="B107" s="11" t="s">
        <v>81</v>
      </c>
      <c r="C107" s="86">
        <v>348</v>
      </c>
      <c r="D107" s="34">
        <v>-1.41643059E-2</v>
      </c>
      <c r="E107" s="84">
        <v>19533578.709691562</v>
      </c>
      <c r="F107" s="35"/>
      <c r="G107" s="35"/>
      <c r="H107" s="35"/>
      <c r="I107" s="35"/>
    </row>
    <row r="108" spans="1:9">
      <c r="A108" s="40" t="s">
        <v>84</v>
      </c>
      <c r="B108" s="11" t="s">
        <v>85</v>
      </c>
      <c r="C108" s="86">
        <v>138</v>
      </c>
      <c r="D108" s="34">
        <v>-1.42857143E-2</v>
      </c>
      <c r="E108" s="84">
        <v>29596709.050883811</v>
      </c>
      <c r="F108" s="35"/>
      <c r="G108" s="35"/>
      <c r="H108" s="35"/>
      <c r="I108" s="35"/>
    </row>
    <row r="109" spans="1:9">
      <c r="A109" s="40" t="s">
        <v>190</v>
      </c>
      <c r="B109" s="11" t="s">
        <v>191</v>
      </c>
      <c r="C109" s="86">
        <v>49.3</v>
      </c>
      <c r="D109" s="34">
        <v>-1.5968063899999999E-2</v>
      </c>
      <c r="E109" s="41">
        <v>20350572.767610669</v>
      </c>
    </row>
    <row r="110" spans="1:9">
      <c r="A110" s="40" t="s">
        <v>340</v>
      </c>
      <c r="B110" s="11" t="s">
        <v>341</v>
      </c>
      <c r="C110" s="86">
        <v>651</v>
      </c>
      <c r="D110" s="34">
        <v>-1.6616314199999999E-2</v>
      </c>
      <c r="E110" s="41">
        <v>3136536.5944347898</v>
      </c>
    </row>
    <row r="111" spans="1:9">
      <c r="A111" s="40" t="s">
        <v>334</v>
      </c>
      <c r="B111" s="11" t="s">
        <v>335</v>
      </c>
      <c r="C111" s="86">
        <v>1985</v>
      </c>
      <c r="D111" s="34">
        <v>-1.73267327E-2</v>
      </c>
      <c r="E111" s="41">
        <v>1800729.87788549</v>
      </c>
    </row>
    <row r="112" spans="1:9">
      <c r="A112" s="40" t="s">
        <v>342</v>
      </c>
      <c r="B112" s="11" t="s">
        <v>343</v>
      </c>
      <c r="C112" s="86">
        <v>16840</v>
      </c>
      <c r="D112" s="34">
        <v>-1.7502917199999999E-2</v>
      </c>
      <c r="E112" s="41">
        <v>1243890.9349342801</v>
      </c>
    </row>
    <row r="113" spans="1:5">
      <c r="A113" s="40" t="s">
        <v>123</v>
      </c>
      <c r="B113" s="11" t="s">
        <v>124</v>
      </c>
      <c r="C113" s="86">
        <v>27.8</v>
      </c>
      <c r="D113" s="34">
        <v>-1.7667844500000002E-2</v>
      </c>
      <c r="E113" s="41">
        <v>92604168.997828484</v>
      </c>
    </row>
    <row r="114" spans="1:5">
      <c r="A114" s="40" t="s">
        <v>322</v>
      </c>
      <c r="B114" s="11" t="s">
        <v>323</v>
      </c>
      <c r="C114" s="86">
        <v>3.09E-2</v>
      </c>
      <c r="D114" s="34">
        <v>-1.9047618999999998E-2</v>
      </c>
      <c r="E114" s="41">
        <v>141304205680.76846</v>
      </c>
    </row>
    <row r="115" spans="1:5">
      <c r="A115" s="40"/>
      <c r="B115" s="11"/>
      <c r="C115" s="86"/>
      <c r="E115" s="41"/>
    </row>
    <row r="116" spans="1:5">
      <c r="A116" s="40"/>
      <c r="B116" s="11"/>
      <c r="C116" s="86"/>
      <c r="E116" s="41"/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06"/>
    <col min="2" max="2" width="11.875" style="106" bestFit="1" customWidth="1"/>
    <col min="3" max="3" width="21.25" style="106" customWidth="1"/>
    <col min="4" max="4" width="16.25" style="106" bestFit="1" customWidth="1"/>
    <col min="5" max="5" width="9" style="106"/>
    <col min="6" max="6" width="14.375" style="106" bestFit="1" customWidth="1"/>
    <col min="7" max="7" width="16.25" style="106" bestFit="1" customWidth="1"/>
    <col min="8" max="8" width="9" style="106"/>
    <col min="9" max="9" width="14.5" style="106" customWidth="1"/>
    <col min="10" max="10" width="16.25" style="106" bestFit="1" customWidth="1"/>
    <col min="11" max="11" width="9" style="106"/>
    <col min="12" max="13" width="16.25" style="106" bestFit="1" customWidth="1"/>
    <col min="14" max="14" width="9" style="106"/>
    <col min="15" max="15" width="15.25" style="106" bestFit="1" customWidth="1"/>
    <col min="16" max="16" width="9" style="106" customWidth="1"/>
    <col min="17" max="19" width="12.125" style="106" customWidth="1"/>
    <col min="20" max="16384" width="9" style="106"/>
  </cols>
  <sheetData>
    <row r="1" spans="1:15" ht="16.5" customHeight="1" thickBot="1">
      <c r="A1" s="188" t="str">
        <f>TEXT(투자전략!$G$1, "[$-ko-KR]yyyy년 mm월") &amp; " 총결산"</f>
        <v>2023년 01월 총결산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90"/>
    </row>
    <row r="2" spans="1:15" ht="16.5" customHeight="1" thickBot="1">
      <c r="A2" s="185" t="s">
        <v>276</v>
      </c>
      <c r="B2" s="186"/>
      <c r="C2" s="186"/>
      <c r="D2" s="158" t="s">
        <v>272</v>
      </c>
      <c r="E2" s="158"/>
      <c r="F2" s="159"/>
      <c r="G2" s="188" t="s">
        <v>273</v>
      </c>
      <c r="H2" s="189"/>
      <c r="I2" s="190"/>
      <c r="J2" s="157" t="s">
        <v>274</v>
      </c>
      <c r="K2" s="158"/>
      <c r="L2" s="158"/>
      <c r="M2" s="158" t="s">
        <v>275</v>
      </c>
      <c r="N2" s="158"/>
      <c r="O2" s="159"/>
    </row>
    <row r="3" spans="1:15" ht="16.5" customHeight="1">
      <c r="A3" s="215">
        <v>1</v>
      </c>
      <c r="B3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Bottom20</v>
      </c>
      <c r="C3" s="187"/>
      <c r="D3" s="185" t="s">
        <v>277</v>
      </c>
      <c r="E3" s="186"/>
      <c r="F3" s="187"/>
      <c r="G3" s="185" t="s">
        <v>284</v>
      </c>
      <c r="H3" s="186"/>
      <c r="I3" s="187"/>
      <c r="J3" s="185" t="s">
        <v>291</v>
      </c>
      <c r="K3" s="186"/>
      <c r="L3" s="187"/>
      <c r="M3" s="185" t="s">
        <v>298</v>
      </c>
      <c r="N3" s="186"/>
      <c r="O3" s="187"/>
    </row>
    <row r="4" spans="1:15" ht="16.5" customHeight="1" thickBot="1">
      <c r="A4" s="216"/>
      <c r="B4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215,768 KRW (7.19%)</v>
      </c>
      <c r="C4" s="180"/>
      <c r="D4" s="178" t="str">
        <f ca="1" xml:space="preserve"> TEXT($F$92, "#,##0") &amp; " KRW (" &amp; TEXT($E$92, "0.00%)")</f>
        <v>142,580 KRW (4.75%)</v>
      </c>
      <c r="E4" s="179"/>
      <c r="F4" s="180"/>
      <c r="G4" s="178" t="str">
        <f ca="1" xml:space="preserve"> TEXT($I$92, "#,##0") &amp; " KRW (" &amp; TEXT($H$92, "0.00%)")</f>
        <v>142,179 KRW (4.74%)</v>
      </c>
      <c r="H4" s="179"/>
      <c r="I4" s="180"/>
      <c r="J4" s="178" t="str">
        <f ca="1" xml:space="preserve"> TEXT($L$92, "#,##0") &amp; " KRW (" &amp; TEXT($K$92, "0.00%)")</f>
        <v>170,009 KRW (5.67%)</v>
      </c>
      <c r="K4" s="179"/>
      <c r="L4" s="180"/>
      <c r="M4" s="178" t="str">
        <f ca="1" xml:space="preserve"> TEXT($O$92, "#,##0") &amp; " KRW (" &amp; TEXT($N$92, "0.00%)")</f>
        <v>47,446 KRW (1.58%)</v>
      </c>
      <c r="N4" s="179"/>
      <c r="O4" s="180"/>
    </row>
    <row r="5" spans="1:15" ht="16.5" customHeight="1">
      <c r="A5" s="215">
        <v>2</v>
      </c>
      <c r="B5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Bottom20</v>
      </c>
      <c r="C5" s="187"/>
      <c r="D5" s="185" t="s">
        <v>278</v>
      </c>
      <c r="E5" s="186"/>
      <c r="F5" s="187"/>
      <c r="G5" s="185" t="s">
        <v>285</v>
      </c>
      <c r="H5" s="186"/>
      <c r="I5" s="187"/>
      <c r="J5" s="185" t="s">
        <v>292</v>
      </c>
      <c r="K5" s="186"/>
      <c r="L5" s="187"/>
      <c r="M5" s="185" t="s">
        <v>299</v>
      </c>
      <c r="N5" s="186"/>
      <c r="O5" s="187"/>
    </row>
    <row r="6" spans="1:15" ht="16.5" customHeight="1" thickBot="1">
      <c r="A6" s="216"/>
      <c r="B6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196,434 KRW (6.55%)</v>
      </c>
      <c r="C6" s="180"/>
      <c r="D6" s="178" t="str">
        <f ca="1" xml:space="preserve"> TEXT($F$130, "#,##0") &amp; " KRW (" &amp; TEXT($E$130, "0.00%)")</f>
        <v>186,009 KRW (6.20%)</v>
      </c>
      <c r="E6" s="179"/>
      <c r="F6" s="180"/>
      <c r="G6" s="178" t="str">
        <f ca="1" xml:space="preserve"> TEXT($I$130, "#,##0") &amp; " KRW (" &amp; TEXT($H$130, "0.00%)")</f>
        <v>182,888 KRW (6.10%)</v>
      </c>
      <c r="H6" s="179"/>
      <c r="I6" s="180"/>
      <c r="J6" s="178" t="str">
        <f ca="1" xml:space="preserve"> TEXT($L$130, "#,##0") &amp; " KRW (" &amp; TEXT($K$130, "0.00%)")</f>
        <v>182,220 KRW (6.07%)</v>
      </c>
      <c r="K6" s="179"/>
      <c r="L6" s="180"/>
      <c r="M6" s="178" t="str">
        <f ca="1" xml:space="preserve"> TEXT($O$130, "#,##0") &amp; " KRW (" &amp; TEXT($N$130, "0.00%)")</f>
        <v>88,935 KRW (2.96%)</v>
      </c>
      <c r="N6" s="179"/>
      <c r="O6" s="180"/>
    </row>
    <row r="7" spans="1:15" ht="16.5" customHeight="1">
      <c r="A7" s="215">
        <v>3</v>
      </c>
      <c r="B7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Bottom20</v>
      </c>
      <c r="C7" s="187"/>
      <c r="D7" s="185" t="s">
        <v>279</v>
      </c>
      <c r="E7" s="186"/>
      <c r="F7" s="187"/>
      <c r="G7" s="185" t="s">
        <v>286</v>
      </c>
      <c r="H7" s="186"/>
      <c r="I7" s="187"/>
      <c r="J7" s="185" t="s">
        <v>293</v>
      </c>
      <c r="K7" s="186"/>
      <c r="L7" s="187"/>
      <c r="M7" s="185" t="s">
        <v>300</v>
      </c>
      <c r="N7" s="186"/>
      <c r="O7" s="187"/>
    </row>
    <row r="8" spans="1:15" ht="16.5" customHeight="1" thickBot="1">
      <c r="A8" s="216"/>
      <c r="B8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191,529 KRW (6.38%)</v>
      </c>
      <c r="C8" s="180"/>
      <c r="D8" s="178" t="str">
        <f ca="1" xml:space="preserve"> TEXT($F$206, "#,##0") &amp; " KRW (" &amp; TEXT($E$206, "0.00%)")</f>
        <v>144,961 KRW (4.83%)</v>
      </c>
      <c r="E8" s="179"/>
      <c r="F8" s="180"/>
      <c r="G8" s="178" t="str">
        <f ca="1" xml:space="preserve"> TEXT($I$206, "#,##0") &amp; " KRW (" &amp; TEXT($H$206, "0.00%)")</f>
        <v>128,021 KRW (4.27%)</v>
      </c>
      <c r="H8" s="179"/>
      <c r="I8" s="180"/>
      <c r="J8" s="178" t="str">
        <f ca="1" xml:space="preserve"> TEXT($L$206, "#,##0") &amp; " KRW (" &amp; TEXT($K$206, "0.00%)")</f>
        <v>191,529 KRW (6.38%)</v>
      </c>
      <c r="K8" s="179"/>
      <c r="L8" s="180"/>
      <c r="M8" s="178" t="str">
        <f ca="1" xml:space="preserve"> TEXT($O$206, "#,##0") &amp; " KRW (" &amp; TEXT($N$206, "0.00%)")</f>
        <v>45,044 KRW (1.50%)</v>
      </c>
      <c r="N8" s="179"/>
      <c r="O8" s="180"/>
    </row>
    <row r="9" spans="1:15" ht="16.5" customHeight="1">
      <c r="A9" s="215">
        <v>4</v>
      </c>
      <c r="B9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187"/>
      <c r="D9" s="185" t="s">
        <v>280</v>
      </c>
      <c r="E9" s="186"/>
      <c r="F9" s="187"/>
      <c r="G9" s="185" t="s">
        <v>287</v>
      </c>
      <c r="H9" s="186"/>
      <c r="I9" s="187"/>
      <c r="J9" s="185" t="s">
        <v>294</v>
      </c>
      <c r="K9" s="186"/>
      <c r="L9" s="187"/>
      <c r="M9" s="185" t="s">
        <v>301</v>
      </c>
      <c r="N9" s="186"/>
      <c r="O9" s="187"/>
    </row>
    <row r="10" spans="1:15" ht="16.5" customHeight="1" thickBot="1">
      <c r="A10" s="216"/>
      <c r="B10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186,009 KRW (6.20%)</v>
      </c>
      <c r="C10" s="180"/>
      <c r="D10" s="178" t="str">
        <f ca="1" xml:space="preserve"> TEXT($F$244, "#,##0") &amp; " KRW (" &amp; TEXT($E$244, "0.00%)")</f>
        <v>151,214 KRW (5.04%)</v>
      </c>
      <c r="E10" s="179"/>
      <c r="F10" s="180"/>
      <c r="G10" s="178" t="str">
        <f ca="1" xml:space="preserve"> TEXT($I$244, "#,##0") &amp; " KRW (" &amp; TEXT($H$244, "0.00%)")</f>
        <v>166,636 KRW (5.55%)</v>
      </c>
      <c r="H10" s="179"/>
      <c r="I10" s="180"/>
      <c r="J10" s="178" t="str">
        <f ca="1" xml:space="preserve"> TEXT($L$244, "#,##0") &amp; " KRW (" &amp; TEXT($K$244, "0.00%)")</f>
        <v>163,281 KRW (5.44%)</v>
      </c>
      <c r="K10" s="179"/>
      <c r="L10" s="180"/>
      <c r="M10" s="178" t="str">
        <f ca="1" xml:space="preserve"> TEXT($O$244, "#,##0") &amp; " KRW (" &amp; TEXT($N$244, "0.00%)")</f>
        <v>54,610 KRW (1.82%)</v>
      </c>
      <c r="N10" s="179"/>
      <c r="O10" s="180"/>
    </row>
    <row r="11" spans="1:15" ht="16.5" customHeight="1">
      <c r="A11" s="215">
        <v>5</v>
      </c>
      <c r="B11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동전코인 Top20</v>
      </c>
      <c r="C11" s="187"/>
      <c r="D11" s="185" t="s">
        <v>281</v>
      </c>
      <c r="E11" s="186"/>
      <c r="F11" s="187"/>
      <c r="G11" s="185" t="s">
        <v>288</v>
      </c>
      <c r="H11" s="186"/>
      <c r="I11" s="187"/>
      <c r="J11" s="185" t="s">
        <v>295</v>
      </c>
      <c r="K11" s="186"/>
      <c r="L11" s="187"/>
      <c r="M11" s="185" t="s">
        <v>302</v>
      </c>
      <c r="N11" s="186"/>
      <c r="O11" s="187"/>
    </row>
    <row r="12" spans="1:15" ht="16.5" customHeight="1" thickBot="1">
      <c r="A12" s="216"/>
      <c r="B12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182,888 KRW (6.10%)</v>
      </c>
      <c r="C12" s="180"/>
      <c r="D12" s="178" t="str">
        <f ca="1" xml:space="preserve"> TEXT($F$168, "#,##0") &amp; " KRW (" &amp; TEXT($E$168, "0.00%)")</f>
        <v>159,576 KRW (5.32%)</v>
      </c>
      <c r="E12" s="179"/>
      <c r="F12" s="180"/>
      <c r="G12" s="178" t="str">
        <f ca="1" xml:space="preserve"> TEXT($I$168, "#,##0") &amp; " KRW (" &amp; TEXT($H$168, "0.00%)")</f>
        <v>149,430 KRW (4.98%)</v>
      </c>
      <c r="H12" s="179"/>
      <c r="I12" s="180"/>
      <c r="J12" s="178" t="str">
        <f ca="1" xml:space="preserve"> TEXT($L$168, "#,##0") &amp; " KRW (" &amp; TEXT($K$168, "0.00%)")</f>
        <v>160,505 KRW (5.35%)</v>
      </c>
      <c r="K12" s="179"/>
      <c r="L12" s="180"/>
      <c r="M12" s="178" t="str">
        <f ca="1" xml:space="preserve"> TEXT($O$168, "#,##0") &amp; " KRW (" &amp; TEXT($N$168, "0.00%)")</f>
        <v>45,040 KRW (1.50%)</v>
      </c>
      <c r="N12" s="179"/>
      <c r="O12" s="180"/>
    </row>
    <row r="13" spans="1:15" ht="16.5" customHeight="1">
      <c r="A13" s="215">
        <v>6</v>
      </c>
      <c r="B13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Top20</v>
      </c>
      <c r="C13" s="187"/>
      <c r="D13" s="185" t="s">
        <v>282</v>
      </c>
      <c r="E13" s="186"/>
      <c r="F13" s="187"/>
      <c r="G13" s="185" t="s">
        <v>289</v>
      </c>
      <c r="H13" s="186"/>
      <c r="I13" s="187"/>
      <c r="J13" s="185" t="s">
        <v>296</v>
      </c>
      <c r="K13" s="186"/>
      <c r="L13" s="187"/>
      <c r="M13" s="185" t="s">
        <v>303</v>
      </c>
      <c r="N13" s="186"/>
      <c r="O13" s="187"/>
    </row>
    <row r="14" spans="1:15" ht="16.5" customHeight="1" thickBot="1">
      <c r="A14" s="216"/>
      <c r="B14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182,220 KRW (6.07%)</v>
      </c>
      <c r="C14" s="180"/>
      <c r="D14" s="178" t="str">
        <f ca="1" xml:space="preserve"> TEXT($F$282, "#,##0") &amp; " KRW (" &amp; TEXT($E$282, "0.00%)")</f>
        <v>180,608 KRW (6.02%)</v>
      </c>
      <c r="E14" s="179"/>
      <c r="F14" s="180"/>
      <c r="G14" s="178" t="str">
        <f ca="1" xml:space="preserve"> TEXT($I$282, "#,##0") &amp; " KRW (" &amp; TEXT($H$282, "0.00%)")</f>
        <v>196,434 KRW (6.55%)</v>
      </c>
      <c r="H14" s="179"/>
      <c r="I14" s="180"/>
      <c r="J14" s="178" t="str">
        <f ca="1" xml:space="preserve"> TEXT($L$282, "#,##0") &amp; " KRW (" &amp; TEXT($K$282, "0.00%)")</f>
        <v>215,768 KRW (7.19%)</v>
      </c>
      <c r="K14" s="179"/>
      <c r="L14" s="180"/>
      <c r="M14" s="178" t="str">
        <f ca="1" xml:space="preserve"> TEXT($O$282, "#,##0") &amp; " KRW (" &amp; TEXT($N$282, "0.00%)")</f>
        <v>52,581 KRW (1.75%)</v>
      </c>
      <c r="N14" s="179"/>
      <c r="O14" s="180"/>
    </row>
    <row r="15" spans="1:15" ht="16.5" customHeight="1">
      <c r="A15" s="215">
        <v>7</v>
      </c>
      <c r="B15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Bottom20</v>
      </c>
      <c r="C15" s="187"/>
      <c r="D15" s="185" t="s">
        <v>283</v>
      </c>
      <c r="E15" s="186"/>
      <c r="F15" s="187"/>
      <c r="G15" s="185" t="s">
        <v>290</v>
      </c>
      <c r="H15" s="186"/>
      <c r="I15" s="187"/>
      <c r="J15" s="185" t="s">
        <v>297</v>
      </c>
      <c r="K15" s="186"/>
      <c r="L15" s="187"/>
      <c r="M15" s="185" t="s">
        <v>304</v>
      </c>
      <c r="N15" s="186"/>
      <c r="O15" s="187"/>
    </row>
    <row r="16" spans="1:15" ht="16.5" customHeight="1" thickBot="1">
      <c r="A16" s="216"/>
      <c r="B16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180,608 KRW (6.02%)</v>
      </c>
      <c r="C16" s="180"/>
      <c r="D16" s="178" t="str">
        <f ca="1" xml:space="preserve"> TEXT($F$54, "#,##0") &amp; " KRW (" &amp; TEXT($E$54, "0.00%)")</f>
        <v>0 KRW (0.00%)</v>
      </c>
      <c r="E16" s="179"/>
      <c r="F16" s="180"/>
      <c r="G16" s="178" t="str">
        <f ca="1" xml:space="preserve"> TEXT($I$54, "#,##0") &amp; " KRW (" &amp; TEXT($H$54, "0.00%)")</f>
        <v>0 KRW (0.00%)</v>
      </c>
      <c r="H16" s="179"/>
      <c r="I16" s="180"/>
      <c r="J16" s="178" t="str">
        <f ca="1" xml:space="preserve"> TEXT($L$54, "#,##0") &amp; " KRW (" &amp; TEXT($K$54, "0.00%)")</f>
        <v>0 KRW (0.00%)</v>
      </c>
      <c r="K16" s="179"/>
      <c r="L16" s="180"/>
      <c r="M16" s="178" t="str">
        <f ca="1" xml:space="preserve"> TEXT($O$54, "#,##0") &amp; " KRW (" &amp; TEXT($N$54, "0.00%)")</f>
        <v>0 KRW (0.00%)</v>
      </c>
      <c r="N16" s="179"/>
      <c r="O16" s="180"/>
    </row>
    <row r="18" spans="1:15" ht="16.5" customHeight="1" thickBot="1"/>
    <row r="19" spans="1:15" ht="16.5" customHeight="1" thickBot="1">
      <c r="A19" s="157" t="str">
        <f>TEXT(투자전략!$G$1, "[$-ko-KR]yyyy년 mm월 ") &amp; "실거래 월말결산"</f>
        <v>2023년 01월 실거래 월말결산</v>
      </c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9"/>
    </row>
    <row r="20" spans="1:15" ht="16.5" customHeight="1" thickBot="1">
      <c r="A20" s="201" t="s">
        <v>271</v>
      </c>
      <c r="B20" s="178" t="s">
        <v>269</v>
      </c>
      <c r="C20" s="180"/>
      <c r="D20" s="178" t="s">
        <v>261</v>
      </c>
      <c r="E20" s="179"/>
      <c r="F20" s="180"/>
      <c r="G20" s="178" t="s">
        <v>262</v>
      </c>
      <c r="H20" s="179"/>
      <c r="I20" s="180"/>
      <c r="J20" s="178" t="s">
        <v>263</v>
      </c>
      <c r="K20" s="179"/>
      <c r="L20" s="180"/>
      <c r="M20" s="178" t="s">
        <v>264</v>
      </c>
      <c r="N20" s="179"/>
      <c r="O20" s="180"/>
    </row>
    <row r="21" spans="1:15" ht="16.5" customHeight="1" thickBot="1">
      <c r="A21" s="194"/>
      <c r="B21" s="46" t="s">
        <v>259</v>
      </c>
      <c r="C21" s="46" t="s">
        <v>42</v>
      </c>
      <c r="D21" s="105" t="s">
        <v>260</v>
      </c>
      <c r="E21" s="106" t="s">
        <v>40</v>
      </c>
      <c r="F21" s="81" t="s">
        <v>41</v>
      </c>
      <c r="G21" s="105" t="s">
        <v>260</v>
      </c>
      <c r="H21" s="106" t="s">
        <v>40</v>
      </c>
      <c r="I21" s="81" t="s">
        <v>41</v>
      </c>
      <c r="J21" s="105" t="s">
        <v>260</v>
      </c>
      <c r="K21" s="106" t="s">
        <v>40</v>
      </c>
      <c r="L21" s="81" t="s">
        <v>41</v>
      </c>
      <c r="M21" s="105" t="s">
        <v>260</v>
      </c>
      <c r="N21" s="106" t="s">
        <v>40</v>
      </c>
      <c r="O21" s="81" t="s">
        <v>41</v>
      </c>
    </row>
    <row r="22" spans="1:15" ht="16.5" customHeight="1">
      <c r="A22" s="46">
        <v>1</v>
      </c>
      <c r="B22" s="126" t="str">
        <f>HYPERLINK("#'" &amp; TEXT(투자전략!$G$1+0, "[$-ko-KR]yyyy.mm.dd") &amp; "'!A13:O37", TEXT(투자전략!$G$1+0, "[$-ko-KR]yyyy.mm.dd"))</f>
        <v>2023.01.01</v>
      </c>
      <c r="C22" s="117">
        <f ca="1">IFERROR(COUNTA(INDIRECT($B22&amp;"!A17:A36")) * INDIRECT($B22&amp;"!B37"), "")</f>
        <v>0</v>
      </c>
      <c r="D22" s="125">
        <f ca="1">IFERROR($C22 * (1 + E22), "")</f>
        <v>0</v>
      </c>
      <c r="E22" s="69">
        <f ca="1">IFERROR(INDIRECT($B22&amp;"!E37"), "")</f>
        <v>0</v>
      </c>
      <c r="F22" s="124">
        <f ca="1">IFERROR(INDIRECT($B22&amp;"!F37"), "")</f>
        <v>0</v>
      </c>
      <c r="G22" s="125">
        <f ca="1">IFERROR($C22 * (1 + H22), "")</f>
        <v>0</v>
      </c>
      <c r="H22" s="69">
        <f ca="1">IFERROR(INDIRECT($B22&amp;"!H37"), "")</f>
        <v>0</v>
      </c>
      <c r="I22" s="124">
        <f ca="1">IFERROR(INDIRECT($B22&amp;"!I37"), "")</f>
        <v>0</v>
      </c>
      <c r="J22" s="125">
        <f ca="1">IFERROR($C22 * (1 + K22), "")</f>
        <v>0</v>
      </c>
      <c r="K22" s="69">
        <f ca="1">IFERROR(INDIRECT($B22&amp;"!K37"), "")</f>
        <v>0</v>
      </c>
      <c r="L22" s="124">
        <f ca="1">IFERROR(INDIRECT($B22&amp;"!L37"), "")</f>
        <v>0</v>
      </c>
      <c r="M22" s="125">
        <f ca="1">IFERROR($C22 * (1 + N22), "")</f>
        <v>0</v>
      </c>
      <c r="N22" s="69">
        <f ca="1">IFERROR(INDIRECT($B22&amp;"!N37"), "")</f>
        <v>0</v>
      </c>
      <c r="O22" s="124">
        <f ca="1">IFERROR(INDIRECT($B22&amp;"!O37"), "")</f>
        <v>0</v>
      </c>
    </row>
    <row r="23" spans="1:15" ht="16.5" customHeight="1">
      <c r="A23" s="47">
        <v>2</v>
      </c>
      <c r="B23" s="127" t="str">
        <f>HYPERLINK("#'" &amp; TEXT(투자전략!$G$1+1, "[$-ko-KR]yyyy.mm.dd") &amp; "'!A13:O37", TEXT(투자전략!$G$1+1, "[$-ko-KR]yyyy.mm.dd"))</f>
        <v>2023.01.02</v>
      </c>
      <c r="C23" s="118">
        <f t="shared" ref="C23:C52" ca="1" si="0">IFERROR(COUNTA(INDIRECT($B23&amp;"!A17:A36")) * INDIRECT($B23&amp;"!B37"), "")</f>
        <v>0</v>
      </c>
      <c r="D23" s="122">
        <f t="shared" ref="D23:D52" ca="1" si="1">IFERROR($C23 * (1 + E23), "")</f>
        <v>0</v>
      </c>
      <c r="E23" s="70">
        <f t="shared" ref="E23:E52" ca="1" si="2">IFERROR(INDIRECT($B23&amp;"!E37"), "")</f>
        <v>0</v>
      </c>
      <c r="F23" s="120">
        <f t="shared" ref="F23:F52" ca="1" si="3">IFERROR(INDIRECT($B23&amp;"!F37"), "")</f>
        <v>0</v>
      </c>
      <c r="G23" s="122">
        <f t="shared" ref="G23:G52" ca="1" si="4">IFERROR($C23 * (1 + H23), "")</f>
        <v>0</v>
      </c>
      <c r="H23" s="70">
        <f t="shared" ref="H23:H52" ca="1" si="5">IFERROR(INDIRECT($B23&amp;"!H37"), "")</f>
        <v>0</v>
      </c>
      <c r="I23" s="120">
        <f t="shared" ref="I23:I52" ca="1" si="6">IFERROR(INDIRECT($B23&amp;"!I37"), "")</f>
        <v>0</v>
      </c>
      <c r="J23" s="122">
        <f t="shared" ref="J23:J52" ca="1" si="7">IFERROR($C23 * (1 + K23), "")</f>
        <v>0</v>
      </c>
      <c r="K23" s="70">
        <f t="shared" ref="K23:K52" ca="1" si="8">IFERROR(INDIRECT($B23&amp;"!K37"), "")</f>
        <v>0</v>
      </c>
      <c r="L23" s="120">
        <f t="shared" ref="L23:L52" ca="1" si="9">IFERROR(INDIRECT($B23&amp;"!L37"), "")</f>
        <v>0</v>
      </c>
      <c r="M23" s="122">
        <f t="shared" ref="M23:M52" ca="1" si="10">IFERROR($C23 * (1 + N23), "")</f>
        <v>0</v>
      </c>
      <c r="N23" s="70">
        <f t="shared" ref="N23:N52" ca="1" si="11">IFERROR(INDIRECT($B23&amp;"!N37"), "")</f>
        <v>0</v>
      </c>
      <c r="O23" s="120">
        <f t="shared" ref="O23:O52" ca="1" si="12">IFERROR(INDIRECT($B23&amp;"!O37"), "")</f>
        <v>0</v>
      </c>
    </row>
    <row r="24" spans="1:15" ht="16.5" customHeight="1">
      <c r="A24" s="47">
        <v>3</v>
      </c>
      <c r="B24" s="127" t="str">
        <f>HYPERLINK("#'" &amp; TEXT(투자전략!$G$1+2, "[$-ko-KR]yyyy.mm.dd") &amp; "'!A13:O37", TEXT(투자전략!$G$1+2, "[$-ko-KR]yyyy.mm.dd"))</f>
        <v>2023.01.03</v>
      </c>
      <c r="C24" s="118">
        <f t="shared" ca="1" si="0"/>
        <v>0</v>
      </c>
      <c r="D24" s="122">
        <f t="shared" ca="1" si="1"/>
        <v>0</v>
      </c>
      <c r="E24" s="70">
        <f t="shared" ca="1" si="2"/>
        <v>0</v>
      </c>
      <c r="F24" s="120">
        <f t="shared" ca="1" si="3"/>
        <v>0</v>
      </c>
      <c r="G24" s="122">
        <f t="shared" ca="1" si="4"/>
        <v>0</v>
      </c>
      <c r="H24" s="70">
        <f t="shared" ca="1" si="5"/>
        <v>0</v>
      </c>
      <c r="I24" s="120">
        <f t="shared" ca="1" si="6"/>
        <v>0</v>
      </c>
      <c r="J24" s="122">
        <f t="shared" ca="1" si="7"/>
        <v>0</v>
      </c>
      <c r="K24" s="70">
        <f t="shared" ca="1" si="8"/>
        <v>0</v>
      </c>
      <c r="L24" s="120">
        <f t="shared" ca="1" si="9"/>
        <v>0</v>
      </c>
      <c r="M24" s="122">
        <f t="shared" ca="1" si="10"/>
        <v>0</v>
      </c>
      <c r="N24" s="70">
        <f t="shared" ca="1" si="11"/>
        <v>0</v>
      </c>
      <c r="O24" s="120">
        <f t="shared" ca="1" si="12"/>
        <v>0</v>
      </c>
    </row>
    <row r="25" spans="1:15" ht="16.5" customHeight="1">
      <c r="A25" s="47">
        <v>4</v>
      </c>
      <c r="B25" s="127" t="str">
        <f>HYPERLINK("#'" &amp; TEXT(투자전략!$G$1+3, "[$-ko-KR]yyyy.mm.dd") &amp; "'!A13:O37", TEXT(투자전략!$G$1+3, "[$-ko-KR]yyyy.mm.dd"))</f>
        <v>2023.01.04</v>
      </c>
      <c r="C25" s="118">
        <f t="shared" ca="1" si="0"/>
        <v>0</v>
      </c>
      <c r="D25" s="122">
        <f t="shared" ca="1" si="1"/>
        <v>0</v>
      </c>
      <c r="E25" s="70">
        <f t="shared" ca="1" si="2"/>
        <v>0</v>
      </c>
      <c r="F25" s="120">
        <f t="shared" ca="1" si="3"/>
        <v>0</v>
      </c>
      <c r="G25" s="122">
        <f t="shared" ca="1" si="4"/>
        <v>0</v>
      </c>
      <c r="H25" s="70">
        <f t="shared" ca="1" si="5"/>
        <v>0</v>
      </c>
      <c r="I25" s="120">
        <f t="shared" ca="1" si="6"/>
        <v>0</v>
      </c>
      <c r="J25" s="122">
        <f t="shared" ca="1" si="7"/>
        <v>0</v>
      </c>
      <c r="K25" s="70">
        <f t="shared" ca="1" si="8"/>
        <v>0</v>
      </c>
      <c r="L25" s="120">
        <f t="shared" ca="1" si="9"/>
        <v>0</v>
      </c>
      <c r="M25" s="122">
        <f t="shared" ca="1" si="10"/>
        <v>0</v>
      </c>
      <c r="N25" s="70">
        <f t="shared" ca="1" si="11"/>
        <v>0</v>
      </c>
      <c r="O25" s="120">
        <f t="shared" ca="1" si="12"/>
        <v>0</v>
      </c>
    </row>
    <row r="26" spans="1:15" ht="16.5" customHeight="1">
      <c r="A26" s="47">
        <v>5</v>
      </c>
      <c r="B26" s="127" t="str">
        <f>HYPERLINK("#'" &amp; TEXT(투자전략!$G$1+4, "[$-ko-KR]yyyy.mm.dd") &amp; "'!A13:O37", TEXT(투자전략!$G$1+4, "[$-ko-KR]yyyy.mm.dd"))</f>
        <v>2023.01.05</v>
      </c>
      <c r="C26" s="118">
        <f t="shared" ca="1" si="0"/>
        <v>0</v>
      </c>
      <c r="D26" s="122">
        <f t="shared" ca="1" si="1"/>
        <v>0</v>
      </c>
      <c r="E26" s="70">
        <f t="shared" ca="1" si="2"/>
        <v>0</v>
      </c>
      <c r="F26" s="120">
        <f t="shared" ca="1" si="3"/>
        <v>0</v>
      </c>
      <c r="G26" s="122">
        <f t="shared" ca="1" si="4"/>
        <v>0</v>
      </c>
      <c r="H26" s="70">
        <f t="shared" ca="1" si="5"/>
        <v>0</v>
      </c>
      <c r="I26" s="120">
        <f t="shared" ca="1" si="6"/>
        <v>0</v>
      </c>
      <c r="J26" s="122">
        <f t="shared" ca="1" si="7"/>
        <v>0</v>
      </c>
      <c r="K26" s="70">
        <f t="shared" ca="1" si="8"/>
        <v>0</v>
      </c>
      <c r="L26" s="120">
        <f t="shared" ca="1" si="9"/>
        <v>0</v>
      </c>
      <c r="M26" s="122">
        <f t="shared" ca="1" si="10"/>
        <v>0</v>
      </c>
      <c r="N26" s="70">
        <f t="shared" ca="1" si="11"/>
        <v>0</v>
      </c>
      <c r="O26" s="120">
        <f t="shared" ca="1" si="12"/>
        <v>0</v>
      </c>
    </row>
    <row r="27" spans="1:15" ht="16.5" customHeight="1">
      <c r="A27" s="47">
        <v>6</v>
      </c>
      <c r="B27" s="127" t="str">
        <f>HYPERLINK("#'" &amp; TEXT(투자전략!$G$1+5, "[$-ko-KR]yyyy.mm.dd") &amp; "'!A13:O37", TEXT(투자전략!$G$1+5, "[$-ko-KR]yyyy.mm.dd"))</f>
        <v>2023.01.06</v>
      </c>
      <c r="C27" s="118">
        <f t="shared" ca="1" si="0"/>
        <v>0</v>
      </c>
      <c r="D27" s="122">
        <f t="shared" ca="1" si="1"/>
        <v>0</v>
      </c>
      <c r="E27" s="70">
        <f t="shared" ca="1" si="2"/>
        <v>0</v>
      </c>
      <c r="F27" s="120">
        <f t="shared" ca="1" si="3"/>
        <v>0</v>
      </c>
      <c r="G27" s="122">
        <f t="shared" ca="1" si="4"/>
        <v>0</v>
      </c>
      <c r="H27" s="70">
        <f t="shared" ca="1" si="5"/>
        <v>0</v>
      </c>
      <c r="I27" s="120">
        <f t="shared" ca="1" si="6"/>
        <v>0</v>
      </c>
      <c r="J27" s="122">
        <f t="shared" ca="1" si="7"/>
        <v>0</v>
      </c>
      <c r="K27" s="70">
        <f t="shared" ca="1" si="8"/>
        <v>0</v>
      </c>
      <c r="L27" s="120">
        <f t="shared" ca="1" si="9"/>
        <v>0</v>
      </c>
      <c r="M27" s="122">
        <f t="shared" ca="1" si="10"/>
        <v>0</v>
      </c>
      <c r="N27" s="70">
        <f t="shared" ca="1" si="11"/>
        <v>0</v>
      </c>
      <c r="O27" s="120">
        <f t="shared" ca="1" si="12"/>
        <v>0</v>
      </c>
    </row>
    <row r="28" spans="1:15" ht="16.5" customHeight="1" thickBot="1">
      <c r="A28" s="48">
        <v>7</v>
      </c>
      <c r="B28" s="128" t="str">
        <f>HYPERLINK("#'" &amp; TEXT(투자전략!$G$1+6, "[$-ko-KR]yyyy.mm.dd") &amp; "'!A13:O37", TEXT(투자전략!$G$1+6, "[$-ko-KR]yyyy.mm.dd"))</f>
        <v>2023.01.07</v>
      </c>
      <c r="C28" s="119">
        <f t="shared" ca="1" si="0"/>
        <v>0</v>
      </c>
      <c r="D28" s="123">
        <f t="shared" ca="1" si="1"/>
        <v>0</v>
      </c>
      <c r="E28" s="72">
        <f t="shared" ca="1" si="2"/>
        <v>0</v>
      </c>
      <c r="F28" s="121">
        <f t="shared" ca="1" si="3"/>
        <v>0</v>
      </c>
      <c r="G28" s="123">
        <f t="shared" ca="1" si="4"/>
        <v>0</v>
      </c>
      <c r="H28" s="72">
        <f t="shared" ca="1" si="5"/>
        <v>0</v>
      </c>
      <c r="I28" s="121">
        <f t="shared" ca="1" si="6"/>
        <v>0</v>
      </c>
      <c r="J28" s="123">
        <f t="shared" ca="1" si="7"/>
        <v>0</v>
      </c>
      <c r="K28" s="72">
        <f t="shared" ca="1" si="8"/>
        <v>0</v>
      </c>
      <c r="L28" s="121">
        <f t="shared" ca="1" si="9"/>
        <v>0</v>
      </c>
      <c r="M28" s="123">
        <f t="shared" ca="1" si="10"/>
        <v>0</v>
      </c>
      <c r="N28" s="72">
        <f t="shared" ca="1" si="11"/>
        <v>0</v>
      </c>
      <c r="O28" s="121">
        <f t="shared" ca="1" si="12"/>
        <v>0</v>
      </c>
    </row>
    <row r="29" spans="1:15" ht="16.5" customHeight="1">
      <c r="A29" s="46">
        <v>8</v>
      </c>
      <c r="B29" s="126" t="str">
        <f>HYPERLINK("#'" &amp; TEXT(투자전략!$G$1+7, "[$-ko-KR]yyyy.mm.dd") &amp; "'!A13:O37", TEXT(투자전략!$G$1+7, "[$-ko-KR]yyyy.mm.dd"))</f>
        <v>2023.01.08</v>
      </c>
      <c r="C29" s="117">
        <f t="shared" ca="1" si="0"/>
        <v>0</v>
      </c>
      <c r="D29" s="125">
        <f t="shared" ca="1" si="1"/>
        <v>0</v>
      </c>
      <c r="E29" s="69">
        <f t="shared" ca="1" si="2"/>
        <v>0</v>
      </c>
      <c r="F29" s="124">
        <f t="shared" ca="1" si="3"/>
        <v>0</v>
      </c>
      <c r="G29" s="125">
        <f t="shared" ca="1" si="4"/>
        <v>0</v>
      </c>
      <c r="H29" s="69">
        <f t="shared" ca="1" si="5"/>
        <v>0</v>
      </c>
      <c r="I29" s="124">
        <f t="shared" ca="1" si="6"/>
        <v>0</v>
      </c>
      <c r="J29" s="125">
        <f t="shared" ca="1" si="7"/>
        <v>0</v>
      </c>
      <c r="K29" s="69">
        <f t="shared" ca="1" si="8"/>
        <v>0</v>
      </c>
      <c r="L29" s="124">
        <f t="shared" ca="1" si="9"/>
        <v>0</v>
      </c>
      <c r="M29" s="125">
        <f t="shared" ca="1" si="10"/>
        <v>0</v>
      </c>
      <c r="N29" s="69">
        <f t="shared" ca="1" si="11"/>
        <v>0</v>
      </c>
      <c r="O29" s="124">
        <f t="shared" ca="1" si="12"/>
        <v>0</v>
      </c>
    </row>
    <row r="30" spans="1:15" ht="16.5" customHeight="1">
      <c r="A30" s="47">
        <v>9</v>
      </c>
      <c r="B30" s="127" t="str">
        <f>HYPERLINK("#'" &amp; TEXT(투자전략!$G$1+8, "[$-ko-KR]yyyy.mm.dd") &amp; "'!A13:O37", TEXT(투자전략!$G$1+8, "[$-ko-KR]yyyy.mm.dd"))</f>
        <v>2023.01.09</v>
      </c>
      <c r="C30" s="118" t="str">
        <f t="shared" ca="1" si="0"/>
        <v/>
      </c>
      <c r="D30" s="122" t="str">
        <f t="shared" ca="1" si="1"/>
        <v/>
      </c>
      <c r="E30" s="70" t="str">
        <f t="shared" ca="1" si="2"/>
        <v/>
      </c>
      <c r="F30" s="120" t="str">
        <f t="shared" ca="1" si="3"/>
        <v/>
      </c>
      <c r="G30" s="122" t="str">
        <f t="shared" ca="1" si="4"/>
        <v/>
      </c>
      <c r="H30" s="70" t="str">
        <f t="shared" ca="1" si="5"/>
        <v/>
      </c>
      <c r="I30" s="120" t="str">
        <f t="shared" ca="1" si="6"/>
        <v/>
      </c>
      <c r="J30" s="122" t="str">
        <f t="shared" ca="1" si="7"/>
        <v/>
      </c>
      <c r="K30" s="70" t="str">
        <f t="shared" ca="1" si="8"/>
        <v/>
      </c>
      <c r="L30" s="120" t="str">
        <f t="shared" ca="1" si="9"/>
        <v/>
      </c>
      <c r="M30" s="122" t="str">
        <f t="shared" ca="1" si="10"/>
        <v/>
      </c>
      <c r="N30" s="70" t="str">
        <f t="shared" ca="1" si="11"/>
        <v/>
      </c>
      <c r="O30" s="120" t="str">
        <f t="shared" ca="1" si="12"/>
        <v/>
      </c>
    </row>
    <row r="31" spans="1:15" ht="16.5" customHeight="1">
      <c r="A31" s="47">
        <v>10</v>
      </c>
      <c r="B31" s="127" t="str">
        <f>HYPERLINK("#'" &amp; TEXT(투자전략!$G$1+9, "[$-ko-KR]yyyy.mm.dd") &amp; "'!A13:O37", TEXT(투자전략!$G$1+9, "[$-ko-KR]yyyy.mm.dd"))</f>
        <v>2023.01.10</v>
      </c>
      <c r="C31" s="118" t="str">
        <f t="shared" ca="1" si="0"/>
        <v/>
      </c>
      <c r="D31" s="122" t="str">
        <f t="shared" ca="1" si="1"/>
        <v/>
      </c>
      <c r="E31" s="70" t="str">
        <f t="shared" ca="1" si="2"/>
        <v/>
      </c>
      <c r="F31" s="120" t="str">
        <f t="shared" ca="1" si="3"/>
        <v/>
      </c>
      <c r="G31" s="122" t="str">
        <f t="shared" ca="1" si="4"/>
        <v/>
      </c>
      <c r="H31" s="70" t="str">
        <f t="shared" ca="1" si="5"/>
        <v/>
      </c>
      <c r="I31" s="120" t="str">
        <f t="shared" ca="1" si="6"/>
        <v/>
      </c>
      <c r="J31" s="122" t="str">
        <f t="shared" ca="1" si="7"/>
        <v/>
      </c>
      <c r="K31" s="70" t="str">
        <f t="shared" ca="1" si="8"/>
        <v/>
      </c>
      <c r="L31" s="120" t="str">
        <f t="shared" ca="1" si="9"/>
        <v/>
      </c>
      <c r="M31" s="122" t="str">
        <f t="shared" ca="1" si="10"/>
        <v/>
      </c>
      <c r="N31" s="70" t="str">
        <f t="shared" ca="1" si="11"/>
        <v/>
      </c>
      <c r="O31" s="120" t="str">
        <f t="shared" ca="1" si="12"/>
        <v/>
      </c>
    </row>
    <row r="32" spans="1:15" ht="16.5" customHeight="1">
      <c r="A32" s="47">
        <v>11</v>
      </c>
      <c r="B32" s="127" t="str">
        <f>HYPERLINK("#'" &amp; TEXT(투자전략!$G$1+10, "[$-ko-KR]yyyy.mm.dd") &amp; "'!A13:O37", TEXT(투자전략!$G$1+10, "[$-ko-KR]yyyy.mm.dd"))</f>
        <v>2023.01.11</v>
      </c>
      <c r="C32" s="118" t="str">
        <f t="shared" ca="1" si="0"/>
        <v/>
      </c>
      <c r="D32" s="122" t="str">
        <f t="shared" ca="1" si="1"/>
        <v/>
      </c>
      <c r="E32" s="70" t="str">
        <f t="shared" ca="1" si="2"/>
        <v/>
      </c>
      <c r="F32" s="120" t="str">
        <f t="shared" ca="1" si="3"/>
        <v/>
      </c>
      <c r="G32" s="122" t="str">
        <f t="shared" ca="1" si="4"/>
        <v/>
      </c>
      <c r="H32" s="70" t="str">
        <f t="shared" ca="1" si="5"/>
        <v/>
      </c>
      <c r="I32" s="120" t="str">
        <f t="shared" ca="1" si="6"/>
        <v/>
      </c>
      <c r="J32" s="122" t="str">
        <f t="shared" ca="1" si="7"/>
        <v/>
      </c>
      <c r="K32" s="70" t="str">
        <f t="shared" ca="1" si="8"/>
        <v/>
      </c>
      <c r="L32" s="120" t="str">
        <f t="shared" ca="1" si="9"/>
        <v/>
      </c>
      <c r="M32" s="122" t="str">
        <f t="shared" ca="1" si="10"/>
        <v/>
      </c>
      <c r="N32" s="70" t="str">
        <f t="shared" ca="1" si="11"/>
        <v/>
      </c>
      <c r="O32" s="120" t="str">
        <f t="shared" ca="1" si="12"/>
        <v/>
      </c>
    </row>
    <row r="33" spans="1:15" ht="16.5" customHeight="1">
      <c r="A33" s="47">
        <v>12</v>
      </c>
      <c r="B33" s="127" t="str">
        <f>HYPERLINK("#'" &amp; TEXT(투자전략!$G$1+11, "[$-ko-KR]yyyy.mm.dd") &amp; "'!A13:O37", TEXT(투자전략!$G$1+11, "[$-ko-KR]yyyy.mm.dd"))</f>
        <v>2023.01.12</v>
      </c>
      <c r="C33" s="118" t="str">
        <f t="shared" ca="1" si="0"/>
        <v/>
      </c>
      <c r="D33" s="122" t="str">
        <f t="shared" ca="1" si="1"/>
        <v/>
      </c>
      <c r="E33" s="70" t="str">
        <f t="shared" ca="1" si="2"/>
        <v/>
      </c>
      <c r="F33" s="120" t="str">
        <f t="shared" ca="1" si="3"/>
        <v/>
      </c>
      <c r="G33" s="122" t="str">
        <f t="shared" ca="1" si="4"/>
        <v/>
      </c>
      <c r="H33" s="70" t="str">
        <f t="shared" ca="1" si="5"/>
        <v/>
      </c>
      <c r="I33" s="120" t="str">
        <f t="shared" ca="1" si="6"/>
        <v/>
      </c>
      <c r="J33" s="122" t="str">
        <f t="shared" ca="1" si="7"/>
        <v/>
      </c>
      <c r="K33" s="70" t="str">
        <f t="shared" ca="1" si="8"/>
        <v/>
      </c>
      <c r="L33" s="120" t="str">
        <f t="shared" ca="1" si="9"/>
        <v/>
      </c>
      <c r="M33" s="122" t="str">
        <f t="shared" ca="1" si="10"/>
        <v/>
      </c>
      <c r="N33" s="70" t="str">
        <f t="shared" ca="1" si="11"/>
        <v/>
      </c>
      <c r="O33" s="120" t="str">
        <f t="shared" ca="1" si="12"/>
        <v/>
      </c>
    </row>
    <row r="34" spans="1:15" ht="16.5" customHeight="1">
      <c r="A34" s="47">
        <v>13</v>
      </c>
      <c r="B34" s="127" t="str">
        <f>HYPERLINK("#'" &amp; TEXT(투자전략!$G$1+12, "[$-ko-KR]yyyy.mm.dd") &amp; "'!A13:O37", TEXT(투자전략!$G$1+12, "[$-ko-KR]yyyy.mm.dd"))</f>
        <v>2023.01.13</v>
      </c>
      <c r="C34" s="118" t="str">
        <f t="shared" ca="1" si="0"/>
        <v/>
      </c>
      <c r="D34" s="122" t="str">
        <f t="shared" ca="1" si="1"/>
        <v/>
      </c>
      <c r="E34" s="70" t="str">
        <f t="shared" ca="1" si="2"/>
        <v/>
      </c>
      <c r="F34" s="120" t="str">
        <f t="shared" ca="1" si="3"/>
        <v/>
      </c>
      <c r="G34" s="122" t="str">
        <f t="shared" ca="1" si="4"/>
        <v/>
      </c>
      <c r="H34" s="70" t="str">
        <f t="shared" ca="1" si="5"/>
        <v/>
      </c>
      <c r="I34" s="120" t="str">
        <f t="shared" ca="1" si="6"/>
        <v/>
      </c>
      <c r="J34" s="122" t="str">
        <f t="shared" ca="1" si="7"/>
        <v/>
      </c>
      <c r="K34" s="70" t="str">
        <f t="shared" ca="1" si="8"/>
        <v/>
      </c>
      <c r="L34" s="120" t="str">
        <f t="shared" ca="1" si="9"/>
        <v/>
      </c>
      <c r="M34" s="122" t="str">
        <f t="shared" ca="1" si="10"/>
        <v/>
      </c>
      <c r="N34" s="70" t="str">
        <f t="shared" ca="1" si="11"/>
        <v/>
      </c>
      <c r="O34" s="120" t="str">
        <f t="shared" ca="1" si="12"/>
        <v/>
      </c>
    </row>
    <row r="35" spans="1:15" ht="16.5" customHeight="1" thickBot="1">
      <c r="A35" s="48">
        <v>14</v>
      </c>
      <c r="B35" s="128" t="str">
        <f>HYPERLINK("#'" &amp; TEXT(투자전략!$G$1+13, "[$-ko-KR]yyyy.mm.dd") &amp; "'!A13:O37", TEXT(투자전략!$G$1+13, "[$-ko-KR]yyyy.mm.dd"))</f>
        <v>2023.01.14</v>
      </c>
      <c r="C35" s="119" t="str">
        <f t="shared" ca="1" si="0"/>
        <v/>
      </c>
      <c r="D35" s="123" t="str">
        <f t="shared" ca="1" si="1"/>
        <v/>
      </c>
      <c r="E35" s="72" t="str">
        <f t="shared" ca="1" si="2"/>
        <v/>
      </c>
      <c r="F35" s="121" t="str">
        <f t="shared" ca="1" si="3"/>
        <v/>
      </c>
      <c r="G35" s="123" t="str">
        <f t="shared" ca="1" si="4"/>
        <v/>
      </c>
      <c r="H35" s="72" t="str">
        <f t="shared" ca="1" si="5"/>
        <v/>
      </c>
      <c r="I35" s="121" t="str">
        <f t="shared" ca="1" si="6"/>
        <v/>
      </c>
      <c r="J35" s="123" t="str">
        <f t="shared" ca="1" si="7"/>
        <v/>
      </c>
      <c r="K35" s="72" t="str">
        <f t="shared" ca="1" si="8"/>
        <v/>
      </c>
      <c r="L35" s="121" t="str">
        <f t="shared" ca="1" si="9"/>
        <v/>
      </c>
      <c r="M35" s="123" t="str">
        <f t="shared" ca="1" si="10"/>
        <v/>
      </c>
      <c r="N35" s="72" t="str">
        <f t="shared" ca="1" si="11"/>
        <v/>
      </c>
      <c r="O35" s="121" t="str">
        <f t="shared" ca="1" si="12"/>
        <v/>
      </c>
    </row>
    <row r="36" spans="1:15" ht="16.5" customHeight="1">
      <c r="A36" s="46">
        <v>15</v>
      </c>
      <c r="B36" s="126" t="str">
        <f>HYPERLINK("#'" &amp; TEXT(투자전략!$G$1+14, "[$-ko-KR]yyyy.mm.dd") &amp; "'!A13:O37", TEXT(투자전략!$G$1+14, "[$-ko-KR]yyyy.mm.dd"))</f>
        <v>2023.01.15</v>
      </c>
      <c r="C36" s="117" t="str">
        <f t="shared" ca="1" si="0"/>
        <v/>
      </c>
      <c r="D36" s="125" t="str">
        <f t="shared" ca="1" si="1"/>
        <v/>
      </c>
      <c r="E36" s="69" t="str">
        <f t="shared" ca="1" si="2"/>
        <v/>
      </c>
      <c r="F36" s="124" t="str">
        <f t="shared" ca="1" si="3"/>
        <v/>
      </c>
      <c r="G36" s="125" t="str">
        <f t="shared" ca="1" si="4"/>
        <v/>
      </c>
      <c r="H36" s="69" t="str">
        <f t="shared" ca="1" si="5"/>
        <v/>
      </c>
      <c r="I36" s="124" t="str">
        <f t="shared" ca="1" si="6"/>
        <v/>
      </c>
      <c r="J36" s="125" t="str">
        <f t="shared" ca="1" si="7"/>
        <v/>
      </c>
      <c r="K36" s="69" t="str">
        <f t="shared" ca="1" si="8"/>
        <v/>
      </c>
      <c r="L36" s="124" t="str">
        <f t="shared" ca="1" si="9"/>
        <v/>
      </c>
      <c r="M36" s="125" t="str">
        <f t="shared" ca="1" si="10"/>
        <v/>
      </c>
      <c r="N36" s="69" t="str">
        <f t="shared" ca="1" si="11"/>
        <v/>
      </c>
      <c r="O36" s="124" t="str">
        <f t="shared" ca="1" si="12"/>
        <v/>
      </c>
    </row>
    <row r="37" spans="1:15" ht="16.5" customHeight="1">
      <c r="A37" s="47">
        <v>16</v>
      </c>
      <c r="B37" s="127" t="str">
        <f>HYPERLINK("#'" &amp; TEXT(투자전략!$G$1+15, "[$-ko-KR]yyyy.mm.dd") &amp; "'!A13:O37", TEXT(투자전략!$G$1+15, "[$-ko-KR]yyyy.mm.dd"))</f>
        <v>2023.01.16</v>
      </c>
      <c r="C37" s="118" t="str">
        <f t="shared" ca="1" si="0"/>
        <v/>
      </c>
      <c r="D37" s="122" t="str">
        <f t="shared" ca="1" si="1"/>
        <v/>
      </c>
      <c r="E37" s="70" t="str">
        <f t="shared" ca="1" si="2"/>
        <v/>
      </c>
      <c r="F37" s="120" t="str">
        <f t="shared" ca="1" si="3"/>
        <v/>
      </c>
      <c r="G37" s="122" t="str">
        <f t="shared" ca="1" si="4"/>
        <v/>
      </c>
      <c r="H37" s="70" t="str">
        <f t="shared" ca="1" si="5"/>
        <v/>
      </c>
      <c r="I37" s="120" t="str">
        <f t="shared" ca="1" si="6"/>
        <v/>
      </c>
      <c r="J37" s="122" t="str">
        <f t="shared" ca="1" si="7"/>
        <v/>
      </c>
      <c r="K37" s="70" t="str">
        <f t="shared" ca="1" si="8"/>
        <v/>
      </c>
      <c r="L37" s="120" t="str">
        <f t="shared" ca="1" si="9"/>
        <v/>
      </c>
      <c r="M37" s="122" t="str">
        <f t="shared" ca="1" si="10"/>
        <v/>
      </c>
      <c r="N37" s="70" t="str">
        <f t="shared" ca="1" si="11"/>
        <v/>
      </c>
      <c r="O37" s="120" t="str">
        <f t="shared" ca="1" si="12"/>
        <v/>
      </c>
    </row>
    <row r="38" spans="1:15" ht="16.5" customHeight="1">
      <c r="A38" s="47">
        <v>17</v>
      </c>
      <c r="B38" s="127" t="str">
        <f>HYPERLINK("#'" &amp; TEXT(투자전략!$G$1+16, "[$-ko-KR]yyyy.mm.dd") &amp; "'!A13:O37", TEXT(투자전략!$G$1+16, "[$-ko-KR]yyyy.mm.dd"))</f>
        <v>2023.01.17</v>
      </c>
      <c r="C38" s="118" t="str">
        <f t="shared" ca="1" si="0"/>
        <v/>
      </c>
      <c r="D38" s="122" t="str">
        <f t="shared" ca="1" si="1"/>
        <v/>
      </c>
      <c r="E38" s="70" t="str">
        <f t="shared" ca="1" si="2"/>
        <v/>
      </c>
      <c r="F38" s="120" t="str">
        <f t="shared" ca="1" si="3"/>
        <v/>
      </c>
      <c r="G38" s="122" t="str">
        <f t="shared" ca="1" si="4"/>
        <v/>
      </c>
      <c r="H38" s="70" t="str">
        <f t="shared" ca="1" si="5"/>
        <v/>
      </c>
      <c r="I38" s="120" t="str">
        <f t="shared" ca="1" si="6"/>
        <v/>
      </c>
      <c r="J38" s="122" t="str">
        <f t="shared" ca="1" si="7"/>
        <v/>
      </c>
      <c r="K38" s="70" t="str">
        <f t="shared" ca="1" si="8"/>
        <v/>
      </c>
      <c r="L38" s="120" t="str">
        <f t="shared" ca="1" si="9"/>
        <v/>
      </c>
      <c r="M38" s="122" t="str">
        <f t="shared" ca="1" si="10"/>
        <v/>
      </c>
      <c r="N38" s="70" t="str">
        <f t="shared" ca="1" si="11"/>
        <v/>
      </c>
      <c r="O38" s="120" t="str">
        <f t="shared" ca="1" si="12"/>
        <v/>
      </c>
    </row>
    <row r="39" spans="1:15" ht="16.5" customHeight="1">
      <c r="A39" s="47">
        <v>18</v>
      </c>
      <c r="B39" s="127" t="str">
        <f>HYPERLINK("#'" &amp; TEXT(투자전략!$G$1+17, "[$-ko-KR]yyyy.mm.dd") &amp; "'!A13:O37", TEXT(투자전략!$G$1+17, "[$-ko-KR]yyyy.mm.dd"))</f>
        <v>2023.01.18</v>
      </c>
      <c r="C39" s="118" t="str">
        <f t="shared" ca="1" si="0"/>
        <v/>
      </c>
      <c r="D39" s="122" t="str">
        <f t="shared" ca="1" si="1"/>
        <v/>
      </c>
      <c r="E39" s="70" t="str">
        <f t="shared" ca="1" si="2"/>
        <v/>
      </c>
      <c r="F39" s="120" t="str">
        <f t="shared" ca="1" si="3"/>
        <v/>
      </c>
      <c r="G39" s="122" t="str">
        <f t="shared" ca="1" si="4"/>
        <v/>
      </c>
      <c r="H39" s="70" t="str">
        <f t="shared" ca="1" si="5"/>
        <v/>
      </c>
      <c r="I39" s="120" t="str">
        <f t="shared" ca="1" si="6"/>
        <v/>
      </c>
      <c r="J39" s="122" t="str">
        <f t="shared" ca="1" si="7"/>
        <v/>
      </c>
      <c r="K39" s="70" t="str">
        <f t="shared" ca="1" si="8"/>
        <v/>
      </c>
      <c r="L39" s="120" t="str">
        <f t="shared" ca="1" si="9"/>
        <v/>
      </c>
      <c r="M39" s="122" t="str">
        <f t="shared" ca="1" si="10"/>
        <v/>
      </c>
      <c r="N39" s="70" t="str">
        <f t="shared" ca="1" si="11"/>
        <v/>
      </c>
      <c r="O39" s="120" t="str">
        <f t="shared" ca="1" si="12"/>
        <v/>
      </c>
    </row>
    <row r="40" spans="1:15" ht="16.5" customHeight="1">
      <c r="A40" s="47">
        <v>19</v>
      </c>
      <c r="B40" s="127" t="str">
        <f>HYPERLINK("#'" &amp; TEXT(투자전략!$G$1+18, "[$-ko-KR]yyyy.mm.dd") &amp; "'!A13:O37", TEXT(투자전략!$G$1+18, "[$-ko-KR]yyyy.mm.dd"))</f>
        <v>2023.01.19</v>
      </c>
      <c r="C40" s="118" t="str">
        <f t="shared" ca="1" si="0"/>
        <v/>
      </c>
      <c r="D40" s="122" t="str">
        <f t="shared" ca="1" si="1"/>
        <v/>
      </c>
      <c r="E40" s="70" t="str">
        <f t="shared" ca="1" si="2"/>
        <v/>
      </c>
      <c r="F40" s="120" t="str">
        <f t="shared" ca="1" si="3"/>
        <v/>
      </c>
      <c r="G40" s="122" t="str">
        <f t="shared" ca="1" si="4"/>
        <v/>
      </c>
      <c r="H40" s="70" t="str">
        <f t="shared" ca="1" si="5"/>
        <v/>
      </c>
      <c r="I40" s="120" t="str">
        <f t="shared" ca="1" si="6"/>
        <v/>
      </c>
      <c r="J40" s="122" t="str">
        <f t="shared" ca="1" si="7"/>
        <v/>
      </c>
      <c r="K40" s="70" t="str">
        <f t="shared" ca="1" si="8"/>
        <v/>
      </c>
      <c r="L40" s="120" t="str">
        <f t="shared" ca="1" si="9"/>
        <v/>
      </c>
      <c r="M40" s="122" t="str">
        <f t="shared" ca="1" si="10"/>
        <v/>
      </c>
      <c r="N40" s="70" t="str">
        <f t="shared" ca="1" si="11"/>
        <v/>
      </c>
      <c r="O40" s="120" t="str">
        <f t="shared" ca="1" si="12"/>
        <v/>
      </c>
    </row>
    <row r="41" spans="1:15" ht="16.5" customHeight="1">
      <c r="A41" s="47">
        <v>20</v>
      </c>
      <c r="B41" s="127" t="str">
        <f>HYPERLINK("#'" &amp; TEXT(투자전략!$G$1+19, "[$-ko-KR]yyyy.mm.dd") &amp; "'!A13:O37", TEXT(투자전략!$G$1+19, "[$-ko-KR]yyyy.mm.dd"))</f>
        <v>2023.01.20</v>
      </c>
      <c r="C41" s="118" t="str">
        <f t="shared" ca="1" si="0"/>
        <v/>
      </c>
      <c r="D41" s="122" t="str">
        <f t="shared" ca="1" si="1"/>
        <v/>
      </c>
      <c r="E41" s="70" t="str">
        <f t="shared" ca="1" si="2"/>
        <v/>
      </c>
      <c r="F41" s="120" t="str">
        <f t="shared" ca="1" si="3"/>
        <v/>
      </c>
      <c r="G41" s="122" t="str">
        <f t="shared" ca="1" si="4"/>
        <v/>
      </c>
      <c r="H41" s="70" t="str">
        <f t="shared" ca="1" si="5"/>
        <v/>
      </c>
      <c r="I41" s="120" t="str">
        <f t="shared" ca="1" si="6"/>
        <v/>
      </c>
      <c r="J41" s="122" t="str">
        <f t="shared" ca="1" si="7"/>
        <v/>
      </c>
      <c r="K41" s="70" t="str">
        <f t="shared" ca="1" si="8"/>
        <v/>
      </c>
      <c r="L41" s="120" t="str">
        <f t="shared" ca="1" si="9"/>
        <v/>
      </c>
      <c r="M41" s="122" t="str">
        <f t="shared" ca="1" si="10"/>
        <v/>
      </c>
      <c r="N41" s="70" t="str">
        <f t="shared" ca="1" si="11"/>
        <v/>
      </c>
      <c r="O41" s="120" t="str">
        <f t="shared" ca="1" si="12"/>
        <v/>
      </c>
    </row>
    <row r="42" spans="1:15" ht="16.5" customHeight="1" thickBot="1">
      <c r="A42" s="48">
        <v>21</v>
      </c>
      <c r="B42" s="128" t="str">
        <f>HYPERLINK("#'" &amp; TEXT(투자전략!$G$1+20, "[$-ko-KR]yyyy.mm.dd") &amp; "'!A13:O37", TEXT(투자전략!$G$1+20, "[$-ko-KR]yyyy.mm.dd"))</f>
        <v>2023.01.21</v>
      </c>
      <c r="C42" s="119" t="str">
        <f t="shared" ca="1" si="0"/>
        <v/>
      </c>
      <c r="D42" s="123" t="str">
        <f t="shared" ca="1" si="1"/>
        <v/>
      </c>
      <c r="E42" s="72" t="str">
        <f t="shared" ca="1" si="2"/>
        <v/>
      </c>
      <c r="F42" s="121" t="str">
        <f t="shared" ca="1" si="3"/>
        <v/>
      </c>
      <c r="G42" s="123" t="str">
        <f t="shared" ca="1" si="4"/>
        <v/>
      </c>
      <c r="H42" s="72" t="str">
        <f t="shared" ca="1" si="5"/>
        <v/>
      </c>
      <c r="I42" s="121" t="str">
        <f t="shared" ca="1" si="6"/>
        <v/>
      </c>
      <c r="J42" s="123" t="str">
        <f t="shared" ca="1" si="7"/>
        <v/>
      </c>
      <c r="K42" s="72" t="str">
        <f t="shared" ca="1" si="8"/>
        <v/>
      </c>
      <c r="L42" s="121" t="str">
        <f t="shared" ca="1" si="9"/>
        <v/>
      </c>
      <c r="M42" s="123" t="str">
        <f t="shared" ca="1" si="10"/>
        <v/>
      </c>
      <c r="N42" s="72" t="str">
        <f t="shared" ca="1" si="11"/>
        <v/>
      </c>
      <c r="O42" s="121" t="str">
        <f t="shared" ca="1" si="12"/>
        <v/>
      </c>
    </row>
    <row r="43" spans="1:15" ht="16.5" customHeight="1">
      <c r="A43" s="46">
        <v>22</v>
      </c>
      <c r="B43" s="126" t="str">
        <f>HYPERLINK("#'" &amp; TEXT(투자전략!$G$1+21, "[$-ko-KR]yyyy.mm.dd") &amp; "'!A13:O37", TEXT(투자전략!$G$1+21, "[$-ko-KR]yyyy.mm.dd"))</f>
        <v>2023.01.22</v>
      </c>
      <c r="C43" s="117" t="str">
        <f t="shared" ca="1" si="0"/>
        <v/>
      </c>
      <c r="D43" s="125" t="str">
        <f t="shared" ca="1" si="1"/>
        <v/>
      </c>
      <c r="E43" s="69" t="str">
        <f t="shared" ca="1" si="2"/>
        <v/>
      </c>
      <c r="F43" s="124" t="str">
        <f t="shared" ca="1" si="3"/>
        <v/>
      </c>
      <c r="G43" s="125" t="str">
        <f t="shared" ca="1" si="4"/>
        <v/>
      </c>
      <c r="H43" s="69" t="str">
        <f t="shared" ca="1" si="5"/>
        <v/>
      </c>
      <c r="I43" s="124" t="str">
        <f t="shared" ca="1" si="6"/>
        <v/>
      </c>
      <c r="J43" s="125" t="str">
        <f t="shared" ca="1" si="7"/>
        <v/>
      </c>
      <c r="K43" s="69" t="str">
        <f t="shared" ca="1" si="8"/>
        <v/>
      </c>
      <c r="L43" s="124" t="str">
        <f t="shared" ca="1" si="9"/>
        <v/>
      </c>
      <c r="M43" s="125" t="str">
        <f t="shared" ca="1" si="10"/>
        <v/>
      </c>
      <c r="N43" s="69" t="str">
        <f t="shared" ca="1" si="11"/>
        <v/>
      </c>
      <c r="O43" s="124" t="str">
        <f t="shared" ca="1" si="12"/>
        <v/>
      </c>
    </row>
    <row r="44" spans="1:15" ht="16.5" customHeight="1">
      <c r="A44" s="47">
        <v>23</v>
      </c>
      <c r="B44" s="127" t="str">
        <f>HYPERLINK("#'" &amp; TEXT(투자전략!$G$1+22, "[$-ko-KR]yyyy.mm.dd") &amp; "'!A13:O37", TEXT(투자전략!$G$1+22, "[$-ko-KR]yyyy.mm.dd"))</f>
        <v>2023.01.23</v>
      </c>
      <c r="C44" s="118" t="str">
        <f t="shared" ca="1" si="0"/>
        <v/>
      </c>
      <c r="D44" s="122" t="str">
        <f t="shared" ca="1" si="1"/>
        <v/>
      </c>
      <c r="E44" s="70" t="str">
        <f t="shared" ca="1" si="2"/>
        <v/>
      </c>
      <c r="F44" s="120" t="str">
        <f t="shared" ca="1" si="3"/>
        <v/>
      </c>
      <c r="G44" s="122" t="str">
        <f t="shared" ca="1" si="4"/>
        <v/>
      </c>
      <c r="H44" s="70" t="str">
        <f t="shared" ca="1" si="5"/>
        <v/>
      </c>
      <c r="I44" s="120" t="str">
        <f t="shared" ca="1" si="6"/>
        <v/>
      </c>
      <c r="J44" s="122" t="str">
        <f t="shared" ca="1" si="7"/>
        <v/>
      </c>
      <c r="K44" s="70" t="str">
        <f t="shared" ca="1" si="8"/>
        <v/>
      </c>
      <c r="L44" s="120" t="str">
        <f t="shared" ca="1" si="9"/>
        <v/>
      </c>
      <c r="M44" s="122" t="str">
        <f t="shared" ca="1" si="10"/>
        <v/>
      </c>
      <c r="N44" s="70" t="str">
        <f t="shared" ca="1" si="11"/>
        <v/>
      </c>
      <c r="O44" s="120" t="str">
        <f t="shared" ca="1" si="12"/>
        <v/>
      </c>
    </row>
    <row r="45" spans="1:15" ht="16.5" customHeight="1">
      <c r="A45" s="47">
        <v>24</v>
      </c>
      <c r="B45" s="127" t="str">
        <f>HYPERLINK("#'" &amp; TEXT(투자전략!$G$1+23, "[$-ko-KR]yyyy.mm.dd") &amp; "'!A13:O37", TEXT(투자전략!$G$1+23, "[$-ko-KR]yyyy.mm.dd"))</f>
        <v>2023.01.24</v>
      </c>
      <c r="C45" s="118" t="str">
        <f t="shared" ca="1" si="0"/>
        <v/>
      </c>
      <c r="D45" s="122" t="str">
        <f t="shared" ca="1" si="1"/>
        <v/>
      </c>
      <c r="E45" s="70" t="str">
        <f t="shared" ca="1" si="2"/>
        <v/>
      </c>
      <c r="F45" s="120" t="str">
        <f t="shared" ca="1" si="3"/>
        <v/>
      </c>
      <c r="G45" s="122" t="str">
        <f t="shared" ca="1" si="4"/>
        <v/>
      </c>
      <c r="H45" s="70" t="str">
        <f t="shared" ca="1" si="5"/>
        <v/>
      </c>
      <c r="I45" s="120" t="str">
        <f t="shared" ca="1" si="6"/>
        <v/>
      </c>
      <c r="J45" s="122" t="str">
        <f t="shared" ca="1" si="7"/>
        <v/>
      </c>
      <c r="K45" s="70" t="str">
        <f t="shared" ca="1" si="8"/>
        <v/>
      </c>
      <c r="L45" s="120" t="str">
        <f t="shared" ca="1" si="9"/>
        <v/>
      </c>
      <c r="M45" s="122" t="str">
        <f t="shared" ca="1" si="10"/>
        <v/>
      </c>
      <c r="N45" s="70" t="str">
        <f t="shared" ca="1" si="11"/>
        <v/>
      </c>
      <c r="O45" s="120" t="str">
        <f t="shared" ca="1" si="12"/>
        <v/>
      </c>
    </row>
    <row r="46" spans="1:15" ht="16.5" customHeight="1">
      <c r="A46" s="47">
        <v>25</v>
      </c>
      <c r="B46" s="127" t="str">
        <f>HYPERLINK("#'" &amp; TEXT(투자전략!$G$1+24, "[$-ko-KR]yyyy.mm.dd") &amp; "'!A13:O37", TEXT(투자전략!$G$1+24, "[$-ko-KR]yyyy.mm.dd"))</f>
        <v>2023.01.25</v>
      </c>
      <c r="C46" s="118" t="str">
        <f t="shared" ca="1" si="0"/>
        <v/>
      </c>
      <c r="D46" s="122" t="str">
        <f t="shared" ca="1" si="1"/>
        <v/>
      </c>
      <c r="E46" s="70" t="str">
        <f t="shared" ca="1" si="2"/>
        <v/>
      </c>
      <c r="F46" s="120" t="str">
        <f t="shared" ca="1" si="3"/>
        <v/>
      </c>
      <c r="G46" s="122" t="str">
        <f t="shared" ca="1" si="4"/>
        <v/>
      </c>
      <c r="H46" s="70" t="str">
        <f t="shared" ca="1" si="5"/>
        <v/>
      </c>
      <c r="I46" s="120" t="str">
        <f t="shared" ca="1" si="6"/>
        <v/>
      </c>
      <c r="J46" s="122" t="str">
        <f t="shared" ca="1" si="7"/>
        <v/>
      </c>
      <c r="K46" s="70" t="str">
        <f t="shared" ca="1" si="8"/>
        <v/>
      </c>
      <c r="L46" s="120" t="str">
        <f t="shared" ca="1" si="9"/>
        <v/>
      </c>
      <c r="M46" s="122" t="str">
        <f t="shared" ca="1" si="10"/>
        <v/>
      </c>
      <c r="N46" s="70" t="str">
        <f t="shared" ca="1" si="11"/>
        <v/>
      </c>
      <c r="O46" s="120" t="str">
        <f t="shared" ca="1" si="12"/>
        <v/>
      </c>
    </row>
    <row r="47" spans="1:15" ht="16.5" customHeight="1">
      <c r="A47" s="47">
        <v>26</v>
      </c>
      <c r="B47" s="127" t="str">
        <f>HYPERLINK("#'" &amp; TEXT(투자전략!$G$1+25, "[$-ko-KR]yyyy.mm.dd") &amp; "'!A13:O37", TEXT(투자전략!$G$1+25, "[$-ko-KR]yyyy.mm.dd"))</f>
        <v>2023.01.26</v>
      </c>
      <c r="C47" s="118" t="str">
        <f t="shared" ca="1" si="0"/>
        <v/>
      </c>
      <c r="D47" s="122" t="str">
        <f t="shared" ca="1" si="1"/>
        <v/>
      </c>
      <c r="E47" s="70" t="str">
        <f t="shared" ca="1" si="2"/>
        <v/>
      </c>
      <c r="F47" s="120" t="str">
        <f t="shared" ca="1" si="3"/>
        <v/>
      </c>
      <c r="G47" s="122" t="str">
        <f t="shared" ca="1" si="4"/>
        <v/>
      </c>
      <c r="H47" s="70" t="str">
        <f t="shared" ca="1" si="5"/>
        <v/>
      </c>
      <c r="I47" s="120" t="str">
        <f t="shared" ca="1" si="6"/>
        <v/>
      </c>
      <c r="J47" s="122" t="str">
        <f t="shared" ca="1" si="7"/>
        <v/>
      </c>
      <c r="K47" s="70" t="str">
        <f t="shared" ca="1" si="8"/>
        <v/>
      </c>
      <c r="L47" s="120" t="str">
        <f t="shared" ca="1" si="9"/>
        <v/>
      </c>
      <c r="M47" s="122" t="str">
        <f t="shared" ca="1" si="10"/>
        <v/>
      </c>
      <c r="N47" s="70" t="str">
        <f t="shared" ca="1" si="11"/>
        <v/>
      </c>
      <c r="O47" s="120" t="str">
        <f t="shared" ca="1" si="12"/>
        <v/>
      </c>
    </row>
    <row r="48" spans="1:15" ht="16.5" customHeight="1">
      <c r="A48" s="47">
        <v>27</v>
      </c>
      <c r="B48" s="127" t="str">
        <f>HYPERLINK("#'" &amp; TEXT(투자전략!$G$1+26, "[$-ko-KR]yyyy.mm.dd") &amp; "'!A13:O37", TEXT(투자전략!$G$1+26, "[$-ko-KR]yyyy.mm.dd"))</f>
        <v>2023.01.27</v>
      </c>
      <c r="C48" s="118" t="str">
        <f t="shared" ca="1" si="0"/>
        <v/>
      </c>
      <c r="D48" s="122" t="str">
        <f t="shared" ca="1" si="1"/>
        <v/>
      </c>
      <c r="E48" s="70" t="str">
        <f t="shared" ca="1" si="2"/>
        <v/>
      </c>
      <c r="F48" s="120" t="str">
        <f t="shared" ca="1" si="3"/>
        <v/>
      </c>
      <c r="G48" s="122" t="str">
        <f t="shared" ca="1" si="4"/>
        <v/>
      </c>
      <c r="H48" s="70" t="str">
        <f t="shared" ca="1" si="5"/>
        <v/>
      </c>
      <c r="I48" s="120" t="str">
        <f t="shared" ca="1" si="6"/>
        <v/>
      </c>
      <c r="J48" s="122" t="str">
        <f t="shared" ca="1" si="7"/>
        <v/>
      </c>
      <c r="K48" s="70" t="str">
        <f t="shared" ca="1" si="8"/>
        <v/>
      </c>
      <c r="L48" s="120" t="str">
        <f t="shared" ca="1" si="9"/>
        <v/>
      </c>
      <c r="M48" s="122" t="str">
        <f t="shared" ca="1" si="10"/>
        <v/>
      </c>
      <c r="N48" s="70" t="str">
        <f t="shared" ca="1" si="11"/>
        <v/>
      </c>
      <c r="O48" s="120" t="str">
        <f t="shared" ca="1" si="12"/>
        <v/>
      </c>
    </row>
    <row r="49" spans="1:15" ht="16.5" customHeight="1" thickBot="1">
      <c r="A49" s="48">
        <v>28</v>
      </c>
      <c r="B49" s="128" t="str">
        <f>HYPERLINK("#'" &amp; TEXT(투자전략!$G$1+27, "[$-ko-KR]yyyy.mm.dd") &amp; "'!A13:O37", TEXT(투자전략!$G$1+27, "[$-ko-KR]yyyy.mm.dd"))</f>
        <v>2023.01.28</v>
      </c>
      <c r="C49" s="119" t="str">
        <f t="shared" ca="1" si="0"/>
        <v/>
      </c>
      <c r="D49" s="123" t="str">
        <f t="shared" ca="1" si="1"/>
        <v/>
      </c>
      <c r="E49" s="72" t="str">
        <f t="shared" ca="1" si="2"/>
        <v/>
      </c>
      <c r="F49" s="121" t="str">
        <f t="shared" ca="1" si="3"/>
        <v/>
      </c>
      <c r="G49" s="123" t="str">
        <f t="shared" ca="1" si="4"/>
        <v/>
      </c>
      <c r="H49" s="72" t="str">
        <f t="shared" ca="1" si="5"/>
        <v/>
      </c>
      <c r="I49" s="121" t="str">
        <f t="shared" ca="1" si="6"/>
        <v/>
      </c>
      <c r="J49" s="123" t="str">
        <f t="shared" ca="1" si="7"/>
        <v/>
      </c>
      <c r="K49" s="72" t="str">
        <f t="shared" ca="1" si="8"/>
        <v/>
      </c>
      <c r="L49" s="121" t="str">
        <f t="shared" ca="1" si="9"/>
        <v/>
      </c>
      <c r="M49" s="123" t="str">
        <f t="shared" ca="1" si="10"/>
        <v/>
      </c>
      <c r="N49" s="72" t="str">
        <f t="shared" ca="1" si="11"/>
        <v/>
      </c>
      <c r="O49" s="121" t="str">
        <f t="shared" ca="1" si="12"/>
        <v/>
      </c>
    </row>
    <row r="50" spans="1:15" ht="16.5" customHeight="1">
      <c r="A50" s="105">
        <v>29</v>
      </c>
      <c r="B50" s="126" t="str">
        <f>HYPERLINK("#'" &amp; TEXT(투자전략!$G$1+28, "[$-ko-KR]yyyy.mm.dd") &amp; "'!A13:O37", TEXT(투자전략!$G$1+28, "[$-ko-KR]yyyy.mm.dd"))</f>
        <v>2023.01.29</v>
      </c>
      <c r="C50" s="118" t="str">
        <f t="shared" ca="1" si="0"/>
        <v/>
      </c>
      <c r="D50" s="122" t="str">
        <f t="shared" ca="1" si="1"/>
        <v/>
      </c>
      <c r="E50" s="70" t="str">
        <f t="shared" ca="1" si="2"/>
        <v/>
      </c>
      <c r="F50" s="120" t="str">
        <f t="shared" ca="1" si="3"/>
        <v/>
      </c>
      <c r="G50" s="122" t="str">
        <f t="shared" ca="1" si="4"/>
        <v/>
      </c>
      <c r="H50" s="70" t="str">
        <f t="shared" ca="1" si="5"/>
        <v/>
      </c>
      <c r="I50" s="120" t="str">
        <f t="shared" ca="1" si="6"/>
        <v/>
      </c>
      <c r="J50" s="122" t="str">
        <f t="shared" ca="1" si="7"/>
        <v/>
      </c>
      <c r="K50" s="70" t="str">
        <f t="shared" ca="1" si="8"/>
        <v/>
      </c>
      <c r="L50" s="120" t="str">
        <f t="shared" ca="1" si="9"/>
        <v/>
      </c>
      <c r="M50" s="122" t="str">
        <f t="shared" ca="1" si="10"/>
        <v/>
      </c>
      <c r="N50" s="70" t="str">
        <f t="shared" ca="1" si="11"/>
        <v/>
      </c>
      <c r="O50" s="120" t="str">
        <f t="shared" ca="1" si="12"/>
        <v/>
      </c>
    </row>
    <row r="51" spans="1:15" ht="16.5" customHeight="1">
      <c r="A51" s="105">
        <v>30</v>
      </c>
      <c r="B51" s="127" t="str">
        <f>HYPERLINK("#'" &amp; TEXT(투자전략!$G$1+29, "[$-ko-KR]yyyy.mm.dd") &amp; "'!A13:O37", TEXT(투자전략!$G$1+29, "[$-ko-KR]yyyy.mm.dd"))</f>
        <v>2023.01.30</v>
      </c>
      <c r="C51" s="118" t="str">
        <f t="shared" ca="1" si="0"/>
        <v/>
      </c>
      <c r="D51" s="122" t="str">
        <f t="shared" ca="1" si="1"/>
        <v/>
      </c>
      <c r="E51" s="70" t="str">
        <f t="shared" ca="1" si="2"/>
        <v/>
      </c>
      <c r="F51" s="120" t="str">
        <f t="shared" ca="1" si="3"/>
        <v/>
      </c>
      <c r="G51" s="122" t="str">
        <f t="shared" ca="1" si="4"/>
        <v/>
      </c>
      <c r="H51" s="70" t="str">
        <f t="shared" ca="1" si="5"/>
        <v/>
      </c>
      <c r="I51" s="120" t="str">
        <f t="shared" ca="1" si="6"/>
        <v/>
      </c>
      <c r="J51" s="122" t="str">
        <f t="shared" ca="1" si="7"/>
        <v/>
      </c>
      <c r="K51" s="70" t="str">
        <f t="shared" ca="1" si="8"/>
        <v/>
      </c>
      <c r="L51" s="120" t="str">
        <f t="shared" ca="1" si="9"/>
        <v/>
      </c>
      <c r="M51" s="122" t="str">
        <f t="shared" ca="1" si="10"/>
        <v/>
      </c>
      <c r="N51" s="70" t="str">
        <f t="shared" ca="1" si="11"/>
        <v/>
      </c>
      <c r="O51" s="120" t="str">
        <f t="shared" ca="1" si="12"/>
        <v/>
      </c>
    </row>
    <row r="52" spans="1:15" ht="16.5" customHeight="1" thickBot="1">
      <c r="A52" s="105">
        <v>31</v>
      </c>
      <c r="B52" s="127" t="str">
        <f>HYPERLINK("#'" &amp; TEXT(투자전략!$G$1+30, "[$-ko-KR]yyyy.mm.dd") &amp; "'!A13:O37", TEXT(투자전략!$G$1+30, "[$-ko-KR]yyyy.mm.dd"))</f>
        <v>2023.01.31</v>
      </c>
      <c r="C52" s="118" t="str">
        <f t="shared" ca="1" si="0"/>
        <v/>
      </c>
      <c r="D52" s="122" t="str">
        <f t="shared" ca="1" si="1"/>
        <v/>
      </c>
      <c r="E52" s="70" t="str">
        <f t="shared" ca="1" si="2"/>
        <v/>
      </c>
      <c r="F52" s="120" t="str">
        <f t="shared" ca="1" si="3"/>
        <v/>
      </c>
      <c r="G52" s="122" t="str">
        <f t="shared" ca="1" si="4"/>
        <v/>
      </c>
      <c r="H52" s="70" t="str">
        <f t="shared" ca="1" si="5"/>
        <v/>
      </c>
      <c r="I52" s="120" t="str">
        <f t="shared" ca="1" si="6"/>
        <v/>
      </c>
      <c r="J52" s="122" t="str">
        <f t="shared" ca="1" si="7"/>
        <v/>
      </c>
      <c r="K52" s="70" t="str">
        <f t="shared" ca="1" si="8"/>
        <v/>
      </c>
      <c r="L52" s="120" t="str">
        <f t="shared" ca="1" si="9"/>
        <v/>
      </c>
      <c r="M52" s="122" t="str">
        <f t="shared" ca="1" si="10"/>
        <v/>
      </c>
      <c r="N52" s="70" t="str">
        <f t="shared" ca="1" si="11"/>
        <v/>
      </c>
      <c r="O52" s="120" t="str">
        <f t="shared" ca="1" si="12"/>
        <v/>
      </c>
    </row>
    <row r="53" spans="1:15" ht="16.5" customHeight="1" thickBot="1">
      <c r="A53" s="185" t="s">
        <v>270</v>
      </c>
      <c r="B53" s="187"/>
      <c r="C53" s="116" t="s">
        <v>265</v>
      </c>
      <c r="D53" s="9" t="s">
        <v>266</v>
      </c>
      <c r="E53" s="63" t="s">
        <v>267</v>
      </c>
      <c r="F53" s="64" t="s">
        <v>268</v>
      </c>
      <c r="G53" s="9" t="s">
        <v>266</v>
      </c>
      <c r="H53" s="63" t="s">
        <v>267</v>
      </c>
      <c r="I53" s="64" t="s">
        <v>268</v>
      </c>
      <c r="J53" s="9" t="s">
        <v>266</v>
      </c>
      <c r="K53" s="63" t="s">
        <v>267</v>
      </c>
      <c r="L53" s="64" t="s">
        <v>268</v>
      </c>
      <c r="M53" s="9" t="s">
        <v>266</v>
      </c>
      <c r="N53" s="63" t="s">
        <v>267</v>
      </c>
      <c r="O53" s="64" t="s">
        <v>268</v>
      </c>
    </row>
    <row r="54" spans="1:15" ht="16.5" customHeight="1" thickBot="1">
      <c r="A54" s="178"/>
      <c r="B54" s="180"/>
      <c r="C54" s="119">
        <f ca="1">SUM(C22:C52)</f>
        <v>0</v>
      </c>
      <c r="D54" s="123">
        <f ca="1">SUM(D22:D52)</f>
        <v>0</v>
      </c>
      <c r="E54" s="72">
        <f ca="1">IFERROR(F54 / (SUM($C22:$C52) / COUNT($C22:$C52)), 0)</f>
        <v>0</v>
      </c>
      <c r="F54" s="121">
        <f ca="1">SUM(F22:F52)</f>
        <v>0</v>
      </c>
      <c r="G54" s="123">
        <f ca="1">SUM(G22:G52)</f>
        <v>0</v>
      </c>
      <c r="H54" s="72">
        <f ca="1">IFERROR(I54 / (SUM($C22:$C52) / COUNT($C22:$C52)), 0)</f>
        <v>0</v>
      </c>
      <c r="I54" s="121">
        <f ca="1">SUM(I22:I52)</f>
        <v>0</v>
      </c>
      <c r="J54" s="123">
        <f ca="1">SUM(J22:J52)</f>
        <v>0</v>
      </c>
      <c r="K54" s="72">
        <f ca="1">IFERROR(L54 / (SUM($C22:$C52) / COUNT($C22:$C52)), 0)</f>
        <v>0</v>
      </c>
      <c r="L54" s="121">
        <f ca="1">SUM(L22:L52)</f>
        <v>0</v>
      </c>
      <c r="M54" s="123">
        <f ca="1">SUM(M22:M52)</f>
        <v>0</v>
      </c>
      <c r="N54" s="72">
        <f ca="1">IFERROR(O54 / (SUM($C22:$C52) / COUNT($C22:$C52)), 0)</f>
        <v>0</v>
      </c>
      <c r="O54" s="121">
        <f ca="1">SUM(O22:O52)</f>
        <v>0</v>
      </c>
    </row>
    <row r="56" spans="1:15" ht="16.5" customHeight="1" thickBot="1"/>
    <row r="57" spans="1:15" ht="16.5" customHeight="1" thickBot="1">
      <c r="A57" s="157" t="str">
        <f>TEXT(투자전략!$G$1, "[$-ko-KR]yyyy년 mm월 ") &amp; "[엽전코인] 전일대비 상승률 Top20 월말결산"</f>
        <v>2023년 01월 [엽전코인] 전일대비 상승률 Top20 월말결산</v>
      </c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9"/>
    </row>
    <row r="58" spans="1:15" ht="16.5" customHeight="1" thickBot="1">
      <c r="A58" s="201" t="s">
        <v>271</v>
      </c>
      <c r="B58" s="178" t="s">
        <v>269</v>
      </c>
      <c r="C58" s="180"/>
      <c r="D58" s="178" t="s">
        <v>261</v>
      </c>
      <c r="E58" s="179"/>
      <c r="F58" s="180"/>
      <c r="G58" s="178" t="s">
        <v>262</v>
      </c>
      <c r="H58" s="179"/>
      <c r="I58" s="180"/>
      <c r="J58" s="178" t="s">
        <v>263</v>
      </c>
      <c r="K58" s="179"/>
      <c r="L58" s="180"/>
      <c r="M58" s="178" t="s">
        <v>264</v>
      </c>
      <c r="N58" s="179"/>
      <c r="O58" s="180"/>
    </row>
    <row r="59" spans="1:15" ht="16.5" customHeight="1" thickBot="1">
      <c r="A59" s="194"/>
      <c r="B59" s="46" t="s">
        <v>259</v>
      </c>
      <c r="C59" s="46" t="s">
        <v>42</v>
      </c>
      <c r="D59" s="105" t="s">
        <v>260</v>
      </c>
      <c r="E59" s="106" t="s">
        <v>40</v>
      </c>
      <c r="F59" s="81" t="s">
        <v>41</v>
      </c>
      <c r="G59" s="105" t="s">
        <v>260</v>
      </c>
      <c r="H59" s="106" t="s">
        <v>40</v>
      </c>
      <c r="I59" s="81" t="s">
        <v>41</v>
      </c>
      <c r="J59" s="105" t="s">
        <v>260</v>
      </c>
      <c r="K59" s="106" t="s">
        <v>40</v>
      </c>
      <c r="L59" s="81" t="s">
        <v>41</v>
      </c>
      <c r="M59" s="105" t="s">
        <v>260</v>
      </c>
      <c r="N59" s="106" t="s">
        <v>40</v>
      </c>
      <c r="O59" s="81" t="s">
        <v>41</v>
      </c>
    </row>
    <row r="60" spans="1:15" ht="16.5" customHeight="1">
      <c r="A60" s="46">
        <v>1</v>
      </c>
      <c r="B60" s="129" t="str">
        <f>HYPERLINK("#'" &amp; TEXT(투자전략!$G$1+0, "[$-ko-KR]yyyy.mm.dd") &amp; "'!A40:O64", TEXT(투자전략!$G$1+0, "[$-ko-KR]yyyy.mm.dd"))</f>
        <v>2023.01.01</v>
      </c>
      <c r="C60" s="117">
        <f ca="1">IFERROR(COUNTA(INDIRECT($B60&amp;"!A44:A63")) * INDIRECT($B60&amp;"!B64"), "")</f>
        <v>3000000</v>
      </c>
      <c r="D60" s="125">
        <f ca="1">IFERROR($C60 * (1 + E60), "")</f>
        <v>3002324.2297785319</v>
      </c>
      <c r="E60" s="69">
        <f ca="1">IFERROR(INDIRECT($B60&amp;"!E64"), "")</f>
        <v>7.7474325951062408E-4</v>
      </c>
      <c r="F60" s="124">
        <f ca="1">IFERROR(INDIRECT($B60&amp;"!F64"), "")</f>
        <v>2324.2297785318719</v>
      </c>
      <c r="G60" s="125">
        <f ca="1">IFERROR($C60 * (1 + H60), "")</f>
        <v>3024763.9445851906</v>
      </c>
      <c r="H60" s="69">
        <f ca="1">IFERROR(INDIRECT($B60&amp;"!H64"), "")</f>
        <v>8.2546481950637081E-3</v>
      </c>
      <c r="I60" s="124">
        <f ca="1">IFERROR(INDIRECT($B60&amp;"!I64"), "")</f>
        <v>24763.944585191119</v>
      </c>
      <c r="J60" s="125">
        <f ca="1">IFERROR($C60 * (1 + K60), "")</f>
        <v>3024763.9445851906</v>
      </c>
      <c r="K60" s="69">
        <f ca="1">IFERROR(INDIRECT($B60&amp;"!K64"), "")</f>
        <v>8.2546481950637081E-3</v>
      </c>
      <c r="L60" s="124">
        <f ca="1">IFERROR(INDIRECT($B60&amp;"!L64"), "")</f>
        <v>24763.944585191119</v>
      </c>
      <c r="M60" s="125">
        <f ca="1">IFERROR($C60 * (1 + N60), "")</f>
        <v>3009464.9377325815</v>
      </c>
      <c r="N60" s="69">
        <f ca="1">IFERROR(INDIRECT($B60&amp;"!N64"), "")</f>
        <v>3.1549792441937273E-3</v>
      </c>
      <c r="O60" s="124">
        <f ca="1">IFERROR(INDIRECT($B60&amp;"!O64"), "")</f>
        <v>9464.9377325811802</v>
      </c>
    </row>
    <row r="61" spans="1:15" ht="16.5" customHeight="1">
      <c r="A61" s="47">
        <v>2</v>
      </c>
      <c r="B61" s="130" t="str">
        <f>HYPERLINK("#'" &amp; TEXT(투자전략!$G$1+1, "[$-ko-KR]yyyy.mm.dd") &amp; "'!A40:O64", TEXT(투자전략!$G$1+1, "[$-ko-KR]yyyy.mm.dd"))</f>
        <v>2023.01.02</v>
      </c>
      <c r="C61" s="118">
        <f t="shared" ref="C61:C90" ca="1" si="13">IFERROR(COUNTA(INDIRECT($B61&amp;"!A44:A63")) * INDIRECT($B61&amp;"!B64"), "")</f>
        <v>3000000</v>
      </c>
      <c r="D61" s="122">
        <f t="shared" ref="D61:D90" ca="1" si="14">IFERROR($C61 * (1 + E61), "")</f>
        <v>3031190.3179476871</v>
      </c>
      <c r="E61" s="70">
        <f t="shared" ref="E61:E90" ca="1" si="15">IFERROR(INDIRECT($B61&amp;"!E64"), "")</f>
        <v>1.0396772649229141E-2</v>
      </c>
      <c r="F61" s="120">
        <f t="shared" ref="F61:F90" ca="1" si="16">IFERROR(INDIRECT($B61&amp;"!F64"), "")</f>
        <v>31190.317947687414</v>
      </c>
      <c r="G61" s="122">
        <f t="shared" ref="G61:G90" ca="1" si="17">IFERROR($C61 * (1 + H61), "")</f>
        <v>3030308.9178138301</v>
      </c>
      <c r="H61" s="70">
        <f t="shared" ref="H61:H90" ca="1" si="18">IFERROR(INDIRECT($B61&amp;"!H64"), "")</f>
        <v>1.010297260461011E-2</v>
      </c>
      <c r="I61" s="120">
        <f t="shared" ref="I61:I90" ca="1" si="19">IFERROR(INDIRECT($B61&amp;"!I64"), "")</f>
        <v>30308.917813830354</v>
      </c>
      <c r="J61" s="122">
        <f t="shared" ref="J61:J90" ca="1" si="20">IFERROR($C61 * (1 + K61), "")</f>
        <v>3043015.3335894672</v>
      </c>
      <c r="K61" s="70">
        <f t="shared" ref="K61:K90" ca="1" si="21">IFERROR(INDIRECT($B61&amp;"!K64"), "")</f>
        <v>1.4338444529822464E-2</v>
      </c>
      <c r="L61" s="120">
        <f t="shared" ref="L61:L90" ca="1" si="22">IFERROR(INDIRECT($B61&amp;"!L64"), "")</f>
        <v>43015.333589467395</v>
      </c>
      <c r="M61" s="122">
        <f t="shared" ref="M61:M90" ca="1" si="23">IFERROR($C61 * (1 + N61), "")</f>
        <v>3037540.9081327007</v>
      </c>
      <c r="N61" s="70">
        <f t="shared" ref="N61:N90" ca="1" si="24">IFERROR(INDIRECT($B61&amp;"!N64"), "")</f>
        <v>1.2513636044233455E-2</v>
      </c>
      <c r="O61" s="120">
        <f t="shared" ref="O61:O90" ca="1" si="25">IFERROR(INDIRECT($B61&amp;"!O64"), "")</f>
        <v>37540.908132700366</v>
      </c>
    </row>
    <row r="62" spans="1:15" ht="16.5" customHeight="1">
      <c r="A62" s="47">
        <v>3</v>
      </c>
      <c r="B62" s="130" t="str">
        <f>HYPERLINK("#'" &amp; TEXT(투자전략!$G$1+2, "[$-ko-KR]yyyy.mm.dd") &amp; "'!A40:O64", TEXT(투자전략!$G$1+2, "[$-ko-KR]yyyy.mm.dd"))</f>
        <v>2023.01.03</v>
      </c>
      <c r="C62" s="118">
        <f t="shared" ca="1" si="13"/>
        <v>3000000</v>
      </c>
      <c r="D62" s="122">
        <f t="shared" ca="1" si="14"/>
        <v>3009910.7165266862</v>
      </c>
      <c r="E62" s="70">
        <f t="shared" ca="1" si="15"/>
        <v>3.3035721755620335E-3</v>
      </c>
      <c r="F62" s="120">
        <f t="shared" ca="1" si="16"/>
        <v>9910.7165266860993</v>
      </c>
      <c r="G62" s="122">
        <f t="shared" ca="1" si="17"/>
        <v>3029945.1708567585</v>
      </c>
      <c r="H62" s="70">
        <f t="shared" ca="1" si="18"/>
        <v>9.9817236189194327E-3</v>
      </c>
      <c r="I62" s="120">
        <f t="shared" ca="1" si="19"/>
        <v>29945.170856758297</v>
      </c>
      <c r="J62" s="122">
        <f t="shared" ca="1" si="20"/>
        <v>3027932.8838856933</v>
      </c>
      <c r="K62" s="70">
        <f t="shared" ca="1" si="21"/>
        <v>9.3109612952310995E-3</v>
      </c>
      <c r="L62" s="120">
        <f t="shared" ca="1" si="22"/>
        <v>27932.8838856933</v>
      </c>
      <c r="M62" s="122">
        <f t="shared" ca="1" si="23"/>
        <v>3006422.419002064</v>
      </c>
      <c r="N62" s="70">
        <f t="shared" ca="1" si="24"/>
        <v>2.1408063340214657E-3</v>
      </c>
      <c r="O62" s="120">
        <f t="shared" ca="1" si="25"/>
        <v>6422.4190020643973</v>
      </c>
    </row>
    <row r="63" spans="1:15" ht="16.5" customHeight="1">
      <c r="A63" s="47">
        <v>4</v>
      </c>
      <c r="B63" s="130" t="str">
        <f>HYPERLINK("#'" &amp; TEXT(투자전략!$G$1+3, "[$-ko-KR]yyyy.mm.dd") &amp; "'!A40:O64", TEXT(투자전략!$G$1+3, "[$-ko-KR]yyyy.mm.dd"))</f>
        <v>2023.01.04</v>
      </c>
      <c r="C63" s="118">
        <f t="shared" ca="1" si="13"/>
        <v>3000000</v>
      </c>
      <c r="D63" s="122">
        <f t="shared" ca="1" si="14"/>
        <v>3046005.4521626905</v>
      </c>
      <c r="E63" s="70">
        <f t="shared" ca="1" si="15"/>
        <v>1.5335150720896831E-2</v>
      </c>
      <c r="F63" s="120">
        <f t="shared" ca="1" si="16"/>
        <v>46005.452162690512</v>
      </c>
      <c r="G63" s="122">
        <f t="shared" ca="1" si="17"/>
        <v>3056967.7670113822</v>
      </c>
      <c r="H63" s="70">
        <f t="shared" ca="1" si="18"/>
        <v>1.898925567046076E-2</v>
      </c>
      <c r="I63" s="120">
        <f t="shared" ca="1" si="19"/>
        <v>56967.767011382268</v>
      </c>
      <c r="J63" s="122">
        <f t="shared" ca="1" si="20"/>
        <v>3040056.0992262727</v>
      </c>
      <c r="K63" s="70">
        <f t="shared" ca="1" si="21"/>
        <v>1.3352033075424282E-2</v>
      </c>
      <c r="L63" s="120">
        <f t="shared" ca="1" si="22"/>
        <v>40056.09922627284</v>
      </c>
      <c r="M63" s="122">
        <f t="shared" ca="1" si="23"/>
        <v>3059106.9492027825</v>
      </c>
      <c r="N63" s="70">
        <f t="shared" ca="1" si="24"/>
        <v>1.9702316400927664E-2</v>
      </c>
      <c r="O63" s="120">
        <f t="shared" ca="1" si="25"/>
        <v>59106.949202782991</v>
      </c>
    </row>
    <row r="64" spans="1:15" ht="16.5" customHeight="1">
      <c r="A64" s="47">
        <v>5</v>
      </c>
      <c r="B64" s="130" t="str">
        <f>HYPERLINK("#'" &amp; TEXT(투자전략!$G$1+4, "[$-ko-KR]yyyy.mm.dd") &amp; "'!A40:O64", TEXT(투자전략!$G$1+4, "[$-ko-KR]yyyy.mm.dd"))</f>
        <v>2023.01.05</v>
      </c>
      <c r="C64" s="118">
        <f t="shared" ca="1" si="13"/>
        <v>3000000</v>
      </c>
      <c r="D64" s="122">
        <f t="shared" ca="1" si="14"/>
        <v>3048951.4788662032</v>
      </c>
      <c r="E64" s="70">
        <f t="shared" ca="1" si="15"/>
        <v>1.6317159622067638E-2</v>
      </c>
      <c r="F64" s="120">
        <f t="shared" ca="1" si="16"/>
        <v>48951.478866202931</v>
      </c>
      <c r="G64" s="122">
        <f t="shared" ca="1" si="17"/>
        <v>3018122.7388987984</v>
      </c>
      <c r="H64" s="70">
        <f t="shared" ca="1" si="18"/>
        <v>6.0409129662661416E-3</v>
      </c>
      <c r="I64" s="120">
        <f t="shared" ca="1" si="19"/>
        <v>18122.738898798427</v>
      </c>
      <c r="J64" s="122">
        <f t="shared" ca="1" si="20"/>
        <v>3050326.3811159329</v>
      </c>
      <c r="K64" s="70">
        <f t="shared" ca="1" si="21"/>
        <v>1.6775460371977614E-2</v>
      </c>
      <c r="L64" s="120">
        <f t="shared" ca="1" si="22"/>
        <v>50326.381115932847</v>
      </c>
      <c r="M64" s="122">
        <f t="shared" ca="1" si="23"/>
        <v>3010680.8567798724</v>
      </c>
      <c r="N64" s="70">
        <f t="shared" ca="1" si="24"/>
        <v>3.5602855932908906E-3</v>
      </c>
      <c r="O64" s="120">
        <f t="shared" ca="1" si="25"/>
        <v>10680.856779872674</v>
      </c>
    </row>
    <row r="65" spans="1:15" ht="16.5" customHeight="1">
      <c r="A65" s="47">
        <v>6</v>
      </c>
      <c r="B65" s="130" t="str">
        <f>HYPERLINK("#'" &amp; TEXT(투자전략!$G$1+5, "[$-ko-KR]yyyy.mm.dd") &amp; "'!A40:O64", TEXT(투자전략!$G$1+5, "[$-ko-KR]yyyy.mm.dd"))</f>
        <v>2023.01.06</v>
      </c>
      <c r="C65" s="118">
        <f t="shared" ca="1" si="13"/>
        <v>3000000</v>
      </c>
      <c r="D65" s="122">
        <f t="shared" ca="1" si="14"/>
        <v>2951969.5721657467</v>
      </c>
      <c r="E65" s="70">
        <f t="shared" ca="1" si="15"/>
        <v>-1.6010142611417751E-2</v>
      </c>
      <c r="F65" s="120">
        <f t="shared" ca="1" si="16"/>
        <v>-48030.427834253249</v>
      </c>
      <c r="G65" s="122">
        <f t="shared" ca="1" si="17"/>
        <v>2935951.7111413856</v>
      </c>
      <c r="H65" s="70">
        <f t="shared" ca="1" si="18"/>
        <v>-2.1349429619538125E-2</v>
      </c>
      <c r="I65" s="120">
        <f t="shared" ca="1" si="19"/>
        <v>-64048.288858614396</v>
      </c>
      <c r="J65" s="122">
        <f t="shared" ca="1" si="20"/>
        <v>2936097.7020276948</v>
      </c>
      <c r="K65" s="70">
        <f t="shared" ca="1" si="21"/>
        <v>-2.1300765990768328E-2</v>
      </c>
      <c r="L65" s="120">
        <f t="shared" ca="1" si="22"/>
        <v>-63902.297972304972</v>
      </c>
      <c r="M65" s="122">
        <f t="shared" ca="1" si="23"/>
        <v>2924229.8911225856</v>
      </c>
      <c r="N65" s="70">
        <f t="shared" ca="1" si="24"/>
        <v>-2.5256702959138077E-2</v>
      </c>
      <c r="O65" s="120">
        <f t="shared" ca="1" si="25"/>
        <v>-75770.108877414241</v>
      </c>
    </row>
    <row r="66" spans="1:15" ht="16.5" customHeight="1" thickBot="1">
      <c r="A66" s="48">
        <v>7</v>
      </c>
      <c r="B66" s="131" t="str">
        <f>HYPERLINK("#'" &amp; TEXT(투자전략!$G$1+6, "[$-ko-KR]yyyy.mm.dd") &amp; "'!A40:O64", TEXT(투자전략!$G$1+6, "[$-ko-KR]yyyy.mm.dd"))</f>
        <v>2023.01.07</v>
      </c>
      <c r="C66" s="118">
        <f t="shared" ca="1" si="13"/>
        <v>3000000</v>
      </c>
      <c r="D66" s="122">
        <f t="shared" ca="1" si="14"/>
        <v>3052227.7827589735</v>
      </c>
      <c r="E66" s="70">
        <f t="shared" ca="1" si="15"/>
        <v>1.7409260919657825E-2</v>
      </c>
      <c r="F66" s="120">
        <f t="shared" ca="1" si="16"/>
        <v>52227.782758973502</v>
      </c>
      <c r="G66" s="122">
        <f t="shared" ca="1" si="17"/>
        <v>3046119.0085750874</v>
      </c>
      <c r="H66" s="70">
        <f t="shared" ca="1" si="18"/>
        <v>1.5373002858362581E-2</v>
      </c>
      <c r="I66" s="120">
        <f t="shared" ca="1" si="19"/>
        <v>46119.008575087748</v>
      </c>
      <c r="J66" s="122">
        <f t="shared" ca="1" si="20"/>
        <v>3047816.690402525</v>
      </c>
      <c r="K66" s="70">
        <f t="shared" ca="1" si="21"/>
        <v>1.5938896800841564E-2</v>
      </c>
      <c r="L66" s="120">
        <f t="shared" ca="1" si="22"/>
        <v>47816.690402524691</v>
      </c>
      <c r="M66" s="122">
        <f t="shared" ca="1" si="23"/>
        <v>3000000</v>
      </c>
      <c r="N66" s="70">
        <f t="shared" ca="1" si="24"/>
        <v>0</v>
      </c>
      <c r="O66" s="120">
        <f t="shared" ca="1" si="25"/>
        <v>0</v>
      </c>
    </row>
    <row r="67" spans="1:15" ht="16.5" customHeight="1">
      <c r="A67" s="46">
        <v>8</v>
      </c>
      <c r="B67" s="129" t="str">
        <f>HYPERLINK("#'" &amp; TEXT(투자전략!$G$1+7, "[$-ko-KR]yyyy.mm.dd") &amp; "'!A40:O64", TEXT(투자전략!$G$1+7, "[$-ko-KR]yyyy.mm.dd"))</f>
        <v>2023.01.08</v>
      </c>
      <c r="C67" s="117">
        <f t="shared" ca="1" si="13"/>
        <v>3000000</v>
      </c>
      <c r="D67" s="125">
        <f t="shared" ca="1" si="14"/>
        <v>3000000</v>
      </c>
      <c r="E67" s="69">
        <f t="shared" ca="1" si="15"/>
        <v>0</v>
      </c>
      <c r="F67" s="124">
        <f t="shared" ca="1" si="16"/>
        <v>0</v>
      </c>
      <c r="G67" s="125">
        <f t="shared" ca="1" si="17"/>
        <v>3000000</v>
      </c>
      <c r="H67" s="69">
        <f t="shared" ca="1" si="18"/>
        <v>0</v>
      </c>
      <c r="I67" s="124">
        <f t="shared" ca="1" si="19"/>
        <v>0</v>
      </c>
      <c r="J67" s="125">
        <f t="shared" ca="1" si="20"/>
        <v>3000000</v>
      </c>
      <c r="K67" s="69">
        <f t="shared" ca="1" si="21"/>
        <v>0</v>
      </c>
      <c r="L67" s="124">
        <f t="shared" ca="1" si="22"/>
        <v>0</v>
      </c>
      <c r="M67" s="125">
        <f t="shared" ca="1" si="23"/>
        <v>3000000</v>
      </c>
      <c r="N67" s="69">
        <f t="shared" ca="1" si="24"/>
        <v>0</v>
      </c>
      <c r="O67" s="124">
        <f t="shared" ca="1" si="25"/>
        <v>0</v>
      </c>
    </row>
    <row r="68" spans="1:15" ht="16.5" customHeight="1">
      <c r="A68" s="47">
        <v>9</v>
      </c>
      <c r="B68" s="130" t="str">
        <f>HYPERLINK("#'" &amp; TEXT(투자전략!$G$1+8, "[$-ko-KR]yyyy.mm.dd") &amp; "'!A40:O64", TEXT(투자전략!$G$1+8, "[$-ko-KR]yyyy.mm.dd"))</f>
        <v>2023.01.09</v>
      </c>
      <c r="C68" s="118" t="str">
        <f t="shared" ca="1" si="13"/>
        <v/>
      </c>
      <c r="D68" s="122" t="str">
        <f t="shared" ca="1" si="14"/>
        <v/>
      </c>
      <c r="E68" s="70" t="str">
        <f t="shared" ca="1" si="15"/>
        <v/>
      </c>
      <c r="F68" s="120" t="str">
        <f t="shared" ca="1" si="16"/>
        <v/>
      </c>
      <c r="G68" s="122" t="str">
        <f t="shared" ca="1" si="17"/>
        <v/>
      </c>
      <c r="H68" s="70" t="str">
        <f t="shared" ca="1" si="18"/>
        <v/>
      </c>
      <c r="I68" s="120" t="str">
        <f t="shared" ca="1" si="19"/>
        <v/>
      </c>
      <c r="J68" s="122" t="str">
        <f t="shared" ca="1" si="20"/>
        <v/>
      </c>
      <c r="K68" s="70" t="str">
        <f t="shared" ca="1" si="21"/>
        <v/>
      </c>
      <c r="L68" s="120" t="str">
        <f t="shared" ca="1" si="22"/>
        <v/>
      </c>
      <c r="M68" s="122" t="str">
        <f t="shared" ca="1" si="23"/>
        <v/>
      </c>
      <c r="N68" s="70" t="str">
        <f t="shared" ca="1" si="24"/>
        <v/>
      </c>
      <c r="O68" s="120" t="str">
        <f t="shared" ca="1" si="25"/>
        <v/>
      </c>
    </row>
    <row r="69" spans="1:15" ht="16.5" customHeight="1">
      <c r="A69" s="47">
        <v>10</v>
      </c>
      <c r="B69" s="130" t="str">
        <f>HYPERLINK("#'" &amp; TEXT(투자전략!$G$1+9, "[$-ko-KR]yyyy.mm.dd") &amp; "'!A40:O64", TEXT(투자전략!$G$1+9, "[$-ko-KR]yyyy.mm.dd"))</f>
        <v>2023.01.10</v>
      </c>
      <c r="C69" s="118" t="str">
        <f t="shared" ca="1" si="13"/>
        <v/>
      </c>
      <c r="D69" s="122" t="str">
        <f t="shared" ca="1" si="14"/>
        <v/>
      </c>
      <c r="E69" s="70" t="str">
        <f t="shared" ca="1" si="15"/>
        <v/>
      </c>
      <c r="F69" s="120" t="str">
        <f t="shared" ca="1" si="16"/>
        <v/>
      </c>
      <c r="G69" s="122" t="str">
        <f t="shared" ca="1" si="17"/>
        <v/>
      </c>
      <c r="H69" s="70" t="str">
        <f t="shared" ca="1" si="18"/>
        <v/>
      </c>
      <c r="I69" s="120" t="str">
        <f t="shared" ca="1" si="19"/>
        <v/>
      </c>
      <c r="J69" s="122" t="str">
        <f t="shared" ca="1" si="20"/>
        <v/>
      </c>
      <c r="K69" s="70" t="str">
        <f t="shared" ca="1" si="21"/>
        <v/>
      </c>
      <c r="L69" s="120" t="str">
        <f t="shared" ca="1" si="22"/>
        <v/>
      </c>
      <c r="M69" s="122" t="str">
        <f t="shared" ca="1" si="23"/>
        <v/>
      </c>
      <c r="N69" s="70" t="str">
        <f t="shared" ca="1" si="24"/>
        <v/>
      </c>
      <c r="O69" s="120" t="str">
        <f t="shared" ca="1" si="25"/>
        <v/>
      </c>
    </row>
    <row r="70" spans="1:15" ht="16.5" customHeight="1">
      <c r="A70" s="47">
        <v>11</v>
      </c>
      <c r="B70" s="130" t="str">
        <f>HYPERLINK("#'" &amp; TEXT(투자전략!$G$1+10, "[$-ko-KR]yyyy.mm.dd") &amp; "'!A40:O64", TEXT(투자전략!$G$1+10, "[$-ko-KR]yyyy.mm.dd"))</f>
        <v>2023.01.11</v>
      </c>
      <c r="C70" s="118" t="str">
        <f t="shared" ca="1" si="13"/>
        <v/>
      </c>
      <c r="D70" s="122" t="str">
        <f t="shared" ca="1" si="14"/>
        <v/>
      </c>
      <c r="E70" s="70" t="str">
        <f t="shared" ca="1" si="15"/>
        <v/>
      </c>
      <c r="F70" s="120" t="str">
        <f t="shared" ca="1" si="16"/>
        <v/>
      </c>
      <c r="G70" s="122" t="str">
        <f t="shared" ca="1" si="17"/>
        <v/>
      </c>
      <c r="H70" s="70" t="str">
        <f t="shared" ca="1" si="18"/>
        <v/>
      </c>
      <c r="I70" s="120" t="str">
        <f t="shared" ca="1" si="19"/>
        <v/>
      </c>
      <c r="J70" s="122" t="str">
        <f t="shared" ca="1" si="20"/>
        <v/>
      </c>
      <c r="K70" s="70" t="str">
        <f t="shared" ca="1" si="21"/>
        <v/>
      </c>
      <c r="L70" s="120" t="str">
        <f t="shared" ca="1" si="22"/>
        <v/>
      </c>
      <c r="M70" s="122" t="str">
        <f t="shared" ca="1" si="23"/>
        <v/>
      </c>
      <c r="N70" s="70" t="str">
        <f t="shared" ca="1" si="24"/>
        <v/>
      </c>
      <c r="O70" s="120" t="str">
        <f t="shared" ca="1" si="25"/>
        <v/>
      </c>
    </row>
    <row r="71" spans="1:15" ht="16.5" customHeight="1">
      <c r="A71" s="47">
        <v>12</v>
      </c>
      <c r="B71" s="130" t="str">
        <f>HYPERLINK("#'" &amp; TEXT(투자전략!$G$1+11, "[$-ko-KR]yyyy.mm.dd") &amp; "'!A40:O64", TEXT(투자전략!$G$1+11, "[$-ko-KR]yyyy.mm.dd"))</f>
        <v>2023.01.12</v>
      </c>
      <c r="C71" s="118" t="str">
        <f t="shared" ca="1" si="13"/>
        <v/>
      </c>
      <c r="D71" s="122" t="str">
        <f t="shared" ca="1" si="14"/>
        <v/>
      </c>
      <c r="E71" s="70" t="str">
        <f t="shared" ca="1" si="15"/>
        <v/>
      </c>
      <c r="F71" s="120" t="str">
        <f t="shared" ca="1" si="16"/>
        <v/>
      </c>
      <c r="G71" s="122" t="str">
        <f t="shared" ca="1" si="17"/>
        <v/>
      </c>
      <c r="H71" s="70" t="str">
        <f t="shared" ca="1" si="18"/>
        <v/>
      </c>
      <c r="I71" s="120" t="str">
        <f t="shared" ca="1" si="19"/>
        <v/>
      </c>
      <c r="J71" s="122" t="str">
        <f t="shared" ca="1" si="20"/>
        <v/>
      </c>
      <c r="K71" s="70" t="str">
        <f t="shared" ca="1" si="21"/>
        <v/>
      </c>
      <c r="L71" s="120" t="str">
        <f t="shared" ca="1" si="22"/>
        <v/>
      </c>
      <c r="M71" s="122" t="str">
        <f t="shared" ca="1" si="23"/>
        <v/>
      </c>
      <c r="N71" s="70" t="str">
        <f t="shared" ca="1" si="24"/>
        <v/>
      </c>
      <c r="O71" s="120" t="str">
        <f t="shared" ca="1" si="25"/>
        <v/>
      </c>
    </row>
    <row r="72" spans="1:15" ht="16.5" customHeight="1">
      <c r="A72" s="47">
        <v>13</v>
      </c>
      <c r="B72" s="130" t="str">
        <f>HYPERLINK("#'" &amp; TEXT(투자전략!$G$1+12, "[$-ko-KR]yyyy.mm.dd") &amp; "'!A40:O64", TEXT(투자전략!$G$1+12, "[$-ko-KR]yyyy.mm.dd"))</f>
        <v>2023.01.13</v>
      </c>
      <c r="C72" s="118" t="str">
        <f t="shared" ca="1" si="13"/>
        <v/>
      </c>
      <c r="D72" s="122" t="str">
        <f t="shared" ca="1" si="14"/>
        <v/>
      </c>
      <c r="E72" s="70" t="str">
        <f t="shared" ca="1" si="15"/>
        <v/>
      </c>
      <c r="F72" s="120" t="str">
        <f t="shared" ca="1" si="16"/>
        <v/>
      </c>
      <c r="G72" s="122" t="str">
        <f t="shared" ca="1" si="17"/>
        <v/>
      </c>
      <c r="H72" s="70" t="str">
        <f t="shared" ca="1" si="18"/>
        <v/>
      </c>
      <c r="I72" s="120" t="str">
        <f t="shared" ca="1" si="19"/>
        <v/>
      </c>
      <c r="J72" s="122" t="str">
        <f t="shared" ca="1" si="20"/>
        <v/>
      </c>
      <c r="K72" s="70" t="str">
        <f t="shared" ca="1" si="21"/>
        <v/>
      </c>
      <c r="L72" s="120" t="str">
        <f t="shared" ca="1" si="22"/>
        <v/>
      </c>
      <c r="M72" s="122" t="str">
        <f t="shared" ca="1" si="23"/>
        <v/>
      </c>
      <c r="N72" s="70" t="str">
        <f t="shared" ca="1" si="24"/>
        <v/>
      </c>
      <c r="O72" s="120" t="str">
        <f t="shared" ca="1" si="25"/>
        <v/>
      </c>
    </row>
    <row r="73" spans="1:15" ht="16.5" customHeight="1" thickBot="1">
      <c r="A73" s="48">
        <v>14</v>
      </c>
      <c r="B73" s="131" t="str">
        <f>HYPERLINK("#'" &amp; TEXT(투자전략!$G$1+13, "[$-ko-KR]yyyy.mm.dd") &amp; "'!A40:O64", TEXT(투자전략!$G$1+13, "[$-ko-KR]yyyy.mm.dd"))</f>
        <v>2023.01.14</v>
      </c>
      <c r="C73" s="119" t="str">
        <f t="shared" ca="1" si="13"/>
        <v/>
      </c>
      <c r="D73" s="123" t="str">
        <f t="shared" ca="1" si="14"/>
        <v/>
      </c>
      <c r="E73" s="72" t="str">
        <f t="shared" ca="1" si="15"/>
        <v/>
      </c>
      <c r="F73" s="121" t="str">
        <f t="shared" ca="1" si="16"/>
        <v/>
      </c>
      <c r="G73" s="123" t="str">
        <f t="shared" ca="1" si="17"/>
        <v/>
      </c>
      <c r="H73" s="72" t="str">
        <f t="shared" ca="1" si="18"/>
        <v/>
      </c>
      <c r="I73" s="121" t="str">
        <f t="shared" ca="1" si="19"/>
        <v/>
      </c>
      <c r="J73" s="123" t="str">
        <f t="shared" ca="1" si="20"/>
        <v/>
      </c>
      <c r="K73" s="72" t="str">
        <f t="shared" ca="1" si="21"/>
        <v/>
      </c>
      <c r="L73" s="121" t="str">
        <f t="shared" ca="1" si="22"/>
        <v/>
      </c>
      <c r="M73" s="123" t="str">
        <f t="shared" ca="1" si="23"/>
        <v/>
      </c>
      <c r="N73" s="72" t="str">
        <f t="shared" ca="1" si="24"/>
        <v/>
      </c>
      <c r="O73" s="121" t="str">
        <f t="shared" ca="1" si="25"/>
        <v/>
      </c>
    </row>
    <row r="74" spans="1:15" ht="16.5" customHeight="1">
      <c r="A74" s="46">
        <v>15</v>
      </c>
      <c r="B74" s="129" t="str">
        <f>HYPERLINK("#'" &amp; TEXT(투자전략!$G$1+14, "[$-ko-KR]yyyy.mm.dd") &amp; "'!A40:O64", TEXT(투자전략!$G$1+14, "[$-ko-KR]yyyy.mm.dd"))</f>
        <v>2023.01.15</v>
      </c>
      <c r="C74" s="118" t="str">
        <f t="shared" ca="1" si="13"/>
        <v/>
      </c>
      <c r="D74" s="122" t="str">
        <f t="shared" ca="1" si="14"/>
        <v/>
      </c>
      <c r="E74" s="70" t="str">
        <f t="shared" ca="1" si="15"/>
        <v/>
      </c>
      <c r="F74" s="120" t="str">
        <f t="shared" ca="1" si="16"/>
        <v/>
      </c>
      <c r="G74" s="122" t="str">
        <f t="shared" ca="1" si="17"/>
        <v/>
      </c>
      <c r="H74" s="70" t="str">
        <f t="shared" ca="1" si="18"/>
        <v/>
      </c>
      <c r="I74" s="120" t="str">
        <f t="shared" ca="1" si="19"/>
        <v/>
      </c>
      <c r="J74" s="122" t="str">
        <f t="shared" ca="1" si="20"/>
        <v/>
      </c>
      <c r="K74" s="70" t="str">
        <f t="shared" ca="1" si="21"/>
        <v/>
      </c>
      <c r="L74" s="120" t="str">
        <f t="shared" ca="1" si="22"/>
        <v/>
      </c>
      <c r="M74" s="122" t="str">
        <f t="shared" ca="1" si="23"/>
        <v/>
      </c>
      <c r="N74" s="70" t="str">
        <f t="shared" ca="1" si="24"/>
        <v/>
      </c>
      <c r="O74" s="120" t="str">
        <f t="shared" ca="1" si="25"/>
        <v/>
      </c>
    </row>
    <row r="75" spans="1:15" ht="16.5" customHeight="1">
      <c r="A75" s="47">
        <v>16</v>
      </c>
      <c r="B75" s="130" t="str">
        <f>HYPERLINK("#'" &amp; TEXT(투자전략!$G$1+15, "[$-ko-KR]yyyy.mm.dd") &amp; "'!A40:O64", TEXT(투자전략!$G$1+15, "[$-ko-KR]yyyy.mm.dd"))</f>
        <v>2023.01.16</v>
      </c>
      <c r="C75" s="118" t="str">
        <f t="shared" ca="1" si="13"/>
        <v/>
      </c>
      <c r="D75" s="122" t="str">
        <f t="shared" ca="1" si="14"/>
        <v/>
      </c>
      <c r="E75" s="70" t="str">
        <f t="shared" ca="1" si="15"/>
        <v/>
      </c>
      <c r="F75" s="120" t="str">
        <f t="shared" ca="1" si="16"/>
        <v/>
      </c>
      <c r="G75" s="122" t="str">
        <f t="shared" ca="1" si="17"/>
        <v/>
      </c>
      <c r="H75" s="70" t="str">
        <f t="shared" ca="1" si="18"/>
        <v/>
      </c>
      <c r="I75" s="120" t="str">
        <f t="shared" ca="1" si="19"/>
        <v/>
      </c>
      <c r="J75" s="122" t="str">
        <f t="shared" ca="1" si="20"/>
        <v/>
      </c>
      <c r="K75" s="70" t="str">
        <f t="shared" ca="1" si="21"/>
        <v/>
      </c>
      <c r="L75" s="120" t="str">
        <f t="shared" ca="1" si="22"/>
        <v/>
      </c>
      <c r="M75" s="122" t="str">
        <f t="shared" ca="1" si="23"/>
        <v/>
      </c>
      <c r="N75" s="70" t="str">
        <f t="shared" ca="1" si="24"/>
        <v/>
      </c>
      <c r="O75" s="120" t="str">
        <f t="shared" ca="1" si="25"/>
        <v/>
      </c>
    </row>
    <row r="76" spans="1:15" ht="16.5" customHeight="1">
      <c r="A76" s="47">
        <v>17</v>
      </c>
      <c r="B76" s="130" t="str">
        <f>HYPERLINK("#'" &amp; TEXT(투자전략!$G$1+16, "[$-ko-KR]yyyy.mm.dd") &amp; "'!A40:O64", TEXT(투자전략!$G$1+16, "[$-ko-KR]yyyy.mm.dd"))</f>
        <v>2023.01.17</v>
      </c>
      <c r="C76" s="118" t="str">
        <f t="shared" ca="1" si="13"/>
        <v/>
      </c>
      <c r="D76" s="122" t="str">
        <f t="shared" ca="1" si="14"/>
        <v/>
      </c>
      <c r="E76" s="70" t="str">
        <f t="shared" ca="1" si="15"/>
        <v/>
      </c>
      <c r="F76" s="120" t="str">
        <f t="shared" ca="1" si="16"/>
        <v/>
      </c>
      <c r="G76" s="122" t="str">
        <f t="shared" ca="1" si="17"/>
        <v/>
      </c>
      <c r="H76" s="70" t="str">
        <f t="shared" ca="1" si="18"/>
        <v/>
      </c>
      <c r="I76" s="120" t="str">
        <f t="shared" ca="1" si="19"/>
        <v/>
      </c>
      <c r="J76" s="122" t="str">
        <f t="shared" ca="1" si="20"/>
        <v/>
      </c>
      <c r="K76" s="70" t="str">
        <f t="shared" ca="1" si="21"/>
        <v/>
      </c>
      <c r="L76" s="120" t="str">
        <f t="shared" ca="1" si="22"/>
        <v/>
      </c>
      <c r="M76" s="122" t="str">
        <f t="shared" ca="1" si="23"/>
        <v/>
      </c>
      <c r="N76" s="70" t="str">
        <f t="shared" ca="1" si="24"/>
        <v/>
      </c>
      <c r="O76" s="120" t="str">
        <f t="shared" ca="1" si="25"/>
        <v/>
      </c>
    </row>
    <row r="77" spans="1:15" ht="16.5" customHeight="1">
      <c r="A77" s="47">
        <v>18</v>
      </c>
      <c r="B77" s="130" t="str">
        <f>HYPERLINK("#'" &amp; TEXT(투자전략!$G$1+17, "[$-ko-KR]yyyy.mm.dd") &amp; "'!A40:O64", TEXT(투자전략!$G$1+17, "[$-ko-KR]yyyy.mm.dd"))</f>
        <v>2023.01.18</v>
      </c>
      <c r="C77" s="118" t="str">
        <f t="shared" ca="1" si="13"/>
        <v/>
      </c>
      <c r="D77" s="122" t="str">
        <f t="shared" ca="1" si="14"/>
        <v/>
      </c>
      <c r="E77" s="70" t="str">
        <f t="shared" ca="1" si="15"/>
        <v/>
      </c>
      <c r="F77" s="120" t="str">
        <f t="shared" ca="1" si="16"/>
        <v/>
      </c>
      <c r="G77" s="122" t="str">
        <f t="shared" ca="1" si="17"/>
        <v/>
      </c>
      <c r="H77" s="70" t="str">
        <f t="shared" ca="1" si="18"/>
        <v/>
      </c>
      <c r="I77" s="120" t="str">
        <f t="shared" ca="1" si="19"/>
        <v/>
      </c>
      <c r="J77" s="122" t="str">
        <f t="shared" ca="1" si="20"/>
        <v/>
      </c>
      <c r="K77" s="70" t="str">
        <f t="shared" ca="1" si="21"/>
        <v/>
      </c>
      <c r="L77" s="120" t="str">
        <f t="shared" ca="1" si="22"/>
        <v/>
      </c>
      <c r="M77" s="122" t="str">
        <f t="shared" ca="1" si="23"/>
        <v/>
      </c>
      <c r="N77" s="70" t="str">
        <f t="shared" ca="1" si="24"/>
        <v/>
      </c>
      <c r="O77" s="120" t="str">
        <f t="shared" ca="1" si="25"/>
        <v/>
      </c>
    </row>
    <row r="78" spans="1:15" ht="16.5" customHeight="1">
      <c r="A78" s="47">
        <v>19</v>
      </c>
      <c r="B78" s="130" t="str">
        <f>HYPERLINK("#'" &amp; TEXT(투자전략!$G$1+18, "[$-ko-KR]yyyy.mm.dd") &amp; "'!A40:O64", TEXT(투자전략!$G$1+18, "[$-ko-KR]yyyy.mm.dd"))</f>
        <v>2023.01.19</v>
      </c>
      <c r="C78" s="118" t="str">
        <f t="shared" ca="1" si="13"/>
        <v/>
      </c>
      <c r="D78" s="122" t="str">
        <f t="shared" ca="1" si="14"/>
        <v/>
      </c>
      <c r="E78" s="70" t="str">
        <f t="shared" ca="1" si="15"/>
        <v/>
      </c>
      <c r="F78" s="120" t="str">
        <f t="shared" ca="1" si="16"/>
        <v/>
      </c>
      <c r="G78" s="122" t="str">
        <f t="shared" ca="1" si="17"/>
        <v/>
      </c>
      <c r="H78" s="70" t="str">
        <f t="shared" ca="1" si="18"/>
        <v/>
      </c>
      <c r="I78" s="120" t="str">
        <f t="shared" ca="1" si="19"/>
        <v/>
      </c>
      <c r="J78" s="122" t="str">
        <f t="shared" ca="1" si="20"/>
        <v/>
      </c>
      <c r="K78" s="70" t="str">
        <f t="shared" ca="1" si="21"/>
        <v/>
      </c>
      <c r="L78" s="120" t="str">
        <f t="shared" ca="1" si="22"/>
        <v/>
      </c>
      <c r="M78" s="122" t="str">
        <f t="shared" ca="1" si="23"/>
        <v/>
      </c>
      <c r="N78" s="70" t="str">
        <f t="shared" ca="1" si="24"/>
        <v/>
      </c>
      <c r="O78" s="120" t="str">
        <f t="shared" ca="1" si="25"/>
        <v/>
      </c>
    </row>
    <row r="79" spans="1:15" ht="16.5" customHeight="1">
      <c r="A79" s="47">
        <v>20</v>
      </c>
      <c r="B79" s="130" t="str">
        <f>HYPERLINK("#'" &amp; TEXT(투자전략!$G$1+19, "[$-ko-KR]yyyy.mm.dd") &amp; "'!A40:O64", TEXT(투자전략!$G$1+19, "[$-ko-KR]yyyy.mm.dd"))</f>
        <v>2023.01.20</v>
      </c>
      <c r="C79" s="118" t="str">
        <f t="shared" ca="1" si="13"/>
        <v/>
      </c>
      <c r="D79" s="122" t="str">
        <f t="shared" ca="1" si="14"/>
        <v/>
      </c>
      <c r="E79" s="70" t="str">
        <f t="shared" ca="1" si="15"/>
        <v/>
      </c>
      <c r="F79" s="120" t="str">
        <f t="shared" ca="1" si="16"/>
        <v/>
      </c>
      <c r="G79" s="122" t="str">
        <f t="shared" ca="1" si="17"/>
        <v/>
      </c>
      <c r="H79" s="70" t="str">
        <f t="shared" ca="1" si="18"/>
        <v/>
      </c>
      <c r="I79" s="120" t="str">
        <f t="shared" ca="1" si="19"/>
        <v/>
      </c>
      <c r="J79" s="122" t="str">
        <f t="shared" ca="1" si="20"/>
        <v/>
      </c>
      <c r="K79" s="70" t="str">
        <f t="shared" ca="1" si="21"/>
        <v/>
      </c>
      <c r="L79" s="120" t="str">
        <f t="shared" ca="1" si="22"/>
        <v/>
      </c>
      <c r="M79" s="122" t="str">
        <f t="shared" ca="1" si="23"/>
        <v/>
      </c>
      <c r="N79" s="70" t="str">
        <f t="shared" ca="1" si="24"/>
        <v/>
      </c>
      <c r="O79" s="120" t="str">
        <f t="shared" ca="1" si="25"/>
        <v/>
      </c>
    </row>
    <row r="80" spans="1:15" ht="16.5" customHeight="1" thickBot="1">
      <c r="A80" s="48">
        <v>21</v>
      </c>
      <c r="B80" s="131" t="str">
        <f>HYPERLINK("#'" &amp; TEXT(투자전략!$G$1+20, "[$-ko-KR]yyyy.mm.dd") &amp; "'!A40:O64", TEXT(투자전략!$G$1+20, "[$-ko-KR]yyyy.mm.dd"))</f>
        <v>2023.01.21</v>
      </c>
      <c r="C80" s="118" t="str">
        <f t="shared" ca="1" si="13"/>
        <v/>
      </c>
      <c r="D80" s="122" t="str">
        <f t="shared" ca="1" si="14"/>
        <v/>
      </c>
      <c r="E80" s="70" t="str">
        <f t="shared" ca="1" si="15"/>
        <v/>
      </c>
      <c r="F80" s="120" t="str">
        <f t="shared" ca="1" si="16"/>
        <v/>
      </c>
      <c r="G80" s="122" t="str">
        <f t="shared" ca="1" si="17"/>
        <v/>
      </c>
      <c r="H80" s="70" t="str">
        <f t="shared" ca="1" si="18"/>
        <v/>
      </c>
      <c r="I80" s="120" t="str">
        <f t="shared" ca="1" si="19"/>
        <v/>
      </c>
      <c r="J80" s="122" t="str">
        <f t="shared" ca="1" si="20"/>
        <v/>
      </c>
      <c r="K80" s="70" t="str">
        <f t="shared" ca="1" si="21"/>
        <v/>
      </c>
      <c r="L80" s="120" t="str">
        <f t="shared" ca="1" si="22"/>
        <v/>
      </c>
      <c r="M80" s="122" t="str">
        <f t="shared" ca="1" si="23"/>
        <v/>
      </c>
      <c r="N80" s="70" t="str">
        <f t="shared" ca="1" si="24"/>
        <v/>
      </c>
      <c r="O80" s="120" t="str">
        <f t="shared" ca="1" si="25"/>
        <v/>
      </c>
    </row>
    <row r="81" spans="1:15" ht="16.5" customHeight="1">
      <c r="A81" s="46">
        <v>22</v>
      </c>
      <c r="B81" s="129" t="str">
        <f>HYPERLINK("#'" &amp; TEXT(투자전략!$G$1+21, "[$-ko-KR]yyyy.mm.dd") &amp; "'!A40:O64", TEXT(투자전략!$G$1+21, "[$-ko-KR]yyyy.mm.dd"))</f>
        <v>2023.01.22</v>
      </c>
      <c r="C81" s="117" t="str">
        <f t="shared" ca="1" si="13"/>
        <v/>
      </c>
      <c r="D81" s="125" t="str">
        <f t="shared" ca="1" si="14"/>
        <v/>
      </c>
      <c r="E81" s="69" t="str">
        <f t="shared" ca="1" si="15"/>
        <v/>
      </c>
      <c r="F81" s="124" t="str">
        <f t="shared" ca="1" si="16"/>
        <v/>
      </c>
      <c r="G81" s="125" t="str">
        <f t="shared" ca="1" si="17"/>
        <v/>
      </c>
      <c r="H81" s="69" t="str">
        <f t="shared" ca="1" si="18"/>
        <v/>
      </c>
      <c r="I81" s="124" t="str">
        <f t="shared" ca="1" si="19"/>
        <v/>
      </c>
      <c r="J81" s="125" t="str">
        <f t="shared" ca="1" si="20"/>
        <v/>
      </c>
      <c r="K81" s="69" t="str">
        <f t="shared" ca="1" si="21"/>
        <v/>
      </c>
      <c r="L81" s="124" t="str">
        <f t="shared" ca="1" si="22"/>
        <v/>
      </c>
      <c r="M81" s="125" t="str">
        <f t="shared" ca="1" si="23"/>
        <v/>
      </c>
      <c r="N81" s="69" t="str">
        <f t="shared" ca="1" si="24"/>
        <v/>
      </c>
      <c r="O81" s="124" t="str">
        <f t="shared" ca="1" si="25"/>
        <v/>
      </c>
    </row>
    <row r="82" spans="1:15" ht="16.5" customHeight="1">
      <c r="A82" s="47">
        <v>23</v>
      </c>
      <c r="B82" s="130" t="str">
        <f>HYPERLINK("#'" &amp; TEXT(투자전략!$G$1+22, "[$-ko-KR]yyyy.mm.dd") &amp; "'!A40:O64", TEXT(투자전략!$G$1+22, "[$-ko-KR]yyyy.mm.dd"))</f>
        <v>2023.01.23</v>
      </c>
      <c r="C82" s="118" t="str">
        <f t="shared" ca="1" si="13"/>
        <v/>
      </c>
      <c r="D82" s="122" t="str">
        <f t="shared" ca="1" si="14"/>
        <v/>
      </c>
      <c r="E82" s="70" t="str">
        <f t="shared" ca="1" si="15"/>
        <v/>
      </c>
      <c r="F82" s="120" t="str">
        <f t="shared" ca="1" si="16"/>
        <v/>
      </c>
      <c r="G82" s="122" t="str">
        <f t="shared" ca="1" si="17"/>
        <v/>
      </c>
      <c r="H82" s="70" t="str">
        <f t="shared" ca="1" si="18"/>
        <v/>
      </c>
      <c r="I82" s="120" t="str">
        <f t="shared" ca="1" si="19"/>
        <v/>
      </c>
      <c r="J82" s="122" t="str">
        <f t="shared" ca="1" si="20"/>
        <v/>
      </c>
      <c r="K82" s="70" t="str">
        <f t="shared" ca="1" si="21"/>
        <v/>
      </c>
      <c r="L82" s="120" t="str">
        <f t="shared" ca="1" si="22"/>
        <v/>
      </c>
      <c r="M82" s="122" t="str">
        <f t="shared" ca="1" si="23"/>
        <v/>
      </c>
      <c r="N82" s="70" t="str">
        <f t="shared" ca="1" si="24"/>
        <v/>
      </c>
      <c r="O82" s="120" t="str">
        <f t="shared" ca="1" si="25"/>
        <v/>
      </c>
    </row>
    <row r="83" spans="1:15" ht="16.5" customHeight="1">
      <c r="A83" s="47">
        <v>24</v>
      </c>
      <c r="B83" s="130" t="str">
        <f>HYPERLINK("#'" &amp; TEXT(투자전략!$G$1+23, "[$-ko-KR]yyyy.mm.dd") &amp; "'!A40:O64", TEXT(투자전략!$G$1+23, "[$-ko-KR]yyyy.mm.dd"))</f>
        <v>2023.01.24</v>
      </c>
      <c r="C83" s="118" t="str">
        <f t="shared" ca="1" si="13"/>
        <v/>
      </c>
      <c r="D83" s="122" t="str">
        <f t="shared" ca="1" si="14"/>
        <v/>
      </c>
      <c r="E83" s="70" t="str">
        <f t="shared" ca="1" si="15"/>
        <v/>
      </c>
      <c r="F83" s="120" t="str">
        <f t="shared" ca="1" si="16"/>
        <v/>
      </c>
      <c r="G83" s="122" t="str">
        <f t="shared" ca="1" si="17"/>
        <v/>
      </c>
      <c r="H83" s="70" t="str">
        <f t="shared" ca="1" si="18"/>
        <v/>
      </c>
      <c r="I83" s="120" t="str">
        <f t="shared" ca="1" si="19"/>
        <v/>
      </c>
      <c r="J83" s="122" t="str">
        <f t="shared" ca="1" si="20"/>
        <v/>
      </c>
      <c r="K83" s="70" t="str">
        <f t="shared" ca="1" si="21"/>
        <v/>
      </c>
      <c r="L83" s="120" t="str">
        <f t="shared" ca="1" si="22"/>
        <v/>
      </c>
      <c r="M83" s="122" t="str">
        <f t="shared" ca="1" si="23"/>
        <v/>
      </c>
      <c r="N83" s="70" t="str">
        <f t="shared" ca="1" si="24"/>
        <v/>
      </c>
      <c r="O83" s="120" t="str">
        <f t="shared" ca="1" si="25"/>
        <v/>
      </c>
    </row>
    <row r="84" spans="1:15" ht="16.5" customHeight="1">
      <c r="A84" s="47">
        <v>25</v>
      </c>
      <c r="B84" s="130" t="str">
        <f>HYPERLINK("#'" &amp; TEXT(투자전략!$G$1+24, "[$-ko-KR]yyyy.mm.dd") &amp; "'!A40:O64", TEXT(투자전략!$G$1+24, "[$-ko-KR]yyyy.mm.dd"))</f>
        <v>2023.01.25</v>
      </c>
      <c r="C84" s="118" t="str">
        <f t="shared" ca="1" si="13"/>
        <v/>
      </c>
      <c r="D84" s="122" t="str">
        <f t="shared" ca="1" si="14"/>
        <v/>
      </c>
      <c r="E84" s="70" t="str">
        <f t="shared" ca="1" si="15"/>
        <v/>
      </c>
      <c r="F84" s="120" t="str">
        <f t="shared" ca="1" si="16"/>
        <v/>
      </c>
      <c r="G84" s="122" t="str">
        <f t="shared" ca="1" si="17"/>
        <v/>
      </c>
      <c r="H84" s="70" t="str">
        <f t="shared" ca="1" si="18"/>
        <v/>
      </c>
      <c r="I84" s="120" t="str">
        <f t="shared" ca="1" si="19"/>
        <v/>
      </c>
      <c r="J84" s="122" t="str">
        <f t="shared" ca="1" si="20"/>
        <v/>
      </c>
      <c r="K84" s="70" t="str">
        <f t="shared" ca="1" si="21"/>
        <v/>
      </c>
      <c r="L84" s="120" t="str">
        <f t="shared" ca="1" si="22"/>
        <v/>
      </c>
      <c r="M84" s="122" t="str">
        <f t="shared" ca="1" si="23"/>
        <v/>
      </c>
      <c r="N84" s="70" t="str">
        <f t="shared" ca="1" si="24"/>
        <v/>
      </c>
      <c r="O84" s="120" t="str">
        <f t="shared" ca="1" si="25"/>
        <v/>
      </c>
    </row>
    <row r="85" spans="1:15" ht="16.5" customHeight="1">
      <c r="A85" s="47">
        <v>26</v>
      </c>
      <c r="B85" s="130" t="str">
        <f>HYPERLINK("#'" &amp; TEXT(투자전략!$G$1+25, "[$-ko-KR]yyyy.mm.dd") &amp; "'!A40:O64", TEXT(투자전략!$G$1+25, "[$-ko-KR]yyyy.mm.dd"))</f>
        <v>2023.01.26</v>
      </c>
      <c r="C85" s="118" t="str">
        <f t="shared" ca="1" si="13"/>
        <v/>
      </c>
      <c r="D85" s="122" t="str">
        <f t="shared" ca="1" si="14"/>
        <v/>
      </c>
      <c r="E85" s="70" t="str">
        <f t="shared" ca="1" si="15"/>
        <v/>
      </c>
      <c r="F85" s="120" t="str">
        <f t="shared" ca="1" si="16"/>
        <v/>
      </c>
      <c r="G85" s="122" t="str">
        <f t="shared" ca="1" si="17"/>
        <v/>
      </c>
      <c r="H85" s="70" t="str">
        <f t="shared" ca="1" si="18"/>
        <v/>
      </c>
      <c r="I85" s="120" t="str">
        <f t="shared" ca="1" si="19"/>
        <v/>
      </c>
      <c r="J85" s="122" t="str">
        <f t="shared" ca="1" si="20"/>
        <v/>
      </c>
      <c r="K85" s="70" t="str">
        <f t="shared" ca="1" si="21"/>
        <v/>
      </c>
      <c r="L85" s="120" t="str">
        <f t="shared" ca="1" si="22"/>
        <v/>
      </c>
      <c r="M85" s="122" t="str">
        <f t="shared" ca="1" si="23"/>
        <v/>
      </c>
      <c r="N85" s="70" t="str">
        <f t="shared" ca="1" si="24"/>
        <v/>
      </c>
      <c r="O85" s="120" t="str">
        <f t="shared" ca="1" si="25"/>
        <v/>
      </c>
    </row>
    <row r="86" spans="1:15" ht="16.5" customHeight="1">
      <c r="A86" s="47">
        <v>27</v>
      </c>
      <c r="B86" s="130" t="str">
        <f>HYPERLINK("#'" &amp; TEXT(투자전략!$G$1+26, "[$-ko-KR]yyyy.mm.dd") &amp; "'!A40:O64", TEXT(투자전략!$G$1+26, "[$-ko-KR]yyyy.mm.dd"))</f>
        <v>2023.01.27</v>
      </c>
      <c r="C86" s="118" t="str">
        <f t="shared" ca="1" si="13"/>
        <v/>
      </c>
      <c r="D86" s="122" t="str">
        <f t="shared" ca="1" si="14"/>
        <v/>
      </c>
      <c r="E86" s="70" t="str">
        <f t="shared" ca="1" si="15"/>
        <v/>
      </c>
      <c r="F86" s="120" t="str">
        <f t="shared" ca="1" si="16"/>
        <v/>
      </c>
      <c r="G86" s="122" t="str">
        <f t="shared" ca="1" si="17"/>
        <v/>
      </c>
      <c r="H86" s="70" t="str">
        <f t="shared" ca="1" si="18"/>
        <v/>
      </c>
      <c r="I86" s="120" t="str">
        <f t="shared" ca="1" si="19"/>
        <v/>
      </c>
      <c r="J86" s="122" t="str">
        <f t="shared" ca="1" si="20"/>
        <v/>
      </c>
      <c r="K86" s="70" t="str">
        <f t="shared" ca="1" si="21"/>
        <v/>
      </c>
      <c r="L86" s="120" t="str">
        <f t="shared" ca="1" si="22"/>
        <v/>
      </c>
      <c r="M86" s="122" t="str">
        <f t="shared" ca="1" si="23"/>
        <v/>
      </c>
      <c r="N86" s="70" t="str">
        <f t="shared" ca="1" si="24"/>
        <v/>
      </c>
      <c r="O86" s="120" t="str">
        <f t="shared" ca="1" si="25"/>
        <v/>
      </c>
    </row>
    <row r="87" spans="1:15" ht="16.5" customHeight="1" thickBot="1">
      <c r="A87" s="48">
        <v>28</v>
      </c>
      <c r="B87" s="131" t="str">
        <f>HYPERLINK("#'" &amp; TEXT(투자전략!$G$1+27, "[$-ko-KR]yyyy.mm.dd") &amp; "'!A40:O64", TEXT(투자전략!$G$1+27, "[$-ko-KR]yyyy.mm.dd"))</f>
        <v>2023.01.28</v>
      </c>
      <c r="C87" s="119" t="str">
        <f t="shared" ca="1" si="13"/>
        <v/>
      </c>
      <c r="D87" s="123" t="str">
        <f t="shared" ca="1" si="14"/>
        <v/>
      </c>
      <c r="E87" s="72" t="str">
        <f t="shared" ca="1" si="15"/>
        <v/>
      </c>
      <c r="F87" s="121" t="str">
        <f t="shared" ca="1" si="16"/>
        <v/>
      </c>
      <c r="G87" s="123" t="str">
        <f t="shared" ca="1" si="17"/>
        <v/>
      </c>
      <c r="H87" s="72" t="str">
        <f t="shared" ca="1" si="18"/>
        <v/>
      </c>
      <c r="I87" s="121" t="str">
        <f t="shared" ca="1" si="19"/>
        <v/>
      </c>
      <c r="J87" s="123" t="str">
        <f t="shared" ca="1" si="20"/>
        <v/>
      </c>
      <c r="K87" s="72" t="str">
        <f t="shared" ca="1" si="21"/>
        <v/>
      </c>
      <c r="L87" s="121" t="str">
        <f t="shared" ca="1" si="22"/>
        <v/>
      </c>
      <c r="M87" s="123" t="str">
        <f t="shared" ca="1" si="23"/>
        <v/>
      </c>
      <c r="N87" s="72" t="str">
        <f t="shared" ca="1" si="24"/>
        <v/>
      </c>
      <c r="O87" s="121" t="str">
        <f t="shared" ca="1" si="25"/>
        <v/>
      </c>
    </row>
    <row r="88" spans="1:15" ht="16.5" customHeight="1">
      <c r="A88" s="105">
        <v>29</v>
      </c>
      <c r="B88" s="129" t="str">
        <f>HYPERLINK("#'" &amp; TEXT(투자전략!$G$1+28, "[$-ko-KR]yyyy.mm.dd") &amp; "'!A40:O64", TEXT(투자전략!$G$1+28, "[$-ko-KR]yyyy.mm.dd"))</f>
        <v>2023.01.29</v>
      </c>
      <c r="C88" s="118" t="str">
        <f t="shared" ca="1" si="13"/>
        <v/>
      </c>
      <c r="D88" s="122" t="str">
        <f t="shared" ca="1" si="14"/>
        <v/>
      </c>
      <c r="E88" s="70" t="str">
        <f t="shared" ca="1" si="15"/>
        <v/>
      </c>
      <c r="F88" s="120" t="str">
        <f t="shared" ca="1" si="16"/>
        <v/>
      </c>
      <c r="G88" s="122" t="str">
        <f t="shared" ca="1" si="17"/>
        <v/>
      </c>
      <c r="H88" s="70" t="str">
        <f t="shared" ca="1" si="18"/>
        <v/>
      </c>
      <c r="I88" s="120" t="str">
        <f t="shared" ca="1" si="19"/>
        <v/>
      </c>
      <c r="J88" s="122" t="str">
        <f t="shared" ca="1" si="20"/>
        <v/>
      </c>
      <c r="K88" s="70" t="str">
        <f t="shared" ca="1" si="21"/>
        <v/>
      </c>
      <c r="L88" s="120" t="str">
        <f t="shared" ca="1" si="22"/>
        <v/>
      </c>
      <c r="M88" s="122" t="str">
        <f t="shared" ca="1" si="23"/>
        <v/>
      </c>
      <c r="N88" s="70" t="str">
        <f t="shared" ca="1" si="24"/>
        <v/>
      </c>
      <c r="O88" s="120" t="str">
        <f t="shared" ca="1" si="25"/>
        <v/>
      </c>
    </row>
    <row r="89" spans="1:15" ht="16.5" customHeight="1">
      <c r="A89" s="105">
        <v>30</v>
      </c>
      <c r="B89" s="130" t="str">
        <f>HYPERLINK("#'" &amp; TEXT(투자전략!$G$1+29, "[$-ko-KR]yyyy.mm.dd") &amp; "'!A40:O64", TEXT(투자전략!$G$1+29, "[$-ko-KR]yyyy.mm.dd"))</f>
        <v>2023.01.30</v>
      </c>
      <c r="C89" s="118" t="str">
        <f t="shared" ca="1" si="13"/>
        <v/>
      </c>
      <c r="D89" s="122" t="str">
        <f t="shared" ca="1" si="14"/>
        <v/>
      </c>
      <c r="E89" s="70" t="str">
        <f t="shared" ca="1" si="15"/>
        <v/>
      </c>
      <c r="F89" s="120" t="str">
        <f t="shared" ca="1" si="16"/>
        <v/>
      </c>
      <c r="G89" s="122" t="str">
        <f t="shared" ca="1" si="17"/>
        <v/>
      </c>
      <c r="H89" s="70" t="str">
        <f t="shared" ca="1" si="18"/>
        <v/>
      </c>
      <c r="I89" s="120" t="str">
        <f t="shared" ca="1" si="19"/>
        <v/>
      </c>
      <c r="J89" s="122" t="str">
        <f t="shared" ca="1" si="20"/>
        <v/>
      </c>
      <c r="K89" s="70" t="str">
        <f t="shared" ca="1" si="21"/>
        <v/>
      </c>
      <c r="L89" s="120" t="str">
        <f t="shared" ca="1" si="22"/>
        <v/>
      </c>
      <c r="M89" s="122" t="str">
        <f t="shared" ca="1" si="23"/>
        <v/>
      </c>
      <c r="N89" s="70" t="str">
        <f t="shared" ca="1" si="24"/>
        <v/>
      </c>
      <c r="O89" s="120" t="str">
        <f t="shared" ca="1" si="25"/>
        <v/>
      </c>
    </row>
    <row r="90" spans="1:15" ht="16.5" customHeight="1" thickBot="1">
      <c r="A90" s="105">
        <v>31</v>
      </c>
      <c r="B90" s="130" t="str">
        <f>HYPERLINK("#'" &amp; TEXT(투자전략!$G$1+30, "[$-ko-KR]yyyy.mm.dd") &amp; "'!A40:O64", TEXT(투자전략!$G$1+30, "[$-ko-KR]yyyy.mm.dd"))</f>
        <v>2023.01.31</v>
      </c>
      <c r="C90" s="119" t="str">
        <f t="shared" ca="1" si="13"/>
        <v/>
      </c>
      <c r="D90" s="123" t="str">
        <f t="shared" ca="1" si="14"/>
        <v/>
      </c>
      <c r="E90" s="72" t="str">
        <f t="shared" ca="1" si="15"/>
        <v/>
      </c>
      <c r="F90" s="121" t="str">
        <f t="shared" ca="1" si="16"/>
        <v/>
      </c>
      <c r="G90" s="123" t="str">
        <f t="shared" ca="1" si="17"/>
        <v/>
      </c>
      <c r="H90" s="72" t="str">
        <f t="shared" ca="1" si="18"/>
        <v/>
      </c>
      <c r="I90" s="121" t="str">
        <f t="shared" ca="1" si="19"/>
        <v/>
      </c>
      <c r="J90" s="123" t="str">
        <f t="shared" ca="1" si="20"/>
        <v/>
      </c>
      <c r="K90" s="72" t="str">
        <f t="shared" ca="1" si="21"/>
        <v/>
      </c>
      <c r="L90" s="121" t="str">
        <f t="shared" ca="1" si="22"/>
        <v/>
      </c>
      <c r="M90" s="123" t="str">
        <f t="shared" ca="1" si="23"/>
        <v/>
      </c>
      <c r="N90" s="72" t="str">
        <f t="shared" ca="1" si="24"/>
        <v/>
      </c>
      <c r="O90" s="121" t="str">
        <f t="shared" ca="1" si="25"/>
        <v/>
      </c>
    </row>
    <row r="91" spans="1:15" ht="16.5" customHeight="1" thickBot="1">
      <c r="A91" s="185" t="s">
        <v>270</v>
      </c>
      <c r="B91" s="187"/>
      <c r="C91" s="116" t="s">
        <v>265</v>
      </c>
      <c r="D91" s="9" t="s">
        <v>266</v>
      </c>
      <c r="E91" s="63" t="s">
        <v>267</v>
      </c>
      <c r="F91" s="64" t="s">
        <v>268</v>
      </c>
      <c r="G91" s="9" t="s">
        <v>266</v>
      </c>
      <c r="H91" s="63" t="s">
        <v>267</v>
      </c>
      <c r="I91" s="64" t="s">
        <v>268</v>
      </c>
      <c r="J91" s="9" t="s">
        <v>266</v>
      </c>
      <c r="K91" s="63" t="s">
        <v>267</v>
      </c>
      <c r="L91" s="64" t="s">
        <v>268</v>
      </c>
      <c r="M91" s="9" t="s">
        <v>266</v>
      </c>
      <c r="N91" s="63" t="s">
        <v>267</v>
      </c>
      <c r="O91" s="64" t="s">
        <v>268</v>
      </c>
    </row>
    <row r="92" spans="1:15" ht="16.5" customHeight="1" thickBot="1">
      <c r="A92" s="178"/>
      <c r="B92" s="180"/>
      <c r="C92" s="119">
        <f ca="1">SUM(C60:C90)</f>
        <v>24000000</v>
      </c>
      <c r="D92" s="123">
        <f ca="1">SUM(D60:D90)</f>
        <v>24142579.55020652</v>
      </c>
      <c r="E92" s="72">
        <f ca="1">IFERROR(F92 / (SUM($C60:$C90) / COUNT($C60:$C90)), 0)</f>
        <v>4.7526516735506362E-2</v>
      </c>
      <c r="F92" s="121">
        <f ca="1">SUM(F60:F90)</f>
        <v>142579.55020651908</v>
      </c>
      <c r="G92" s="123">
        <f ca="1">SUM(G60:G90)</f>
        <v>24142179.258882433</v>
      </c>
      <c r="H92" s="72">
        <f ca="1">IFERROR(I92 / (SUM($C60:$C90) / COUNT($C60:$C90)), 0)</f>
        <v>4.7393086294144605E-2</v>
      </c>
      <c r="I92" s="121">
        <f ca="1">SUM(I60:I90)</f>
        <v>142179.25888243382</v>
      </c>
      <c r="J92" s="123">
        <f ca="1">SUM(J60:J90)</f>
        <v>24170009.034832776</v>
      </c>
      <c r="K92" s="72">
        <f ca="1">IFERROR(L92 / (SUM($C60:$C90) / COUNT($C60:$C90)), 0)</f>
        <v>5.6669678277592395E-2</v>
      </c>
      <c r="L92" s="121">
        <f ca="1">SUM(L60:L90)</f>
        <v>170009.03483277719</v>
      </c>
      <c r="M92" s="123">
        <f ca="1">SUM(M60:M90)</f>
        <v>24047445.961972591</v>
      </c>
      <c r="N92" s="72">
        <f ca="1">IFERROR(O92 / (SUM($C60:$C90) / COUNT($C60:$C90)), 0)</f>
        <v>1.5815320657529122E-2</v>
      </c>
      <c r="O92" s="121">
        <f ca="1">SUM(O60:O90)</f>
        <v>47445.961972587364</v>
      </c>
    </row>
    <row r="94" spans="1:15" ht="16.5" customHeight="1" thickBot="1"/>
    <row r="95" spans="1:15" ht="16.5" customHeight="1" thickBot="1">
      <c r="A95" s="157" t="str">
        <f>TEXT(투자전략!$G$1, "[$-ko-KR]yyyy년 mm월 ") &amp; "[동전코인] 전일대비 상승률 Top20 월말결산"</f>
        <v>2023년 01월 [동전코인] 전일대비 상승률 Top20 월말결산</v>
      </c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9"/>
    </row>
    <row r="96" spans="1:15" ht="16.5" customHeight="1" thickBot="1">
      <c r="A96" s="201" t="s">
        <v>271</v>
      </c>
      <c r="B96" s="178" t="s">
        <v>269</v>
      </c>
      <c r="C96" s="180"/>
      <c r="D96" s="178" t="s">
        <v>261</v>
      </c>
      <c r="E96" s="179"/>
      <c r="F96" s="180"/>
      <c r="G96" s="178" t="s">
        <v>262</v>
      </c>
      <c r="H96" s="179"/>
      <c r="I96" s="180"/>
      <c r="J96" s="178" t="s">
        <v>263</v>
      </c>
      <c r="K96" s="179"/>
      <c r="L96" s="180"/>
      <c r="M96" s="178" t="s">
        <v>264</v>
      </c>
      <c r="N96" s="179"/>
      <c r="O96" s="180"/>
    </row>
    <row r="97" spans="1:15" ht="16.5" customHeight="1" thickBot="1">
      <c r="A97" s="194"/>
      <c r="B97" s="46" t="s">
        <v>259</v>
      </c>
      <c r="C97" s="46" t="s">
        <v>42</v>
      </c>
      <c r="D97" s="105" t="s">
        <v>260</v>
      </c>
      <c r="E97" s="106" t="s">
        <v>40</v>
      </c>
      <c r="F97" s="81" t="s">
        <v>41</v>
      </c>
      <c r="G97" s="105" t="s">
        <v>260</v>
      </c>
      <c r="H97" s="106" t="s">
        <v>40</v>
      </c>
      <c r="I97" s="81" t="s">
        <v>41</v>
      </c>
      <c r="J97" s="105" t="s">
        <v>260</v>
      </c>
      <c r="K97" s="106" t="s">
        <v>40</v>
      </c>
      <c r="L97" s="81" t="s">
        <v>41</v>
      </c>
      <c r="M97" s="105" t="s">
        <v>260</v>
      </c>
      <c r="N97" s="106" t="s">
        <v>40</v>
      </c>
      <c r="O97" s="81" t="s">
        <v>41</v>
      </c>
    </row>
    <row r="98" spans="1:15" ht="16.5" customHeight="1">
      <c r="A98" s="46">
        <v>1</v>
      </c>
      <c r="B98" s="129" t="str">
        <f>HYPERLINK("#'" &amp; TEXT(투자전략!$G$1+0, "[$-ko-KR]yyyy.mm.dd") &amp; "'!A67:O91", TEXT(투자전략!$G$1+0, "[$-ko-KR]yyyy.mm.dd"))</f>
        <v>2023.01.01</v>
      </c>
      <c r="C98" s="117">
        <f ca="1">IFERROR(COUNTA(INDIRECT($B98&amp;"!A71:A90")) * INDIRECT($B98&amp;"!B91"), "")</f>
        <v>3000000</v>
      </c>
      <c r="D98" s="125">
        <f ca="1">IFERROR($C98 * (1 + E98), "")</f>
        <v>3003245.893571422</v>
      </c>
      <c r="E98" s="69">
        <f ca="1">IFERROR(INDIRECT($B98&amp;"!E91"), "")</f>
        <v>1.0819645238074088E-3</v>
      </c>
      <c r="F98" s="124">
        <f ca="1">IFERROR(INDIRECT($B98&amp;"!F91"), "")</f>
        <v>3245.8935714222266</v>
      </c>
      <c r="G98" s="125">
        <f ca="1">IFERROR($C98 * (1 + H98), "")</f>
        <v>2990808.3375537256</v>
      </c>
      <c r="H98" s="69">
        <f ca="1">IFERROR(INDIRECT($B98&amp;"!H91"), "")</f>
        <v>-3.0638874820915056E-3</v>
      </c>
      <c r="I98" s="124">
        <f ca="1">IFERROR(INDIRECT($B98&amp;"!I91"), "")</f>
        <v>-9191.6624462745167</v>
      </c>
      <c r="J98" s="125">
        <f ca="1">IFERROR($C98 * (1 + K98), "")</f>
        <v>2990808.3375537256</v>
      </c>
      <c r="K98" s="69">
        <f ca="1">IFERROR(INDIRECT($B98&amp;"!K91"), "")</f>
        <v>-3.0638874820915056E-3</v>
      </c>
      <c r="L98" s="124">
        <f ca="1">IFERROR(INDIRECT($B98&amp;"!L91"), "")</f>
        <v>-9191.6624462745167</v>
      </c>
      <c r="M98" s="125">
        <f ca="1">IFERROR($C98 * (1 + N98), "")</f>
        <v>2995021.8196425945</v>
      </c>
      <c r="N98" s="69">
        <f ca="1">IFERROR(INDIRECT($B98&amp;"!N91"), "")</f>
        <v>-1.6593934524684558E-3</v>
      </c>
      <c r="O98" s="124">
        <f ca="1">IFERROR(INDIRECT($B98&amp;"!O91"), "")</f>
        <v>-4978.1803574053665</v>
      </c>
    </row>
    <row r="99" spans="1:15" ht="16.5" customHeight="1">
      <c r="A99" s="47">
        <v>2</v>
      </c>
      <c r="B99" s="130" t="str">
        <f>HYPERLINK("#'" &amp; TEXT(투자전략!$G$1+1, "[$-ko-KR]yyyy.mm.dd") &amp; "'!A67:O91", TEXT(투자전략!$G$1+1, "[$-ko-KR]yyyy.mm.dd"))</f>
        <v>2023.01.02</v>
      </c>
      <c r="C99" s="118">
        <f t="shared" ref="C99:C128" ca="1" si="26">IFERROR(COUNTA(INDIRECT($B99&amp;"!A71:A90")) * INDIRECT($B99&amp;"!B91"), "")</f>
        <v>3000000</v>
      </c>
      <c r="D99" s="122">
        <f t="shared" ref="D99:D128" ca="1" si="27">IFERROR($C99 * (1 + E99), "")</f>
        <v>3005665.4151366241</v>
      </c>
      <c r="E99" s="70">
        <f t="shared" ref="E99:E128" ca="1" si="28">IFERROR(INDIRECT($B99&amp;"!E91"), "")</f>
        <v>1.8884717122081105E-3</v>
      </c>
      <c r="F99" s="120">
        <f t="shared" ref="F99:F128" ca="1" si="29">IFERROR(INDIRECT($B99&amp;"!F91"), "")</f>
        <v>5665.4151366243304</v>
      </c>
      <c r="G99" s="122">
        <f t="shared" ref="G99:G128" ca="1" si="30">IFERROR($C99 * (1 + H99), "")</f>
        <v>3058047.2146163289</v>
      </c>
      <c r="H99" s="70">
        <f t="shared" ref="H99:H128" ca="1" si="31">IFERROR(INDIRECT($B99&amp;"!H91"), "")</f>
        <v>1.934907153877622E-2</v>
      </c>
      <c r="I99" s="120">
        <f t="shared" ref="I99:I128" ca="1" si="32">IFERROR(INDIRECT($B99&amp;"!I91"), "")</f>
        <v>58047.214616328652</v>
      </c>
      <c r="J99" s="122">
        <f t="shared" ref="J99:J128" ca="1" si="33">IFERROR($C99 * (1 + K99), "")</f>
        <v>3057097.7349026459</v>
      </c>
      <c r="K99" s="70">
        <f t="shared" ref="K99:K128" ca="1" si="34">IFERROR(INDIRECT($B99&amp;"!K91"), "")</f>
        <v>1.9032578300882022E-2</v>
      </c>
      <c r="L99" s="120">
        <f t="shared" ref="L99:L128" ca="1" si="35">IFERROR(INDIRECT($B99&amp;"!L91"), "")</f>
        <v>57097.734902646051</v>
      </c>
      <c r="M99" s="122">
        <f t="shared" ref="M99:M128" ca="1" si="36">IFERROR($C99 * (1 + N99), "")</f>
        <v>3054772.5499075544</v>
      </c>
      <c r="N99" s="70">
        <f t="shared" ref="N99:N128" ca="1" si="37">IFERROR(INDIRECT($B99&amp;"!N91"), "")</f>
        <v>1.8257516635851401E-2</v>
      </c>
      <c r="O99" s="120">
        <f t="shared" ref="O99:O128" ca="1" si="38">IFERROR(INDIRECT($B99&amp;"!O91"), "")</f>
        <v>54772.549907554203</v>
      </c>
    </row>
    <row r="100" spans="1:15" ht="16.5" customHeight="1">
      <c r="A100" s="47">
        <v>3</v>
      </c>
      <c r="B100" s="130" t="str">
        <f>HYPERLINK("#'" &amp; TEXT(투자전략!$G$1+2, "[$-ko-KR]yyyy.mm.dd") &amp; "'!A67:O91", TEXT(투자전략!$G$1+2, "[$-ko-KR]yyyy.mm.dd"))</f>
        <v>2023.01.03</v>
      </c>
      <c r="C100" s="118">
        <f t="shared" ca="1" si="26"/>
        <v>3000000</v>
      </c>
      <c r="D100" s="122">
        <f t="shared" ca="1" si="27"/>
        <v>3009604.3470456116</v>
      </c>
      <c r="E100" s="70">
        <f t="shared" ca="1" si="28"/>
        <v>3.2014490152038493E-3</v>
      </c>
      <c r="F100" s="120">
        <f t="shared" ca="1" si="29"/>
        <v>9604.3470456115501</v>
      </c>
      <c r="G100" s="122">
        <f t="shared" ca="1" si="30"/>
        <v>3042899.491848812</v>
      </c>
      <c r="H100" s="70">
        <f t="shared" ca="1" si="31"/>
        <v>1.4299830616270692E-2</v>
      </c>
      <c r="I100" s="120">
        <f t="shared" ca="1" si="32"/>
        <v>42899.491848812089</v>
      </c>
      <c r="J100" s="122">
        <f t="shared" ca="1" si="33"/>
        <v>3035587.3380276514</v>
      </c>
      <c r="K100" s="70">
        <f t="shared" ca="1" si="34"/>
        <v>1.1862446009217065E-2</v>
      </c>
      <c r="L100" s="120">
        <f t="shared" ca="1" si="35"/>
        <v>35587.338027651203</v>
      </c>
      <c r="M100" s="122">
        <f t="shared" ca="1" si="36"/>
        <v>3016950.083839905</v>
      </c>
      <c r="N100" s="70">
        <f t="shared" ca="1" si="37"/>
        <v>5.6500279466349156E-3</v>
      </c>
      <c r="O100" s="120">
        <f t="shared" ca="1" si="38"/>
        <v>16950.083839904742</v>
      </c>
    </row>
    <row r="101" spans="1:15" ht="16.5" customHeight="1">
      <c r="A101" s="47">
        <v>4</v>
      </c>
      <c r="B101" s="130" t="str">
        <f>HYPERLINK("#'" &amp; TEXT(투자전략!$G$1+3, "[$-ko-KR]yyyy.mm.dd") &amp; "'!A67:O91", TEXT(투자전략!$G$1+3, "[$-ko-KR]yyyy.mm.dd"))</f>
        <v>2023.01.04</v>
      </c>
      <c r="C101" s="118">
        <f t="shared" ca="1" si="26"/>
        <v>3000000</v>
      </c>
      <c r="D101" s="122">
        <f t="shared" ca="1" si="27"/>
        <v>3091173.873750106</v>
      </c>
      <c r="E101" s="70">
        <f t="shared" ca="1" si="28"/>
        <v>3.039129125003532E-2</v>
      </c>
      <c r="F101" s="120">
        <f t="shared" ca="1" si="29"/>
        <v>91173.873750105966</v>
      </c>
      <c r="G101" s="122">
        <f t="shared" ca="1" si="30"/>
        <v>3090449.6584798223</v>
      </c>
      <c r="H101" s="70">
        <f t="shared" ca="1" si="31"/>
        <v>3.0149886159940659E-2</v>
      </c>
      <c r="I101" s="120">
        <f t="shared" ca="1" si="32"/>
        <v>90449.658479821999</v>
      </c>
      <c r="J101" s="122">
        <f t="shared" ca="1" si="33"/>
        <v>3088121.4626004365</v>
      </c>
      <c r="K101" s="70">
        <f t="shared" ca="1" si="34"/>
        <v>2.93738208668122E-2</v>
      </c>
      <c r="L101" s="120">
        <f t="shared" ca="1" si="35"/>
        <v>88121.462600436629</v>
      </c>
      <c r="M101" s="122">
        <f t="shared" ca="1" si="36"/>
        <v>3089239.3661467172</v>
      </c>
      <c r="N101" s="70">
        <f t="shared" ca="1" si="37"/>
        <v>2.9746455382239023E-2</v>
      </c>
      <c r="O101" s="120">
        <f t="shared" ca="1" si="38"/>
        <v>89239.366146717075</v>
      </c>
    </row>
    <row r="102" spans="1:15" ht="16.5" customHeight="1">
      <c r="A102" s="47">
        <v>5</v>
      </c>
      <c r="B102" s="130" t="str">
        <f>HYPERLINK("#'" &amp; TEXT(투자전략!$G$1+4, "[$-ko-KR]yyyy.mm.dd") &amp; "'!A67:O91", TEXT(투자전략!$G$1+4, "[$-ko-KR]yyyy.mm.dd"))</f>
        <v>2023.01.05</v>
      </c>
      <c r="C102" s="118">
        <f t="shared" ca="1" si="26"/>
        <v>3000000</v>
      </c>
      <c r="D102" s="122">
        <f t="shared" ca="1" si="27"/>
        <v>3039583.2384355944</v>
      </c>
      <c r="E102" s="70">
        <f t="shared" ca="1" si="28"/>
        <v>1.3194412811864792E-2</v>
      </c>
      <c r="F102" s="120">
        <f t="shared" ca="1" si="29"/>
        <v>39583.23843559438</v>
      </c>
      <c r="G102" s="122">
        <f t="shared" ca="1" si="30"/>
        <v>2974267.3590089572</v>
      </c>
      <c r="H102" s="70">
        <f t="shared" ca="1" si="31"/>
        <v>-8.5775469970142855E-3</v>
      </c>
      <c r="I102" s="120">
        <f t="shared" ca="1" si="32"/>
        <v>-25732.640991042848</v>
      </c>
      <c r="J102" s="122">
        <f t="shared" ca="1" si="33"/>
        <v>3005492.4656347511</v>
      </c>
      <c r="K102" s="70">
        <f t="shared" ca="1" si="34"/>
        <v>1.8308218782503987E-3</v>
      </c>
      <c r="L102" s="120">
        <f t="shared" ca="1" si="35"/>
        <v>5492.4656347511964</v>
      </c>
      <c r="M102" s="122">
        <f t="shared" ca="1" si="36"/>
        <v>2991395.8863580683</v>
      </c>
      <c r="N102" s="70">
        <f t="shared" ca="1" si="37"/>
        <v>-2.868037880643908E-3</v>
      </c>
      <c r="O102" s="120">
        <f t="shared" ca="1" si="38"/>
        <v>-8604.1136419317227</v>
      </c>
    </row>
    <row r="103" spans="1:15" ht="16.5" customHeight="1">
      <c r="A103" s="47">
        <v>6</v>
      </c>
      <c r="B103" s="130" t="str">
        <f>HYPERLINK("#'" &amp; TEXT(투자전략!$G$1+5, "[$-ko-KR]yyyy.mm.dd") &amp; "'!A67:O91", TEXT(투자전략!$G$1+5, "[$-ko-KR]yyyy.mm.dd"))</f>
        <v>2023.01.06</v>
      </c>
      <c r="C103" s="118">
        <f t="shared" ca="1" si="26"/>
        <v>3000000</v>
      </c>
      <c r="D103" s="122">
        <f t="shared" ca="1" si="27"/>
        <v>2963631.3228137712</v>
      </c>
      <c r="E103" s="70">
        <f t="shared" ca="1" si="28"/>
        <v>-1.2122892395409571E-2</v>
      </c>
      <c r="F103" s="120">
        <f t="shared" ca="1" si="29"/>
        <v>-36368.677186228713</v>
      </c>
      <c r="G103" s="122">
        <f t="shared" ca="1" si="30"/>
        <v>2947009.9136048337</v>
      </c>
      <c r="H103" s="70">
        <f t="shared" ca="1" si="31"/>
        <v>-1.76633621317221E-2</v>
      </c>
      <c r="I103" s="120">
        <f t="shared" ca="1" si="32"/>
        <v>-52990.086395166305</v>
      </c>
      <c r="J103" s="122">
        <f t="shared" ca="1" si="33"/>
        <v>2930566.0906056105</v>
      </c>
      <c r="K103" s="70">
        <f t="shared" ca="1" si="34"/>
        <v>-2.3144636464796444E-2</v>
      </c>
      <c r="L103" s="120">
        <f t="shared" ca="1" si="35"/>
        <v>-69433.909394389324</v>
      </c>
      <c r="M103" s="122">
        <f t="shared" ca="1" si="36"/>
        <v>2941554.8825490503</v>
      </c>
      <c r="N103" s="70">
        <f t="shared" ca="1" si="37"/>
        <v>-1.9481705816983323E-2</v>
      </c>
      <c r="O103" s="120">
        <f t="shared" ca="1" si="38"/>
        <v>-58445.117450949976</v>
      </c>
    </row>
    <row r="104" spans="1:15" ht="16.5" customHeight="1" thickBot="1">
      <c r="A104" s="48">
        <v>7</v>
      </c>
      <c r="B104" s="131" t="str">
        <f>HYPERLINK("#'" &amp; TEXT(투자전략!$G$1+6, "[$-ko-KR]yyyy.mm.dd") &amp; "'!A67:O91", TEXT(투자전략!$G$1+6, "[$-ko-KR]yyyy.mm.dd"))</f>
        <v>2023.01.07</v>
      </c>
      <c r="C104" s="118">
        <f t="shared" ca="1" si="26"/>
        <v>3000000</v>
      </c>
      <c r="D104" s="122">
        <f t="shared" ca="1" si="27"/>
        <v>3073105.195110817</v>
      </c>
      <c r="E104" s="70">
        <f t="shared" ca="1" si="28"/>
        <v>2.4368398370272354E-2</v>
      </c>
      <c r="F104" s="120">
        <f t="shared" ca="1" si="29"/>
        <v>73105.195110817076</v>
      </c>
      <c r="G104" s="122">
        <f t="shared" ca="1" si="30"/>
        <v>3079406.0226278058</v>
      </c>
      <c r="H104" s="70">
        <f t="shared" ca="1" si="31"/>
        <v>2.6468674209268673E-2</v>
      </c>
      <c r="I104" s="120">
        <f t="shared" ca="1" si="32"/>
        <v>79406.022627806014</v>
      </c>
      <c r="J104" s="122">
        <f t="shared" ca="1" si="33"/>
        <v>3074546.6329558091</v>
      </c>
      <c r="K104" s="70">
        <f t="shared" ca="1" si="34"/>
        <v>2.4848877651936434E-2</v>
      </c>
      <c r="L104" s="120">
        <f t="shared" ca="1" si="35"/>
        <v>74546.632955809313</v>
      </c>
      <c r="M104" s="122">
        <f t="shared" ca="1" si="36"/>
        <v>3000000</v>
      </c>
      <c r="N104" s="70">
        <f t="shared" ca="1" si="37"/>
        <v>0</v>
      </c>
      <c r="O104" s="120">
        <f t="shared" ca="1" si="38"/>
        <v>0</v>
      </c>
    </row>
    <row r="105" spans="1:15" ht="16.5" customHeight="1">
      <c r="A105" s="46">
        <v>8</v>
      </c>
      <c r="B105" s="129" t="str">
        <f>HYPERLINK("#'" &amp; TEXT(투자전략!$G$1+7, "[$-ko-KR]yyyy.mm.dd") &amp; "'!A67:O91", TEXT(투자전략!$G$1+7, "[$-ko-KR]yyyy.mm.dd"))</f>
        <v>2023.01.08</v>
      </c>
      <c r="C105" s="117">
        <f t="shared" ca="1" si="26"/>
        <v>3000000</v>
      </c>
      <c r="D105" s="125">
        <f t="shared" ca="1" si="27"/>
        <v>3000000</v>
      </c>
      <c r="E105" s="69">
        <f t="shared" ca="1" si="28"/>
        <v>0</v>
      </c>
      <c r="F105" s="124">
        <f t="shared" ca="1" si="29"/>
        <v>0</v>
      </c>
      <c r="G105" s="125">
        <f t="shared" ca="1" si="30"/>
        <v>3000000</v>
      </c>
      <c r="H105" s="69">
        <f t="shared" ca="1" si="31"/>
        <v>0</v>
      </c>
      <c r="I105" s="124">
        <f t="shared" ca="1" si="32"/>
        <v>0</v>
      </c>
      <c r="J105" s="125">
        <f t="shared" ca="1" si="33"/>
        <v>3000000</v>
      </c>
      <c r="K105" s="69">
        <f t="shared" ca="1" si="34"/>
        <v>0</v>
      </c>
      <c r="L105" s="124">
        <f t="shared" ca="1" si="35"/>
        <v>0</v>
      </c>
      <c r="M105" s="125">
        <f t="shared" ca="1" si="36"/>
        <v>3000000</v>
      </c>
      <c r="N105" s="69">
        <f t="shared" ca="1" si="37"/>
        <v>0</v>
      </c>
      <c r="O105" s="124">
        <f t="shared" ca="1" si="38"/>
        <v>0</v>
      </c>
    </row>
    <row r="106" spans="1:15" ht="16.5" customHeight="1">
      <c r="A106" s="47">
        <v>9</v>
      </c>
      <c r="B106" s="130" t="str">
        <f>HYPERLINK("#'" &amp; TEXT(투자전략!$G$1+8, "[$-ko-KR]yyyy.mm.dd") &amp; "'!A67:O91", TEXT(투자전략!$G$1+8, "[$-ko-KR]yyyy.mm.dd"))</f>
        <v>2023.01.09</v>
      </c>
      <c r="C106" s="118" t="str">
        <f t="shared" ca="1" si="26"/>
        <v/>
      </c>
      <c r="D106" s="122" t="str">
        <f t="shared" ca="1" si="27"/>
        <v/>
      </c>
      <c r="E106" s="70" t="str">
        <f t="shared" ca="1" si="28"/>
        <v/>
      </c>
      <c r="F106" s="120" t="str">
        <f t="shared" ca="1" si="29"/>
        <v/>
      </c>
      <c r="G106" s="122" t="str">
        <f t="shared" ca="1" si="30"/>
        <v/>
      </c>
      <c r="H106" s="70" t="str">
        <f t="shared" ca="1" si="31"/>
        <v/>
      </c>
      <c r="I106" s="120" t="str">
        <f t="shared" ca="1" si="32"/>
        <v/>
      </c>
      <c r="J106" s="122" t="str">
        <f t="shared" ca="1" si="33"/>
        <v/>
      </c>
      <c r="K106" s="70" t="str">
        <f t="shared" ca="1" si="34"/>
        <v/>
      </c>
      <c r="L106" s="120" t="str">
        <f t="shared" ca="1" si="35"/>
        <v/>
      </c>
      <c r="M106" s="122" t="str">
        <f t="shared" ca="1" si="36"/>
        <v/>
      </c>
      <c r="N106" s="70" t="str">
        <f t="shared" ca="1" si="37"/>
        <v/>
      </c>
      <c r="O106" s="120" t="str">
        <f t="shared" ca="1" si="38"/>
        <v/>
      </c>
    </row>
    <row r="107" spans="1:15" ht="16.5" customHeight="1">
      <c r="A107" s="47">
        <v>10</v>
      </c>
      <c r="B107" s="130" t="str">
        <f>HYPERLINK("#'" &amp; TEXT(투자전략!$G$1+9, "[$-ko-KR]yyyy.mm.dd") &amp; "'!A67:O91", TEXT(투자전략!$G$1+9, "[$-ko-KR]yyyy.mm.dd"))</f>
        <v>2023.01.10</v>
      </c>
      <c r="C107" s="118" t="str">
        <f t="shared" ca="1" si="26"/>
        <v/>
      </c>
      <c r="D107" s="122" t="str">
        <f t="shared" ca="1" si="27"/>
        <v/>
      </c>
      <c r="E107" s="70" t="str">
        <f t="shared" ca="1" si="28"/>
        <v/>
      </c>
      <c r="F107" s="120" t="str">
        <f t="shared" ca="1" si="29"/>
        <v/>
      </c>
      <c r="G107" s="122" t="str">
        <f t="shared" ca="1" si="30"/>
        <v/>
      </c>
      <c r="H107" s="70" t="str">
        <f t="shared" ca="1" si="31"/>
        <v/>
      </c>
      <c r="I107" s="120" t="str">
        <f t="shared" ca="1" si="32"/>
        <v/>
      </c>
      <c r="J107" s="122" t="str">
        <f t="shared" ca="1" si="33"/>
        <v/>
      </c>
      <c r="K107" s="70" t="str">
        <f t="shared" ca="1" si="34"/>
        <v/>
      </c>
      <c r="L107" s="120" t="str">
        <f t="shared" ca="1" si="35"/>
        <v/>
      </c>
      <c r="M107" s="122" t="str">
        <f t="shared" ca="1" si="36"/>
        <v/>
      </c>
      <c r="N107" s="70" t="str">
        <f t="shared" ca="1" si="37"/>
        <v/>
      </c>
      <c r="O107" s="120" t="str">
        <f t="shared" ca="1" si="38"/>
        <v/>
      </c>
    </row>
    <row r="108" spans="1:15" ht="16.5" customHeight="1">
      <c r="A108" s="47">
        <v>11</v>
      </c>
      <c r="B108" s="130" t="str">
        <f>HYPERLINK("#'" &amp; TEXT(투자전략!$G$1+10, "[$-ko-KR]yyyy.mm.dd") &amp; "'!A67:O91", TEXT(투자전략!$G$1+10, "[$-ko-KR]yyyy.mm.dd"))</f>
        <v>2023.01.11</v>
      </c>
      <c r="C108" s="118" t="str">
        <f t="shared" ca="1" si="26"/>
        <v/>
      </c>
      <c r="D108" s="122" t="str">
        <f t="shared" ca="1" si="27"/>
        <v/>
      </c>
      <c r="E108" s="70" t="str">
        <f t="shared" ca="1" si="28"/>
        <v/>
      </c>
      <c r="F108" s="120" t="str">
        <f t="shared" ca="1" si="29"/>
        <v/>
      </c>
      <c r="G108" s="122" t="str">
        <f t="shared" ca="1" si="30"/>
        <v/>
      </c>
      <c r="H108" s="70" t="str">
        <f t="shared" ca="1" si="31"/>
        <v/>
      </c>
      <c r="I108" s="120" t="str">
        <f t="shared" ca="1" si="32"/>
        <v/>
      </c>
      <c r="J108" s="122" t="str">
        <f t="shared" ca="1" si="33"/>
        <v/>
      </c>
      <c r="K108" s="70" t="str">
        <f t="shared" ca="1" si="34"/>
        <v/>
      </c>
      <c r="L108" s="120" t="str">
        <f t="shared" ca="1" si="35"/>
        <v/>
      </c>
      <c r="M108" s="122" t="str">
        <f t="shared" ca="1" si="36"/>
        <v/>
      </c>
      <c r="N108" s="70" t="str">
        <f t="shared" ca="1" si="37"/>
        <v/>
      </c>
      <c r="O108" s="120" t="str">
        <f t="shared" ca="1" si="38"/>
        <v/>
      </c>
    </row>
    <row r="109" spans="1:15" ht="16.5" customHeight="1">
      <c r="A109" s="47">
        <v>12</v>
      </c>
      <c r="B109" s="130" t="str">
        <f>HYPERLINK("#'" &amp; TEXT(투자전략!$G$1+11, "[$-ko-KR]yyyy.mm.dd") &amp; "'!A67:O91", TEXT(투자전략!$G$1+11, "[$-ko-KR]yyyy.mm.dd"))</f>
        <v>2023.01.12</v>
      </c>
      <c r="C109" s="118" t="str">
        <f t="shared" ca="1" si="26"/>
        <v/>
      </c>
      <c r="D109" s="122" t="str">
        <f t="shared" ca="1" si="27"/>
        <v/>
      </c>
      <c r="E109" s="70" t="str">
        <f t="shared" ca="1" si="28"/>
        <v/>
      </c>
      <c r="F109" s="120" t="str">
        <f t="shared" ca="1" si="29"/>
        <v/>
      </c>
      <c r="G109" s="122" t="str">
        <f t="shared" ca="1" si="30"/>
        <v/>
      </c>
      <c r="H109" s="70" t="str">
        <f t="shared" ca="1" si="31"/>
        <v/>
      </c>
      <c r="I109" s="120" t="str">
        <f t="shared" ca="1" si="32"/>
        <v/>
      </c>
      <c r="J109" s="122" t="str">
        <f t="shared" ca="1" si="33"/>
        <v/>
      </c>
      <c r="K109" s="70" t="str">
        <f t="shared" ca="1" si="34"/>
        <v/>
      </c>
      <c r="L109" s="120" t="str">
        <f t="shared" ca="1" si="35"/>
        <v/>
      </c>
      <c r="M109" s="122" t="str">
        <f t="shared" ca="1" si="36"/>
        <v/>
      </c>
      <c r="N109" s="70" t="str">
        <f t="shared" ca="1" si="37"/>
        <v/>
      </c>
      <c r="O109" s="120" t="str">
        <f t="shared" ca="1" si="38"/>
        <v/>
      </c>
    </row>
    <row r="110" spans="1:15" ht="16.5" customHeight="1">
      <c r="A110" s="47">
        <v>13</v>
      </c>
      <c r="B110" s="130" t="str">
        <f>HYPERLINK("#'" &amp; TEXT(투자전략!$G$1+12, "[$-ko-KR]yyyy.mm.dd") &amp; "'!A67:O91", TEXT(투자전략!$G$1+12, "[$-ko-KR]yyyy.mm.dd"))</f>
        <v>2023.01.13</v>
      </c>
      <c r="C110" s="118" t="str">
        <f t="shared" ca="1" si="26"/>
        <v/>
      </c>
      <c r="D110" s="122" t="str">
        <f t="shared" ca="1" si="27"/>
        <v/>
      </c>
      <c r="E110" s="70" t="str">
        <f t="shared" ca="1" si="28"/>
        <v/>
      </c>
      <c r="F110" s="120" t="str">
        <f t="shared" ca="1" si="29"/>
        <v/>
      </c>
      <c r="G110" s="122" t="str">
        <f t="shared" ca="1" si="30"/>
        <v/>
      </c>
      <c r="H110" s="70" t="str">
        <f t="shared" ca="1" si="31"/>
        <v/>
      </c>
      <c r="I110" s="120" t="str">
        <f t="shared" ca="1" si="32"/>
        <v/>
      </c>
      <c r="J110" s="122" t="str">
        <f t="shared" ca="1" si="33"/>
        <v/>
      </c>
      <c r="K110" s="70" t="str">
        <f t="shared" ca="1" si="34"/>
        <v/>
      </c>
      <c r="L110" s="120" t="str">
        <f t="shared" ca="1" si="35"/>
        <v/>
      </c>
      <c r="M110" s="122" t="str">
        <f t="shared" ca="1" si="36"/>
        <v/>
      </c>
      <c r="N110" s="70" t="str">
        <f t="shared" ca="1" si="37"/>
        <v/>
      </c>
      <c r="O110" s="120" t="str">
        <f t="shared" ca="1" si="38"/>
        <v/>
      </c>
    </row>
    <row r="111" spans="1:15" ht="16.5" customHeight="1" thickBot="1">
      <c r="A111" s="48">
        <v>14</v>
      </c>
      <c r="B111" s="131" t="str">
        <f>HYPERLINK("#'" &amp; TEXT(투자전략!$G$1+13, "[$-ko-KR]yyyy.mm.dd") &amp; "'!A67:O91", TEXT(투자전략!$G$1+13, "[$-ko-KR]yyyy.mm.dd"))</f>
        <v>2023.01.14</v>
      </c>
      <c r="C111" s="119" t="str">
        <f t="shared" ca="1" si="26"/>
        <v/>
      </c>
      <c r="D111" s="123" t="str">
        <f t="shared" ca="1" si="27"/>
        <v/>
      </c>
      <c r="E111" s="72" t="str">
        <f t="shared" ca="1" si="28"/>
        <v/>
      </c>
      <c r="F111" s="121" t="str">
        <f t="shared" ca="1" si="29"/>
        <v/>
      </c>
      <c r="G111" s="123" t="str">
        <f t="shared" ca="1" si="30"/>
        <v/>
      </c>
      <c r="H111" s="72" t="str">
        <f t="shared" ca="1" si="31"/>
        <v/>
      </c>
      <c r="I111" s="121" t="str">
        <f t="shared" ca="1" si="32"/>
        <v/>
      </c>
      <c r="J111" s="123" t="str">
        <f t="shared" ca="1" si="33"/>
        <v/>
      </c>
      <c r="K111" s="72" t="str">
        <f t="shared" ca="1" si="34"/>
        <v/>
      </c>
      <c r="L111" s="121" t="str">
        <f t="shared" ca="1" si="35"/>
        <v/>
      </c>
      <c r="M111" s="123" t="str">
        <f t="shared" ca="1" si="36"/>
        <v/>
      </c>
      <c r="N111" s="72" t="str">
        <f t="shared" ca="1" si="37"/>
        <v/>
      </c>
      <c r="O111" s="121" t="str">
        <f t="shared" ca="1" si="38"/>
        <v/>
      </c>
    </row>
    <row r="112" spans="1:15" ht="16.5" customHeight="1">
      <c r="A112" s="46">
        <v>15</v>
      </c>
      <c r="B112" s="129" t="str">
        <f>HYPERLINK("#'" &amp; TEXT(투자전략!$G$1+14, "[$-ko-KR]yyyy.mm.dd") &amp; "'!A67:O91", TEXT(투자전략!$G$1+14, "[$-ko-KR]yyyy.mm.dd"))</f>
        <v>2023.01.15</v>
      </c>
      <c r="C112" s="118" t="str">
        <f t="shared" ca="1" si="26"/>
        <v/>
      </c>
      <c r="D112" s="122" t="str">
        <f t="shared" ca="1" si="27"/>
        <v/>
      </c>
      <c r="E112" s="70" t="str">
        <f t="shared" ca="1" si="28"/>
        <v/>
      </c>
      <c r="F112" s="120" t="str">
        <f t="shared" ca="1" si="29"/>
        <v/>
      </c>
      <c r="G112" s="122" t="str">
        <f t="shared" ca="1" si="30"/>
        <v/>
      </c>
      <c r="H112" s="70" t="str">
        <f t="shared" ca="1" si="31"/>
        <v/>
      </c>
      <c r="I112" s="120" t="str">
        <f t="shared" ca="1" si="32"/>
        <v/>
      </c>
      <c r="J112" s="122" t="str">
        <f t="shared" ca="1" si="33"/>
        <v/>
      </c>
      <c r="K112" s="70" t="str">
        <f t="shared" ca="1" si="34"/>
        <v/>
      </c>
      <c r="L112" s="120" t="str">
        <f t="shared" ca="1" si="35"/>
        <v/>
      </c>
      <c r="M112" s="122" t="str">
        <f t="shared" ca="1" si="36"/>
        <v/>
      </c>
      <c r="N112" s="70" t="str">
        <f t="shared" ca="1" si="37"/>
        <v/>
      </c>
      <c r="O112" s="120" t="str">
        <f t="shared" ca="1" si="38"/>
        <v/>
      </c>
    </row>
    <row r="113" spans="1:15" ht="16.5" customHeight="1">
      <c r="A113" s="47">
        <v>16</v>
      </c>
      <c r="B113" s="130" t="str">
        <f>HYPERLINK("#'" &amp; TEXT(투자전략!$G$1+15, "[$-ko-KR]yyyy.mm.dd") &amp; "'!A67:O91", TEXT(투자전략!$G$1+15, "[$-ko-KR]yyyy.mm.dd"))</f>
        <v>2023.01.16</v>
      </c>
      <c r="C113" s="118" t="str">
        <f t="shared" ca="1" si="26"/>
        <v/>
      </c>
      <c r="D113" s="122" t="str">
        <f t="shared" ca="1" si="27"/>
        <v/>
      </c>
      <c r="E113" s="70" t="str">
        <f t="shared" ca="1" si="28"/>
        <v/>
      </c>
      <c r="F113" s="120" t="str">
        <f t="shared" ca="1" si="29"/>
        <v/>
      </c>
      <c r="G113" s="122" t="str">
        <f t="shared" ca="1" si="30"/>
        <v/>
      </c>
      <c r="H113" s="70" t="str">
        <f t="shared" ca="1" si="31"/>
        <v/>
      </c>
      <c r="I113" s="120" t="str">
        <f t="shared" ca="1" si="32"/>
        <v/>
      </c>
      <c r="J113" s="122" t="str">
        <f t="shared" ca="1" si="33"/>
        <v/>
      </c>
      <c r="K113" s="70" t="str">
        <f t="shared" ca="1" si="34"/>
        <v/>
      </c>
      <c r="L113" s="120" t="str">
        <f t="shared" ca="1" si="35"/>
        <v/>
      </c>
      <c r="M113" s="122" t="str">
        <f t="shared" ca="1" si="36"/>
        <v/>
      </c>
      <c r="N113" s="70" t="str">
        <f t="shared" ca="1" si="37"/>
        <v/>
      </c>
      <c r="O113" s="120" t="str">
        <f t="shared" ca="1" si="38"/>
        <v/>
      </c>
    </row>
    <row r="114" spans="1:15" ht="16.5" customHeight="1">
      <c r="A114" s="47">
        <v>17</v>
      </c>
      <c r="B114" s="130" t="str">
        <f>HYPERLINK("#'" &amp; TEXT(투자전략!$G$1+16, "[$-ko-KR]yyyy.mm.dd") &amp; "'!A67:O91", TEXT(투자전략!$G$1+16, "[$-ko-KR]yyyy.mm.dd"))</f>
        <v>2023.01.17</v>
      </c>
      <c r="C114" s="118" t="str">
        <f t="shared" ca="1" si="26"/>
        <v/>
      </c>
      <c r="D114" s="122" t="str">
        <f t="shared" ca="1" si="27"/>
        <v/>
      </c>
      <c r="E114" s="70" t="str">
        <f t="shared" ca="1" si="28"/>
        <v/>
      </c>
      <c r="F114" s="120" t="str">
        <f t="shared" ca="1" si="29"/>
        <v/>
      </c>
      <c r="G114" s="122" t="str">
        <f t="shared" ca="1" si="30"/>
        <v/>
      </c>
      <c r="H114" s="70" t="str">
        <f t="shared" ca="1" si="31"/>
        <v/>
      </c>
      <c r="I114" s="120" t="str">
        <f t="shared" ca="1" si="32"/>
        <v/>
      </c>
      <c r="J114" s="122" t="str">
        <f t="shared" ca="1" si="33"/>
        <v/>
      </c>
      <c r="K114" s="70" t="str">
        <f t="shared" ca="1" si="34"/>
        <v/>
      </c>
      <c r="L114" s="120" t="str">
        <f t="shared" ca="1" si="35"/>
        <v/>
      </c>
      <c r="M114" s="122" t="str">
        <f t="shared" ca="1" si="36"/>
        <v/>
      </c>
      <c r="N114" s="70" t="str">
        <f t="shared" ca="1" si="37"/>
        <v/>
      </c>
      <c r="O114" s="120" t="str">
        <f t="shared" ca="1" si="38"/>
        <v/>
      </c>
    </row>
    <row r="115" spans="1:15" ht="16.5" customHeight="1">
      <c r="A115" s="47">
        <v>18</v>
      </c>
      <c r="B115" s="130" t="str">
        <f>HYPERLINK("#'" &amp; TEXT(투자전략!$G$1+17, "[$-ko-KR]yyyy.mm.dd") &amp; "'!A67:O91", TEXT(투자전략!$G$1+17, "[$-ko-KR]yyyy.mm.dd"))</f>
        <v>2023.01.18</v>
      </c>
      <c r="C115" s="118" t="str">
        <f t="shared" ca="1" si="26"/>
        <v/>
      </c>
      <c r="D115" s="122" t="str">
        <f t="shared" ca="1" si="27"/>
        <v/>
      </c>
      <c r="E115" s="70" t="str">
        <f t="shared" ca="1" si="28"/>
        <v/>
      </c>
      <c r="F115" s="120" t="str">
        <f t="shared" ca="1" si="29"/>
        <v/>
      </c>
      <c r="G115" s="122" t="str">
        <f t="shared" ca="1" si="30"/>
        <v/>
      </c>
      <c r="H115" s="70" t="str">
        <f t="shared" ca="1" si="31"/>
        <v/>
      </c>
      <c r="I115" s="120" t="str">
        <f t="shared" ca="1" si="32"/>
        <v/>
      </c>
      <c r="J115" s="122" t="str">
        <f t="shared" ca="1" si="33"/>
        <v/>
      </c>
      <c r="K115" s="70" t="str">
        <f t="shared" ca="1" si="34"/>
        <v/>
      </c>
      <c r="L115" s="120" t="str">
        <f t="shared" ca="1" si="35"/>
        <v/>
      </c>
      <c r="M115" s="122" t="str">
        <f t="shared" ca="1" si="36"/>
        <v/>
      </c>
      <c r="N115" s="70" t="str">
        <f t="shared" ca="1" si="37"/>
        <v/>
      </c>
      <c r="O115" s="120" t="str">
        <f t="shared" ca="1" si="38"/>
        <v/>
      </c>
    </row>
    <row r="116" spans="1:15" ht="16.5" customHeight="1">
      <c r="A116" s="47">
        <v>19</v>
      </c>
      <c r="B116" s="130" t="str">
        <f>HYPERLINK("#'" &amp; TEXT(투자전략!$G$1+18, "[$-ko-KR]yyyy.mm.dd") &amp; "'!A67:O91", TEXT(투자전략!$G$1+18, "[$-ko-KR]yyyy.mm.dd"))</f>
        <v>2023.01.19</v>
      </c>
      <c r="C116" s="118" t="str">
        <f t="shared" ca="1" si="26"/>
        <v/>
      </c>
      <c r="D116" s="122" t="str">
        <f t="shared" ca="1" si="27"/>
        <v/>
      </c>
      <c r="E116" s="70" t="str">
        <f t="shared" ca="1" si="28"/>
        <v/>
      </c>
      <c r="F116" s="120" t="str">
        <f t="shared" ca="1" si="29"/>
        <v/>
      </c>
      <c r="G116" s="122" t="str">
        <f t="shared" ca="1" si="30"/>
        <v/>
      </c>
      <c r="H116" s="70" t="str">
        <f t="shared" ca="1" si="31"/>
        <v/>
      </c>
      <c r="I116" s="120" t="str">
        <f t="shared" ca="1" si="32"/>
        <v/>
      </c>
      <c r="J116" s="122" t="str">
        <f t="shared" ca="1" si="33"/>
        <v/>
      </c>
      <c r="K116" s="70" t="str">
        <f t="shared" ca="1" si="34"/>
        <v/>
      </c>
      <c r="L116" s="120" t="str">
        <f t="shared" ca="1" si="35"/>
        <v/>
      </c>
      <c r="M116" s="122" t="str">
        <f t="shared" ca="1" si="36"/>
        <v/>
      </c>
      <c r="N116" s="70" t="str">
        <f t="shared" ca="1" si="37"/>
        <v/>
      </c>
      <c r="O116" s="120" t="str">
        <f t="shared" ca="1" si="38"/>
        <v/>
      </c>
    </row>
    <row r="117" spans="1:15" ht="16.5" customHeight="1">
      <c r="A117" s="47">
        <v>20</v>
      </c>
      <c r="B117" s="130" t="str">
        <f>HYPERLINK("#'" &amp; TEXT(투자전략!$G$1+19, "[$-ko-KR]yyyy.mm.dd") &amp; "'!A67:O91", TEXT(투자전략!$G$1+19, "[$-ko-KR]yyyy.mm.dd"))</f>
        <v>2023.01.20</v>
      </c>
      <c r="C117" s="118" t="str">
        <f t="shared" ca="1" si="26"/>
        <v/>
      </c>
      <c r="D117" s="122" t="str">
        <f t="shared" ca="1" si="27"/>
        <v/>
      </c>
      <c r="E117" s="70" t="str">
        <f t="shared" ca="1" si="28"/>
        <v/>
      </c>
      <c r="F117" s="120" t="str">
        <f t="shared" ca="1" si="29"/>
        <v/>
      </c>
      <c r="G117" s="122" t="str">
        <f t="shared" ca="1" si="30"/>
        <v/>
      </c>
      <c r="H117" s="70" t="str">
        <f t="shared" ca="1" si="31"/>
        <v/>
      </c>
      <c r="I117" s="120" t="str">
        <f t="shared" ca="1" si="32"/>
        <v/>
      </c>
      <c r="J117" s="122" t="str">
        <f t="shared" ca="1" si="33"/>
        <v/>
      </c>
      <c r="K117" s="70" t="str">
        <f t="shared" ca="1" si="34"/>
        <v/>
      </c>
      <c r="L117" s="120" t="str">
        <f t="shared" ca="1" si="35"/>
        <v/>
      </c>
      <c r="M117" s="122" t="str">
        <f t="shared" ca="1" si="36"/>
        <v/>
      </c>
      <c r="N117" s="70" t="str">
        <f t="shared" ca="1" si="37"/>
        <v/>
      </c>
      <c r="O117" s="120" t="str">
        <f t="shared" ca="1" si="38"/>
        <v/>
      </c>
    </row>
    <row r="118" spans="1:15" ht="16.5" customHeight="1" thickBot="1">
      <c r="A118" s="48">
        <v>21</v>
      </c>
      <c r="B118" s="131" t="str">
        <f>HYPERLINK("#'" &amp; TEXT(투자전략!$G$1+20, "[$-ko-KR]yyyy.mm.dd") &amp; "'!A67:O91", TEXT(투자전략!$G$1+20, "[$-ko-KR]yyyy.mm.dd"))</f>
        <v>2023.01.21</v>
      </c>
      <c r="C118" s="118" t="str">
        <f t="shared" ca="1" si="26"/>
        <v/>
      </c>
      <c r="D118" s="122" t="str">
        <f t="shared" ca="1" si="27"/>
        <v/>
      </c>
      <c r="E118" s="70" t="str">
        <f t="shared" ca="1" si="28"/>
        <v/>
      </c>
      <c r="F118" s="120" t="str">
        <f t="shared" ca="1" si="29"/>
        <v/>
      </c>
      <c r="G118" s="122" t="str">
        <f t="shared" ca="1" si="30"/>
        <v/>
      </c>
      <c r="H118" s="70" t="str">
        <f t="shared" ca="1" si="31"/>
        <v/>
      </c>
      <c r="I118" s="120" t="str">
        <f t="shared" ca="1" si="32"/>
        <v/>
      </c>
      <c r="J118" s="122" t="str">
        <f t="shared" ca="1" si="33"/>
        <v/>
      </c>
      <c r="K118" s="70" t="str">
        <f t="shared" ca="1" si="34"/>
        <v/>
      </c>
      <c r="L118" s="120" t="str">
        <f t="shared" ca="1" si="35"/>
        <v/>
      </c>
      <c r="M118" s="122" t="str">
        <f t="shared" ca="1" si="36"/>
        <v/>
      </c>
      <c r="N118" s="70" t="str">
        <f t="shared" ca="1" si="37"/>
        <v/>
      </c>
      <c r="O118" s="120" t="str">
        <f t="shared" ca="1" si="38"/>
        <v/>
      </c>
    </row>
    <row r="119" spans="1:15" ht="16.5" customHeight="1">
      <c r="A119" s="46">
        <v>22</v>
      </c>
      <c r="B119" s="129" t="str">
        <f>HYPERLINK("#'" &amp; TEXT(투자전략!$G$1+21, "[$-ko-KR]yyyy.mm.dd") &amp; "'!A67:O91", TEXT(투자전략!$G$1+21, "[$-ko-KR]yyyy.mm.dd"))</f>
        <v>2023.01.22</v>
      </c>
      <c r="C119" s="117" t="str">
        <f t="shared" ca="1" si="26"/>
        <v/>
      </c>
      <c r="D119" s="125" t="str">
        <f t="shared" ca="1" si="27"/>
        <v/>
      </c>
      <c r="E119" s="69" t="str">
        <f t="shared" ca="1" si="28"/>
        <v/>
      </c>
      <c r="F119" s="124" t="str">
        <f t="shared" ca="1" si="29"/>
        <v/>
      </c>
      <c r="G119" s="125" t="str">
        <f t="shared" ca="1" si="30"/>
        <v/>
      </c>
      <c r="H119" s="69" t="str">
        <f t="shared" ca="1" si="31"/>
        <v/>
      </c>
      <c r="I119" s="124" t="str">
        <f t="shared" ca="1" si="32"/>
        <v/>
      </c>
      <c r="J119" s="125" t="str">
        <f t="shared" ca="1" si="33"/>
        <v/>
      </c>
      <c r="K119" s="69" t="str">
        <f t="shared" ca="1" si="34"/>
        <v/>
      </c>
      <c r="L119" s="124" t="str">
        <f t="shared" ca="1" si="35"/>
        <v/>
      </c>
      <c r="M119" s="125" t="str">
        <f t="shared" ca="1" si="36"/>
        <v/>
      </c>
      <c r="N119" s="69" t="str">
        <f t="shared" ca="1" si="37"/>
        <v/>
      </c>
      <c r="O119" s="124" t="str">
        <f t="shared" ca="1" si="38"/>
        <v/>
      </c>
    </row>
    <row r="120" spans="1:15" ht="16.5" customHeight="1">
      <c r="A120" s="47">
        <v>23</v>
      </c>
      <c r="B120" s="130" t="str">
        <f>HYPERLINK("#'" &amp; TEXT(투자전략!$G$1+22, "[$-ko-KR]yyyy.mm.dd") &amp; "'!A67:O91", TEXT(투자전략!$G$1+22, "[$-ko-KR]yyyy.mm.dd"))</f>
        <v>2023.01.23</v>
      </c>
      <c r="C120" s="118" t="str">
        <f t="shared" ca="1" si="26"/>
        <v/>
      </c>
      <c r="D120" s="122" t="str">
        <f t="shared" ca="1" si="27"/>
        <v/>
      </c>
      <c r="E120" s="70" t="str">
        <f t="shared" ca="1" si="28"/>
        <v/>
      </c>
      <c r="F120" s="120" t="str">
        <f t="shared" ca="1" si="29"/>
        <v/>
      </c>
      <c r="G120" s="122" t="str">
        <f t="shared" ca="1" si="30"/>
        <v/>
      </c>
      <c r="H120" s="70" t="str">
        <f t="shared" ca="1" si="31"/>
        <v/>
      </c>
      <c r="I120" s="120" t="str">
        <f t="shared" ca="1" si="32"/>
        <v/>
      </c>
      <c r="J120" s="122" t="str">
        <f t="shared" ca="1" si="33"/>
        <v/>
      </c>
      <c r="K120" s="70" t="str">
        <f t="shared" ca="1" si="34"/>
        <v/>
      </c>
      <c r="L120" s="120" t="str">
        <f t="shared" ca="1" si="35"/>
        <v/>
      </c>
      <c r="M120" s="122" t="str">
        <f t="shared" ca="1" si="36"/>
        <v/>
      </c>
      <c r="N120" s="70" t="str">
        <f t="shared" ca="1" si="37"/>
        <v/>
      </c>
      <c r="O120" s="120" t="str">
        <f t="shared" ca="1" si="38"/>
        <v/>
      </c>
    </row>
    <row r="121" spans="1:15" ht="16.5" customHeight="1">
      <c r="A121" s="47">
        <v>24</v>
      </c>
      <c r="B121" s="130" t="str">
        <f>HYPERLINK("#'" &amp; TEXT(투자전략!$G$1+23, "[$-ko-KR]yyyy.mm.dd") &amp; "'!A67:O91", TEXT(투자전략!$G$1+23, "[$-ko-KR]yyyy.mm.dd"))</f>
        <v>2023.01.24</v>
      </c>
      <c r="C121" s="118" t="str">
        <f t="shared" ca="1" si="26"/>
        <v/>
      </c>
      <c r="D121" s="122" t="str">
        <f t="shared" ca="1" si="27"/>
        <v/>
      </c>
      <c r="E121" s="70" t="str">
        <f t="shared" ca="1" si="28"/>
        <v/>
      </c>
      <c r="F121" s="120" t="str">
        <f t="shared" ca="1" si="29"/>
        <v/>
      </c>
      <c r="G121" s="122" t="str">
        <f t="shared" ca="1" si="30"/>
        <v/>
      </c>
      <c r="H121" s="70" t="str">
        <f t="shared" ca="1" si="31"/>
        <v/>
      </c>
      <c r="I121" s="120" t="str">
        <f t="shared" ca="1" si="32"/>
        <v/>
      </c>
      <c r="J121" s="122" t="str">
        <f t="shared" ca="1" si="33"/>
        <v/>
      </c>
      <c r="K121" s="70" t="str">
        <f t="shared" ca="1" si="34"/>
        <v/>
      </c>
      <c r="L121" s="120" t="str">
        <f t="shared" ca="1" si="35"/>
        <v/>
      </c>
      <c r="M121" s="122" t="str">
        <f t="shared" ca="1" si="36"/>
        <v/>
      </c>
      <c r="N121" s="70" t="str">
        <f t="shared" ca="1" si="37"/>
        <v/>
      </c>
      <c r="O121" s="120" t="str">
        <f t="shared" ca="1" si="38"/>
        <v/>
      </c>
    </row>
    <row r="122" spans="1:15" ht="16.5" customHeight="1">
      <c r="A122" s="47">
        <v>25</v>
      </c>
      <c r="B122" s="130" t="str">
        <f>HYPERLINK("#'" &amp; TEXT(투자전략!$G$1+24, "[$-ko-KR]yyyy.mm.dd") &amp; "'!A67:O91", TEXT(투자전략!$G$1+24, "[$-ko-KR]yyyy.mm.dd"))</f>
        <v>2023.01.25</v>
      </c>
      <c r="C122" s="118" t="str">
        <f t="shared" ca="1" si="26"/>
        <v/>
      </c>
      <c r="D122" s="122" t="str">
        <f t="shared" ca="1" si="27"/>
        <v/>
      </c>
      <c r="E122" s="70" t="str">
        <f t="shared" ca="1" si="28"/>
        <v/>
      </c>
      <c r="F122" s="120" t="str">
        <f t="shared" ca="1" si="29"/>
        <v/>
      </c>
      <c r="G122" s="122" t="str">
        <f t="shared" ca="1" si="30"/>
        <v/>
      </c>
      <c r="H122" s="70" t="str">
        <f t="shared" ca="1" si="31"/>
        <v/>
      </c>
      <c r="I122" s="120" t="str">
        <f t="shared" ca="1" si="32"/>
        <v/>
      </c>
      <c r="J122" s="122" t="str">
        <f t="shared" ca="1" si="33"/>
        <v/>
      </c>
      <c r="K122" s="70" t="str">
        <f t="shared" ca="1" si="34"/>
        <v/>
      </c>
      <c r="L122" s="120" t="str">
        <f t="shared" ca="1" si="35"/>
        <v/>
      </c>
      <c r="M122" s="122" t="str">
        <f t="shared" ca="1" si="36"/>
        <v/>
      </c>
      <c r="N122" s="70" t="str">
        <f t="shared" ca="1" si="37"/>
        <v/>
      </c>
      <c r="O122" s="120" t="str">
        <f t="shared" ca="1" si="38"/>
        <v/>
      </c>
    </row>
    <row r="123" spans="1:15" ht="16.5" customHeight="1">
      <c r="A123" s="47">
        <v>26</v>
      </c>
      <c r="B123" s="130" t="str">
        <f>HYPERLINK("#'" &amp; TEXT(투자전략!$G$1+25, "[$-ko-KR]yyyy.mm.dd") &amp; "'!A67:O91", TEXT(투자전략!$G$1+25, "[$-ko-KR]yyyy.mm.dd"))</f>
        <v>2023.01.26</v>
      </c>
      <c r="C123" s="118" t="str">
        <f t="shared" ca="1" si="26"/>
        <v/>
      </c>
      <c r="D123" s="122" t="str">
        <f t="shared" ca="1" si="27"/>
        <v/>
      </c>
      <c r="E123" s="70" t="str">
        <f t="shared" ca="1" si="28"/>
        <v/>
      </c>
      <c r="F123" s="120" t="str">
        <f t="shared" ca="1" si="29"/>
        <v/>
      </c>
      <c r="G123" s="122" t="str">
        <f t="shared" ca="1" si="30"/>
        <v/>
      </c>
      <c r="H123" s="70" t="str">
        <f t="shared" ca="1" si="31"/>
        <v/>
      </c>
      <c r="I123" s="120" t="str">
        <f t="shared" ca="1" si="32"/>
        <v/>
      </c>
      <c r="J123" s="122" t="str">
        <f t="shared" ca="1" si="33"/>
        <v/>
      </c>
      <c r="K123" s="70" t="str">
        <f t="shared" ca="1" si="34"/>
        <v/>
      </c>
      <c r="L123" s="120" t="str">
        <f t="shared" ca="1" si="35"/>
        <v/>
      </c>
      <c r="M123" s="122" t="str">
        <f t="shared" ca="1" si="36"/>
        <v/>
      </c>
      <c r="N123" s="70" t="str">
        <f t="shared" ca="1" si="37"/>
        <v/>
      </c>
      <c r="O123" s="120" t="str">
        <f t="shared" ca="1" si="38"/>
        <v/>
      </c>
    </row>
    <row r="124" spans="1:15" ht="16.5" customHeight="1">
      <c r="A124" s="47">
        <v>27</v>
      </c>
      <c r="B124" s="130" t="str">
        <f>HYPERLINK("#'" &amp; TEXT(투자전략!$G$1+26, "[$-ko-KR]yyyy.mm.dd") &amp; "'!A67:O91", TEXT(투자전략!$G$1+26, "[$-ko-KR]yyyy.mm.dd"))</f>
        <v>2023.01.27</v>
      </c>
      <c r="C124" s="118" t="str">
        <f t="shared" ca="1" si="26"/>
        <v/>
      </c>
      <c r="D124" s="122" t="str">
        <f t="shared" ca="1" si="27"/>
        <v/>
      </c>
      <c r="E124" s="70" t="str">
        <f t="shared" ca="1" si="28"/>
        <v/>
      </c>
      <c r="F124" s="120" t="str">
        <f t="shared" ca="1" si="29"/>
        <v/>
      </c>
      <c r="G124" s="122" t="str">
        <f t="shared" ca="1" si="30"/>
        <v/>
      </c>
      <c r="H124" s="70" t="str">
        <f t="shared" ca="1" si="31"/>
        <v/>
      </c>
      <c r="I124" s="120" t="str">
        <f t="shared" ca="1" si="32"/>
        <v/>
      </c>
      <c r="J124" s="122" t="str">
        <f t="shared" ca="1" si="33"/>
        <v/>
      </c>
      <c r="K124" s="70" t="str">
        <f t="shared" ca="1" si="34"/>
        <v/>
      </c>
      <c r="L124" s="120" t="str">
        <f t="shared" ca="1" si="35"/>
        <v/>
      </c>
      <c r="M124" s="122" t="str">
        <f t="shared" ca="1" si="36"/>
        <v/>
      </c>
      <c r="N124" s="70" t="str">
        <f t="shared" ca="1" si="37"/>
        <v/>
      </c>
      <c r="O124" s="120" t="str">
        <f t="shared" ca="1" si="38"/>
        <v/>
      </c>
    </row>
    <row r="125" spans="1:15" ht="16.5" customHeight="1" thickBot="1">
      <c r="A125" s="48">
        <v>28</v>
      </c>
      <c r="B125" s="131" t="str">
        <f>HYPERLINK("#'" &amp; TEXT(투자전략!$G$1+27, "[$-ko-KR]yyyy.mm.dd") &amp; "'!A67:O91", TEXT(투자전략!$G$1+27, "[$-ko-KR]yyyy.mm.dd"))</f>
        <v>2023.01.28</v>
      </c>
      <c r="C125" s="119" t="str">
        <f t="shared" ca="1" si="26"/>
        <v/>
      </c>
      <c r="D125" s="123" t="str">
        <f t="shared" ca="1" si="27"/>
        <v/>
      </c>
      <c r="E125" s="72" t="str">
        <f t="shared" ca="1" si="28"/>
        <v/>
      </c>
      <c r="F125" s="121" t="str">
        <f t="shared" ca="1" si="29"/>
        <v/>
      </c>
      <c r="G125" s="123" t="str">
        <f t="shared" ca="1" si="30"/>
        <v/>
      </c>
      <c r="H125" s="72" t="str">
        <f t="shared" ca="1" si="31"/>
        <v/>
      </c>
      <c r="I125" s="121" t="str">
        <f t="shared" ca="1" si="32"/>
        <v/>
      </c>
      <c r="J125" s="123" t="str">
        <f t="shared" ca="1" si="33"/>
        <v/>
      </c>
      <c r="K125" s="72" t="str">
        <f t="shared" ca="1" si="34"/>
        <v/>
      </c>
      <c r="L125" s="121" t="str">
        <f t="shared" ca="1" si="35"/>
        <v/>
      </c>
      <c r="M125" s="123" t="str">
        <f t="shared" ca="1" si="36"/>
        <v/>
      </c>
      <c r="N125" s="72" t="str">
        <f t="shared" ca="1" si="37"/>
        <v/>
      </c>
      <c r="O125" s="121" t="str">
        <f t="shared" ca="1" si="38"/>
        <v/>
      </c>
    </row>
    <row r="126" spans="1:15" ht="16.5" customHeight="1">
      <c r="A126" s="105">
        <v>29</v>
      </c>
      <c r="B126" s="129" t="str">
        <f>HYPERLINK("#'" &amp; TEXT(투자전략!$G$1+28, "[$-ko-KR]yyyy.mm.dd") &amp; "'!A67:O91", TEXT(투자전략!$G$1+28, "[$-ko-KR]yyyy.mm.dd"))</f>
        <v>2023.01.29</v>
      </c>
      <c r="C126" s="118" t="str">
        <f t="shared" ca="1" si="26"/>
        <v/>
      </c>
      <c r="D126" s="122" t="str">
        <f t="shared" ca="1" si="27"/>
        <v/>
      </c>
      <c r="E126" s="70" t="str">
        <f t="shared" ca="1" si="28"/>
        <v/>
      </c>
      <c r="F126" s="120" t="str">
        <f t="shared" ca="1" si="29"/>
        <v/>
      </c>
      <c r="G126" s="122" t="str">
        <f t="shared" ca="1" si="30"/>
        <v/>
      </c>
      <c r="H126" s="70" t="str">
        <f t="shared" ca="1" si="31"/>
        <v/>
      </c>
      <c r="I126" s="120" t="str">
        <f t="shared" ca="1" si="32"/>
        <v/>
      </c>
      <c r="J126" s="122" t="str">
        <f t="shared" ca="1" si="33"/>
        <v/>
      </c>
      <c r="K126" s="70" t="str">
        <f t="shared" ca="1" si="34"/>
        <v/>
      </c>
      <c r="L126" s="120" t="str">
        <f t="shared" ca="1" si="35"/>
        <v/>
      </c>
      <c r="M126" s="122" t="str">
        <f t="shared" ca="1" si="36"/>
        <v/>
      </c>
      <c r="N126" s="70" t="str">
        <f t="shared" ca="1" si="37"/>
        <v/>
      </c>
      <c r="O126" s="120" t="str">
        <f t="shared" ca="1" si="38"/>
        <v/>
      </c>
    </row>
    <row r="127" spans="1:15" ht="16.5" customHeight="1">
      <c r="A127" s="105">
        <v>30</v>
      </c>
      <c r="B127" s="130" t="str">
        <f>HYPERLINK("#'" &amp; TEXT(투자전략!$G$1+29, "[$-ko-KR]yyyy.mm.dd") &amp; "'!A67:O91", TEXT(투자전략!$G$1+29, "[$-ko-KR]yyyy.mm.dd"))</f>
        <v>2023.01.30</v>
      </c>
      <c r="C127" s="118" t="str">
        <f t="shared" ca="1" si="26"/>
        <v/>
      </c>
      <c r="D127" s="122" t="str">
        <f t="shared" ca="1" si="27"/>
        <v/>
      </c>
      <c r="E127" s="70" t="str">
        <f t="shared" ca="1" si="28"/>
        <v/>
      </c>
      <c r="F127" s="120" t="str">
        <f t="shared" ca="1" si="29"/>
        <v/>
      </c>
      <c r="G127" s="122" t="str">
        <f t="shared" ca="1" si="30"/>
        <v/>
      </c>
      <c r="H127" s="70" t="str">
        <f t="shared" ca="1" si="31"/>
        <v/>
      </c>
      <c r="I127" s="120" t="str">
        <f t="shared" ca="1" si="32"/>
        <v/>
      </c>
      <c r="J127" s="122" t="str">
        <f t="shared" ca="1" si="33"/>
        <v/>
      </c>
      <c r="K127" s="70" t="str">
        <f t="shared" ca="1" si="34"/>
        <v/>
      </c>
      <c r="L127" s="120" t="str">
        <f t="shared" ca="1" si="35"/>
        <v/>
      </c>
      <c r="M127" s="122" t="str">
        <f t="shared" ca="1" si="36"/>
        <v/>
      </c>
      <c r="N127" s="70" t="str">
        <f t="shared" ca="1" si="37"/>
        <v/>
      </c>
      <c r="O127" s="120" t="str">
        <f t="shared" ca="1" si="38"/>
        <v/>
      </c>
    </row>
    <row r="128" spans="1:15" ht="16.5" customHeight="1" thickBot="1">
      <c r="A128" s="105">
        <v>31</v>
      </c>
      <c r="B128" s="130" t="str">
        <f>HYPERLINK("#'" &amp; TEXT(투자전략!$G$1+30, "[$-ko-KR]yyyy.mm.dd") &amp; "'!A67:O91", TEXT(투자전략!$G$1+30, "[$-ko-KR]yyyy.mm.dd"))</f>
        <v>2023.01.31</v>
      </c>
      <c r="C128" s="119" t="str">
        <f t="shared" ca="1" si="26"/>
        <v/>
      </c>
      <c r="D128" s="123" t="str">
        <f t="shared" ca="1" si="27"/>
        <v/>
      </c>
      <c r="E128" s="72" t="str">
        <f t="shared" ca="1" si="28"/>
        <v/>
      </c>
      <c r="F128" s="121" t="str">
        <f t="shared" ca="1" si="29"/>
        <v/>
      </c>
      <c r="G128" s="123" t="str">
        <f t="shared" ca="1" si="30"/>
        <v/>
      </c>
      <c r="H128" s="72" t="str">
        <f t="shared" ca="1" si="31"/>
        <v/>
      </c>
      <c r="I128" s="121" t="str">
        <f t="shared" ca="1" si="32"/>
        <v/>
      </c>
      <c r="J128" s="123" t="str">
        <f t="shared" ca="1" si="33"/>
        <v/>
      </c>
      <c r="K128" s="72" t="str">
        <f t="shared" ca="1" si="34"/>
        <v/>
      </c>
      <c r="L128" s="121" t="str">
        <f t="shared" ca="1" si="35"/>
        <v/>
      </c>
      <c r="M128" s="123" t="str">
        <f t="shared" ca="1" si="36"/>
        <v/>
      </c>
      <c r="N128" s="72" t="str">
        <f t="shared" ca="1" si="37"/>
        <v/>
      </c>
      <c r="O128" s="121" t="str">
        <f t="shared" ca="1" si="38"/>
        <v/>
      </c>
    </row>
    <row r="129" spans="1:15" ht="16.5" customHeight="1" thickBot="1">
      <c r="A129" s="185" t="s">
        <v>270</v>
      </c>
      <c r="B129" s="187"/>
      <c r="C129" s="116" t="s">
        <v>265</v>
      </c>
      <c r="D129" s="9" t="s">
        <v>266</v>
      </c>
      <c r="E129" s="63" t="s">
        <v>267</v>
      </c>
      <c r="F129" s="64" t="s">
        <v>268</v>
      </c>
      <c r="G129" s="9" t="s">
        <v>266</v>
      </c>
      <c r="H129" s="63" t="s">
        <v>267</v>
      </c>
      <c r="I129" s="64" t="s">
        <v>268</v>
      </c>
      <c r="J129" s="9" t="s">
        <v>266</v>
      </c>
      <c r="K129" s="63" t="s">
        <v>267</v>
      </c>
      <c r="L129" s="64" t="s">
        <v>268</v>
      </c>
      <c r="M129" s="9" t="s">
        <v>266</v>
      </c>
      <c r="N129" s="63" t="s">
        <v>267</v>
      </c>
      <c r="O129" s="64" t="s">
        <v>268</v>
      </c>
    </row>
    <row r="130" spans="1:15" ht="16.5" customHeight="1" thickBot="1">
      <c r="A130" s="178"/>
      <c r="B130" s="180"/>
      <c r="C130" s="119">
        <f ca="1">SUM(C98:C128)</f>
        <v>24000000</v>
      </c>
      <c r="D130" s="123">
        <f ca="1">SUM(D98:D128)</f>
        <v>24186009.285863943</v>
      </c>
      <c r="E130" s="72">
        <f ca="1">IFERROR(F130 / (SUM($C98:$C128) / COUNT($C98:$C128)), 0)</f>
        <v>6.2003095287982278E-2</v>
      </c>
      <c r="F130" s="121">
        <f ca="1">SUM(F98:F128)</f>
        <v>186009.28586394683</v>
      </c>
      <c r="G130" s="123">
        <f ca="1">SUM(G98:G128)</f>
        <v>24182887.997740284</v>
      </c>
      <c r="H130" s="72">
        <f ca="1">IFERROR(I130 / (SUM($C98:$C128) / COUNT($C98:$C128)), 0)</f>
        <v>6.0962665913428374E-2</v>
      </c>
      <c r="I130" s="121">
        <f ca="1">SUM(I98:I128)</f>
        <v>182887.99774028512</v>
      </c>
      <c r="J130" s="123">
        <f ca="1">SUM(J98:J128)</f>
        <v>24182220.062280629</v>
      </c>
      <c r="K130" s="72">
        <f ca="1">IFERROR(L130 / (SUM($C98:$C128) / COUNT($C98:$C128)), 0)</f>
        <v>6.0740020760210185E-2</v>
      </c>
      <c r="L130" s="121">
        <f ca="1">SUM(L98:L128)</f>
        <v>182220.06228063055</v>
      </c>
      <c r="M130" s="123">
        <f ca="1">SUM(M98:M128)</f>
        <v>24088934.58844389</v>
      </c>
      <c r="N130" s="72">
        <f ca="1">IFERROR(O130 / (SUM($C98:$C128) / COUNT($C98:$C128)), 0)</f>
        <v>2.9644862814629653E-2</v>
      </c>
      <c r="O130" s="121">
        <f ca="1">SUM(O98:O128)</f>
        <v>88934.588443888963</v>
      </c>
    </row>
    <row r="132" spans="1:15" ht="16.5" customHeight="1" thickBot="1"/>
    <row r="133" spans="1:15" ht="16.5" customHeight="1" thickBot="1">
      <c r="A133" s="157" t="str">
        <f>TEXT(투자전략!$G$1, "[$-ko-KR]yyyy년 mm월 ") &amp; "전일대비 상승률 Top20 월말결산"</f>
        <v>2023년 01월 전일대비 상승률 Top20 월말결산</v>
      </c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9"/>
    </row>
    <row r="134" spans="1:15" ht="16.5" customHeight="1" thickBot="1">
      <c r="A134" s="201" t="s">
        <v>271</v>
      </c>
      <c r="B134" s="178" t="s">
        <v>269</v>
      </c>
      <c r="C134" s="180"/>
      <c r="D134" s="178" t="s">
        <v>261</v>
      </c>
      <c r="E134" s="179"/>
      <c r="F134" s="180"/>
      <c r="G134" s="178" t="s">
        <v>262</v>
      </c>
      <c r="H134" s="179"/>
      <c r="I134" s="180"/>
      <c r="J134" s="178" t="s">
        <v>263</v>
      </c>
      <c r="K134" s="179"/>
      <c r="L134" s="180"/>
      <c r="M134" s="178" t="s">
        <v>264</v>
      </c>
      <c r="N134" s="179"/>
      <c r="O134" s="180"/>
    </row>
    <row r="135" spans="1:15" ht="16.5" customHeight="1" thickBot="1">
      <c r="A135" s="194"/>
      <c r="B135" s="46" t="s">
        <v>259</v>
      </c>
      <c r="C135" s="46" t="s">
        <v>42</v>
      </c>
      <c r="D135" s="105" t="s">
        <v>260</v>
      </c>
      <c r="E135" s="106" t="s">
        <v>40</v>
      </c>
      <c r="F135" s="81" t="s">
        <v>41</v>
      </c>
      <c r="G135" s="105" t="s">
        <v>260</v>
      </c>
      <c r="H135" s="106" t="s">
        <v>40</v>
      </c>
      <c r="I135" s="81" t="s">
        <v>41</v>
      </c>
      <c r="J135" s="105" t="s">
        <v>260</v>
      </c>
      <c r="K135" s="106" t="s">
        <v>40</v>
      </c>
      <c r="L135" s="81" t="s">
        <v>41</v>
      </c>
      <c r="M135" s="105" t="s">
        <v>260</v>
      </c>
      <c r="N135" s="106" t="s">
        <v>40</v>
      </c>
      <c r="O135" s="81" t="s">
        <v>41</v>
      </c>
    </row>
    <row r="136" spans="1:15" ht="16.5" customHeight="1">
      <c r="A136" s="46">
        <v>1</v>
      </c>
      <c r="B136" s="129" t="str">
        <f>HYPERLINK("#'" &amp; TEXT(투자전략!$G$1+0, "[$-ko-KR]yyyy.mm.dd") &amp; "'!A94:O118", TEXT(투자전략!$G$1+0, "[$-ko-KR]yyyy.mm.dd"))</f>
        <v>2023.01.01</v>
      </c>
      <c r="C136" s="117">
        <f ca="1">IFERROR(COUNTA(INDIRECT($B136&amp;"!A98:A117")) * INDIRECT($B136&amp;"!B118"), "")</f>
        <v>3000000</v>
      </c>
      <c r="D136" s="125">
        <f ca="1">IFERROR($C136 * (1 + E136), "")</f>
        <v>3003535.7283659815</v>
      </c>
      <c r="E136" s="69">
        <f ca="1">IFERROR(INDIRECT($B136&amp;"!E118"), "")</f>
        <v>1.1785761219938247E-3</v>
      </c>
      <c r="F136" s="124">
        <f ca="1">IFERROR(INDIRECT($B136&amp;"!F118"), "")</f>
        <v>3535.7283659814739</v>
      </c>
      <c r="G136" s="125">
        <f ca="1">IFERROR($C136 * (1 + H136), "")</f>
        <v>3005086.1073324699</v>
      </c>
      <c r="H136" s="69">
        <f ca="1">IFERROR(INDIRECT($B136&amp;"!H118"), "")</f>
        <v>1.6953691108233374E-3</v>
      </c>
      <c r="I136" s="124">
        <f ca="1">IFERROR(INDIRECT($B136&amp;"!I118"), "")</f>
        <v>5086.1073324700119</v>
      </c>
      <c r="J136" s="125">
        <f ca="1">IFERROR($C136 * (1 + K136), "")</f>
        <v>3005086.1073324699</v>
      </c>
      <c r="K136" s="69">
        <f ca="1">IFERROR(INDIRECT($B136&amp;"!K118"), "")</f>
        <v>1.6953691108233374E-3</v>
      </c>
      <c r="L136" s="124">
        <f ca="1">IFERROR(INDIRECT($B136&amp;"!L118"), "")</f>
        <v>5086.1073324700119</v>
      </c>
      <c r="M136" s="125">
        <f ca="1">IFERROR($C136 * (1 + N136), "")</f>
        <v>2993336.3039911008</v>
      </c>
      <c r="N136" s="69">
        <f ca="1">IFERROR(INDIRECT($B136&amp;"!N118"), "")</f>
        <v>-2.2212320029664553E-3</v>
      </c>
      <c r="O136" s="124">
        <f ca="1">IFERROR(INDIRECT($B136&amp;"!O118"), "")</f>
        <v>-6663.6960088993601</v>
      </c>
    </row>
    <row r="137" spans="1:15" ht="16.5" customHeight="1">
      <c r="A137" s="47">
        <v>2</v>
      </c>
      <c r="B137" s="130" t="str">
        <f>HYPERLINK("#'" &amp; TEXT(투자전략!$G$1+1, "[$-ko-KR]yyyy.mm.dd") &amp; "'!A94:O118", TEXT(투자전략!$G$1+1, "[$-ko-KR]yyyy.mm.dd"))</f>
        <v>2023.01.02</v>
      </c>
      <c r="C137" s="118">
        <f t="shared" ref="C137:C166" ca="1" si="39">IFERROR(COUNTA(INDIRECT($B137&amp;"!A98:A117")) * INDIRECT($B137&amp;"!B118"), "")</f>
        <v>3000000</v>
      </c>
      <c r="D137" s="122">
        <f t="shared" ref="D137:D166" ca="1" si="40">IFERROR($C137 * (1 + E137), "")</f>
        <v>3024073.523894805</v>
      </c>
      <c r="E137" s="70">
        <f t="shared" ref="E137:E166" ca="1" si="41">IFERROR(INDIRECT($B137&amp;"!E118"), "")</f>
        <v>8.0245079649350105E-3</v>
      </c>
      <c r="F137" s="120">
        <f t="shared" ref="F137:F166" ca="1" si="42">IFERROR(INDIRECT($B137&amp;"!F118"), "")</f>
        <v>24073.523894805032</v>
      </c>
      <c r="G137" s="122">
        <f t="shared" ref="G137:G166" ca="1" si="43">IFERROR($C137 * (1 + H137), "")</f>
        <v>3053080.6220016754</v>
      </c>
      <c r="H137" s="70">
        <f t="shared" ref="H137:H166" ca="1" si="44">IFERROR(INDIRECT($B137&amp;"!H118"), "")</f>
        <v>1.7693540667225234E-2</v>
      </c>
      <c r="I137" s="120">
        <f t="shared" ref="I137:I166" ca="1" si="45">IFERROR(INDIRECT($B137&amp;"!I118"), "")</f>
        <v>53080.622001675692</v>
      </c>
      <c r="J137" s="122">
        <f t="shared" ref="J137:J166" ca="1" si="46">IFERROR($C137 * (1 + K137), "")</f>
        <v>3045425.7651041667</v>
      </c>
      <c r="K137" s="70">
        <f t="shared" ref="K137:K166" ca="1" si="47">IFERROR(INDIRECT($B137&amp;"!K118"), "")</f>
        <v>1.514192170138875E-2</v>
      </c>
      <c r="L137" s="120">
        <f t="shared" ref="L137:L166" ca="1" si="48">IFERROR(INDIRECT($B137&amp;"!L118"), "")</f>
        <v>45425.765104166247</v>
      </c>
      <c r="M137" s="122">
        <f t="shared" ref="M137:M166" ca="1" si="49">IFERROR($C137 * (1 + N137), "")</f>
        <v>3039395.1979175285</v>
      </c>
      <c r="N137" s="70">
        <f t="shared" ref="N137:N166" ca="1" si="50">IFERROR(INDIRECT($B137&amp;"!N118"), "")</f>
        <v>1.3131732639176257E-2</v>
      </c>
      <c r="O137" s="120">
        <f t="shared" ref="O137:O166" ca="1" si="51">IFERROR(INDIRECT($B137&amp;"!O118"), "")</f>
        <v>39395.197917528778</v>
      </c>
    </row>
    <row r="138" spans="1:15" ht="16.5" customHeight="1">
      <c r="A138" s="47">
        <v>3</v>
      </c>
      <c r="B138" s="130" t="str">
        <f>HYPERLINK("#'" &amp; TEXT(투자전략!$G$1+2, "[$-ko-KR]yyyy.mm.dd") &amp; "'!A94:O118", TEXT(투자전략!$G$1+2, "[$-ko-KR]yyyy.mm.dd"))</f>
        <v>2023.01.03</v>
      </c>
      <c r="C138" s="118">
        <f t="shared" ca="1" si="39"/>
        <v>3000000</v>
      </c>
      <c r="D138" s="122">
        <f t="shared" ca="1" si="40"/>
        <v>3010505.8191360491</v>
      </c>
      <c r="E138" s="70">
        <f t="shared" ca="1" si="41"/>
        <v>3.5019397120164561E-3</v>
      </c>
      <c r="F138" s="120">
        <f t="shared" ca="1" si="42"/>
        <v>10505.819136049369</v>
      </c>
      <c r="G138" s="122">
        <f t="shared" ca="1" si="43"/>
        <v>3049888.115041852</v>
      </c>
      <c r="H138" s="70">
        <f t="shared" ca="1" si="44"/>
        <v>1.6629371680617365E-2</v>
      </c>
      <c r="I138" s="120">
        <f t="shared" ca="1" si="45"/>
        <v>49888.115041852114</v>
      </c>
      <c r="J138" s="122">
        <f t="shared" ca="1" si="46"/>
        <v>3040578.9925599429</v>
      </c>
      <c r="K138" s="70">
        <f t="shared" ca="1" si="47"/>
        <v>1.352633085331425E-2</v>
      </c>
      <c r="L138" s="120">
        <f t="shared" ca="1" si="48"/>
        <v>40578.992559942759</v>
      </c>
      <c r="M138" s="122">
        <f t="shared" ca="1" si="49"/>
        <v>3028374.7920305664</v>
      </c>
      <c r="N138" s="70">
        <f t="shared" ca="1" si="50"/>
        <v>9.4582640101886998E-3</v>
      </c>
      <c r="O138" s="120">
        <f t="shared" ca="1" si="51"/>
        <v>28374.792030566099</v>
      </c>
    </row>
    <row r="139" spans="1:15" ht="16.5" customHeight="1">
      <c r="A139" s="47">
        <v>4</v>
      </c>
      <c r="B139" s="130" t="str">
        <f>HYPERLINK("#'" &amp; TEXT(투자전략!$G$1+3, "[$-ko-KR]yyyy.mm.dd") &amp; "'!A94:O118", TEXT(투자전략!$G$1+3, "[$-ko-KR]yyyy.mm.dd"))</f>
        <v>2023.01.04</v>
      </c>
      <c r="C139" s="118">
        <f t="shared" ca="1" si="39"/>
        <v>3000000</v>
      </c>
      <c r="D139" s="122">
        <f t="shared" ca="1" si="40"/>
        <v>3097096.0475842846</v>
      </c>
      <c r="E139" s="70">
        <f t="shared" ca="1" si="41"/>
        <v>3.2365349194761424E-2</v>
      </c>
      <c r="F139" s="120">
        <f t="shared" ca="1" si="42"/>
        <v>97096.047584284286</v>
      </c>
      <c r="G139" s="122">
        <f t="shared" ca="1" si="43"/>
        <v>3110313.7963464726</v>
      </c>
      <c r="H139" s="70">
        <f t="shared" ca="1" si="44"/>
        <v>3.6771265448824253E-2</v>
      </c>
      <c r="I139" s="120">
        <f t="shared" ca="1" si="45"/>
        <v>110313.79634647274</v>
      </c>
      <c r="J139" s="122">
        <f t="shared" ca="1" si="46"/>
        <v>3104214.5209168727</v>
      </c>
      <c r="K139" s="70">
        <f t="shared" ca="1" si="47"/>
        <v>3.4738173638957578E-2</v>
      </c>
      <c r="L139" s="120">
        <f t="shared" ca="1" si="48"/>
        <v>104214.52091687276</v>
      </c>
      <c r="M139" s="122">
        <f t="shared" ca="1" si="49"/>
        <v>3103376.2598587079</v>
      </c>
      <c r="N139" s="70">
        <f t="shared" ca="1" si="50"/>
        <v>3.4458753286235932E-2</v>
      </c>
      <c r="O139" s="120">
        <f t="shared" ca="1" si="51"/>
        <v>103376.25985870778</v>
      </c>
    </row>
    <row r="140" spans="1:15" ht="16.5" customHeight="1">
      <c r="A140" s="47">
        <v>5</v>
      </c>
      <c r="B140" s="130" t="str">
        <f>HYPERLINK("#'" &amp; TEXT(투자전략!$G$1+4, "[$-ko-KR]yyyy.mm.dd") &amp; "'!A94:O118", TEXT(투자전략!$G$1+4, "[$-ko-KR]yyyy.mm.dd"))</f>
        <v>2023.01.05</v>
      </c>
      <c r="C140" s="118">
        <f t="shared" ca="1" si="39"/>
        <v>3000000</v>
      </c>
      <c r="D140" s="122">
        <f t="shared" ca="1" si="40"/>
        <v>3051437.9051454421</v>
      </c>
      <c r="E140" s="70">
        <f t="shared" ca="1" si="41"/>
        <v>1.7145968381814113E-2</v>
      </c>
      <c r="F140" s="120">
        <f t="shared" ca="1" si="42"/>
        <v>51437.905145442332</v>
      </c>
      <c r="G140" s="122">
        <f t="shared" ca="1" si="43"/>
        <v>2980937.9211123856</v>
      </c>
      <c r="H140" s="70">
        <f t="shared" ca="1" si="44"/>
        <v>-6.3540262958714051E-3</v>
      </c>
      <c r="I140" s="120">
        <f t="shared" ca="1" si="45"/>
        <v>-19062.078887614211</v>
      </c>
      <c r="J140" s="122">
        <f t="shared" ca="1" si="46"/>
        <v>3011936.1366720367</v>
      </c>
      <c r="K140" s="70">
        <f t="shared" ca="1" si="47"/>
        <v>3.9787122240121696E-3</v>
      </c>
      <c r="L140" s="120">
        <f t="shared" ca="1" si="48"/>
        <v>11936.136672036502</v>
      </c>
      <c r="M140" s="122">
        <f t="shared" ca="1" si="49"/>
        <v>2988372.4287161785</v>
      </c>
      <c r="N140" s="70">
        <f t="shared" ca="1" si="50"/>
        <v>-3.8758570946071406E-3</v>
      </c>
      <c r="O140" s="120">
        <f t="shared" ca="1" si="51"/>
        <v>-11627.571283821424</v>
      </c>
    </row>
    <row r="141" spans="1:15" ht="16.5" customHeight="1">
      <c r="A141" s="47">
        <v>6</v>
      </c>
      <c r="B141" s="130" t="str">
        <f>HYPERLINK("#'" &amp; TEXT(투자전략!$G$1+5, "[$-ko-KR]yyyy.mm.dd") &amp; "'!A94:O118", TEXT(투자전략!$G$1+5, "[$-ko-KR]yyyy.mm.dd"))</f>
        <v>2023.01.06</v>
      </c>
      <c r="C141" s="118">
        <f t="shared" ca="1" si="39"/>
        <v>3000000</v>
      </c>
      <c r="D141" s="122">
        <f t="shared" ca="1" si="40"/>
        <v>2926148.2395005994</v>
      </c>
      <c r="E141" s="70">
        <f t="shared" ca="1" si="41"/>
        <v>-2.4617253499800131E-2</v>
      </c>
      <c r="F141" s="120">
        <f t="shared" ca="1" si="42"/>
        <v>-73851.760499400392</v>
      </c>
      <c r="G141" s="122">
        <f t="shared" ca="1" si="43"/>
        <v>2905245.5421860949</v>
      </c>
      <c r="H141" s="70">
        <f t="shared" ca="1" si="44"/>
        <v>-3.1584819271301745E-2</v>
      </c>
      <c r="I141" s="120">
        <f t="shared" ca="1" si="45"/>
        <v>-94754.457813905203</v>
      </c>
      <c r="J141" s="122">
        <f t="shared" ca="1" si="46"/>
        <v>2907842.6062360308</v>
      </c>
      <c r="K141" s="70">
        <f t="shared" ca="1" si="47"/>
        <v>-3.0719131254656439E-2</v>
      </c>
      <c r="L141" s="120">
        <f t="shared" ca="1" si="48"/>
        <v>-92157.393763969318</v>
      </c>
      <c r="M141" s="122">
        <f t="shared" ca="1" si="49"/>
        <v>2892185.3354544933</v>
      </c>
      <c r="N141" s="70">
        <f t="shared" ca="1" si="50"/>
        <v>-3.5938221515168907E-2</v>
      </c>
      <c r="O141" s="120">
        <f t="shared" ca="1" si="51"/>
        <v>-107814.66454550673</v>
      </c>
    </row>
    <row r="142" spans="1:15" ht="16.5" customHeight="1" thickBot="1">
      <c r="A142" s="48">
        <v>7</v>
      </c>
      <c r="B142" s="131" t="str">
        <f>HYPERLINK("#'" &amp; TEXT(투자전략!$G$1+6, "[$-ko-KR]yyyy.mm.dd") &amp; "'!A94:O118", TEXT(투자전략!$G$1+6, "[$-ko-KR]yyyy.mm.dd"))</f>
        <v>2023.01.07</v>
      </c>
      <c r="C142" s="118">
        <f t="shared" ca="1" si="39"/>
        <v>3000000</v>
      </c>
      <c r="D142" s="122">
        <f t="shared" ca="1" si="40"/>
        <v>3046778.9843107699</v>
      </c>
      <c r="E142" s="70">
        <f t="shared" ca="1" si="41"/>
        <v>1.5592994770256632E-2</v>
      </c>
      <c r="F142" s="120">
        <f t="shared" ca="1" si="42"/>
        <v>46778.984310769898</v>
      </c>
      <c r="G142" s="122">
        <f t="shared" ca="1" si="43"/>
        <v>3044878.098584068</v>
      </c>
      <c r="H142" s="70">
        <f t="shared" ca="1" si="44"/>
        <v>1.4959366194689457E-2</v>
      </c>
      <c r="I142" s="120">
        <f t="shared" ca="1" si="45"/>
        <v>44878.098584068379</v>
      </c>
      <c r="J142" s="122">
        <f t="shared" ca="1" si="46"/>
        <v>3045420.897546987</v>
      </c>
      <c r="K142" s="70">
        <f t="shared" ca="1" si="47"/>
        <v>1.5140299182329123E-2</v>
      </c>
      <c r="L142" s="120">
        <f t="shared" ca="1" si="48"/>
        <v>45420.897546987369</v>
      </c>
      <c r="M142" s="122">
        <f t="shared" ca="1" si="49"/>
        <v>3000000</v>
      </c>
      <c r="N142" s="70">
        <f t="shared" ca="1" si="50"/>
        <v>0</v>
      </c>
      <c r="O142" s="120">
        <f t="shared" ca="1" si="51"/>
        <v>0</v>
      </c>
    </row>
    <row r="143" spans="1:15" ht="16.5" customHeight="1">
      <c r="A143" s="46">
        <v>8</v>
      </c>
      <c r="B143" s="129" t="str">
        <f>HYPERLINK("#'" &amp; TEXT(투자전략!$G$1+7, "[$-ko-KR]yyyy.mm.dd") &amp; "'!A94:O118", TEXT(투자전략!$G$1+7, "[$-ko-KR]yyyy.mm.dd"))</f>
        <v>2023.01.08</v>
      </c>
      <c r="C143" s="117">
        <f t="shared" ca="1" si="39"/>
        <v>3000000</v>
      </c>
      <c r="D143" s="125">
        <f t="shared" ca="1" si="40"/>
        <v>3000000</v>
      </c>
      <c r="E143" s="69">
        <f t="shared" ca="1" si="41"/>
        <v>0</v>
      </c>
      <c r="F143" s="124">
        <f t="shared" ca="1" si="42"/>
        <v>0</v>
      </c>
      <c r="G143" s="125">
        <f t="shared" ca="1" si="43"/>
        <v>3000000</v>
      </c>
      <c r="H143" s="69">
        <f t="shared" ca="1" si="44"/>
        <v>0</v>
      </c>
      <c r="I143" s="124">
        <f t="shared" ca="1" si="45"/>
        <v>0</v>
      </c>
      <c r="J143" s="125">
        <f t="shared" ca="1" si="46"/>
        <v>3000000</v>
      </c>
      <c r="K143" s="69">
        <f t="shared" ca="1" si="47"/>
        <v>0</v>
      </c>
      <c r="L143" s="124">
        <f t="shared" ca="1" si="48"/>
        <v>0</v>
      </c>
      <c r="M143" s="125">
        <f t="shared" ca="1" si="49"/>
        <v>3000000</v>
      </c>
      <c r="N143" s="69">
        <f t="shared" ca="1" si="50"/>
        <v>0</v>
      </c>
      <c r="O143" s="124">
        <f t="shared" ca="1" si="51"/>
        <v>0</v>
      </c>
    </row>
    <row r="144" spans="1:15" ht="16.5" customHeight="1">
      <c r="A144" s="47">
        <v>9</v>
      </c>
      <c r="B144" s="130" t="str">
        <f>HYPERLINK("#'" &amp; TEXT(투자전략!$G$1+8, "[$-ko-KR]yyyy.mm.dd") &amp; "'!A94:O118", TEXT(투자전략!$G$1+8, "[$-ko-KR]yyyy.mm.dd"))</f>
        <v>2023.01.09</v>
      </c>
      <c r="C144" s="118" t="str">
        <f t="shared" ca="1" si="39"/>
        <v/>
      </c>
      <c r="D144" s="122" t="str">
        <f t="shared" ca="1" si="40"/>
        <v/>
      </c>
      <c r="E144" s="70" t="str">
        <f t="shared" ca="1" si="41"/>
        <v/>
      </c>
      <c r="F144" s="120" t="str">
        <f t="shared" ca="1" si="42"/>
        <v/>
      </c>
      <c r="G144" s="122" t="str">
        <f t="shared" ca="1" si="43"/>
        <v/>
      </c>
      <c r="H144" s="70" t="str">
        <f t="shared" ca="1" si="44"/>
        <v/>
      </c>
      <c r="I144" s="120" t="str">
        <f t="shared" ca="1" si="45"/>
        <v/>
      </c>
      <c r="J144" s="122" t="str">
        <f t="shared" ca="1" si="46"/>
        <v/>
      </c>
      <c r="K144" s="70" t="str">
        <f t="shared" ca="1" si="47"/>
        <v/>
      </c>
      <c r="L144" s="120" t="str">
        <f t="shared" ca="1" si="48"/>
        <v/>
      </c>
      <c r="M144" s="122" t="str">
        <f t="shared" ca="1" si="49"/>
        <v/>
      </c>
      <c r="N144" s="70" t="str">
        <f t="shared" ca="1" si="50"/>
        <v/>
      </c>
      <c r="O144" s="120" t="str">
        <f t="shared" ca="1" si="51"/>
        <v/>
      </c>
    </row>
    <row r="145" spans="1:15" ht="16.5" customHeight="1">
      <c r="A145" s="47">
        <v>10</v>
      </c>
      <c r="B145" s="130" t="str">
        <f>HYPERLINK("#'" &amp; TEXT(투자전략!$G$1+9, "[$-ko-KR]yyyy.mm.dd") &amp; "'!A94:O118", TEXT(투자전략!$G$1+9, "[$-ko-KR]yyyy.mm.dd"))</f>
        <v>2023.01.10</v>
      </c>
      <c r="C145" s="118" t="str">
        <f t="shared" ca="1" si="39"/>
        <v/>
      </c>
      <c r="D145" s="122" t="str">
        <f t="shared" ca="1" si="40"/>
        <v/>
      </c>
      <c r="E145" s="70" t="str">
        <f t="shared" ca="1" si="41"/>
        <v/>
      </c>
      <c r="F145" s="120" t="str">
        <f t="shared" ca="1" si="42"/>
        <v/>
      </c>
      <c r="G145" s="122" t="str">
        <f t="shared" ca="1" si="43"/>
        <v/>
      </c>
      <c r="H145" s="70" t="str">
        <f t="shared" ca="1" si="44"/>
        <v/>
      </c>
      <c r="I145" s="120" t="str">
        <f t="shared" ca="1" si="45"/>
        <v/>
      </c>
      <c r="J145" s="122" t="str">
        <f t="shared" ca="1" si="46"/>
        <v/>
      </c>
      <c r="K145" s="70" t="str">
        <f t="shared" ca="1" si="47"/>
        <v/>
      </c>
      <c r="L145" s="120" t="str">
        <f t="shared" ca="1" si="48"/>
        <v/>
      </c>
      <c r="M145" s="122" t="str">
        <f t="shared" ca="1" si="49"/>
        <v/>
      </c>
      <c r="N145" s="70" t="str">
        <f t="shared" ca="1" si="50"/>
        <v/>
      </c>
      <c r="O145" s="120" t="str">
        <f t="shared" ca="1" si="51"/>
        <v/>
      </c>
    </row>
    <row r="146" spans="1:15" ht="16.5" customHeight="1">
      <c r="A146" s="47">
        <v>11</v>
      </c>
      <c r="B146" s="130" t="str">
        <f>HYPERLINK("#'" &amp; TEXT(투자전략!$G$1+10, "[$-ko-KR]yyyy.mm.dd") &amp; "'!A94:O118", TEXT(투자전략!$G$1+10, "[$-ko-KR]yyyy.mm.dd"))</f>
        <v>2023.01.11</v>
      </c>
      <c r="C146" s="118" t="str">
        <f t="shared" ca="1" si="39"/>
        <v/>
      </c>
      <c r="D146" s="122" t="str">
        <f t="shared" ca="1" si="40"/>
        <v/>
      </c>
      <c r="E146" s="70" t="str">
        <f t="shared" ca="1" si="41"/>
        <v/>
      </c>
      <c r="F146" s="120" t="str">
        <f t="shared" ca="1" si="42"/>
        <v/>
      </c>
      <c r="G146" s="122" t="str">
        <f t="shared" ca="1" si="43"/>
        <v/>
      </c>
      <c r="H146" s="70" t="str">
        <f t="shared" ca="1" si="44"/>
        <v/>
      </c>
      <c r="I146" s="120" t="str">
        <f t="shared" ca="1" si="45"/>
        <v/>
      </c>
      <c r="J146" s="122" t="str">
        <f t="shared" ca="1" si="46"/>
        <v/>
      </c>
      <c r="K146" s="70" t="str">
        <f t="shared" ca="1" si="47"/>
        <v/>
      </c>
      <c r="L146" s="120" t="str">
        <f t="shared" ca="1" si="48"/>
        <v/>
      </c>
      <c r="M146" s="122" t="str">
        <f t="shared" ca="1" si="49"/>
        <v/>
      </c>
      <c r="N146" s="70" t="str">
        <f t="shared" ca="1" si="50"/>
        <v/>
      </c>
      <c r="O146" s="120" t="str">
        <f t="shared" ca="1" si="51"/>
        <v/>
      </c>
    </row>
    <row r="147" spans="1:15" ht="16.5" customHeight="1">
      <c r="A147" s="47">
        <v>12</v>
      </c>
      <c r="B147" s="130" t="str">
        <f>HYPERLINK("#'" &amp; TEXT(투자전략!$G$1+11, "[$-ko-KR]yyyy.mm.dd") &amp; "'!A94:O118", TEXT(투자전략!$G$1+11, "[$-ko-KR]yyyy.mm.dd"))</f>
        <v>2023.01.12</v>
      </c>
      <c r="C147" s="118" t="str">
        <f t="shared" ca="1" si="39"/>
        <v/>
      </c>
      <c r="D147" s="122" t="str">
        <f t="shared" ca="1" si="40"/>
        <v/>
      </c>
      <c r="E147" s="70" t="str">
        <f t="shared" ca="1" si="41"/>
        <v/>
      </c>
      <c r="F147" s="120" t="str">
        <f t="shared" ca="1" si="42"/>
        <v/>
      </c>
      <c r="G147" s="122" t="str">
        <f t="shared" ca="1" si="43"/>
        <v/>
      </c>
      <c r="H147" s="70" t="str">
        <f t="shared" ca="1" si="44"/>
        <v/>
      </c>
      <c r="I147" s="120" t="str">
        <f t="shared" ca="1" si="45"/>
        <v/>
      </c>
      <c r="J147" s="122" t="str">
        <f t="shared" ca="1" si="46"/>
        <v/>
      </c>
      <c r="K147" s="70" t="str">
        <f t="shared" ca="1" si="47"/>
        <v/>
      </c>
      <c r="L147" s="120" t="str">
        <f t="shared" ca="1" si="48"/>
        <v/>
      </c>
      <c r="M147" s="122" t="str">
        <f t="shared" ca="1" si="49"/>
        <v/>
      </c>
      <c r="N147" s="70" t="str">
        <f t="shared" ca="1" si="50"/>
        <v/>
      </c>
      <c r="O147" s="120" t="str">
        <f t="shared" ca="1" si="51"/>
        <v/>
      </c>
    </row>
    <row r="148" spans="1:15" ht="16.5" customHeight="1">
      <c r="A148" s="47">
        <v>13</v>
      </c>
      <c r="B148" s="130" t="str">
        <f>HYPERLINK("#'" &amp; TEXT(투자전략!$G$1+12, "[$-ko-KR]yyyy.mm.dd") &amp; "'!A94:O118", TEXT(투자전략!$G$1+12, "[$-ko-KR]yyyy.mm.dd"))</f>
        <v>2023.01.13</v>
      </c>
      <c r="C148" s="118" t="str">
        <f t="shared" ca="1" si="39"/>
        <v/>
      </c>
      <c r="D148" s="122" t="str">
        <f t="shared" ca="1" si="40"/>
        <v/>
      </c>
      <c r="E148" s="70" t="str">
        <f t="shared" ca="1" si="41"/>
        <v/>
      </c>
      <c r="F148" s="120" t="str">
        <f t="shared" ca="1" si="42"/>
        <v/>
      </c>
      <c r="G148" s="122" t="str">
        <f t="shared" ca="1" si="43"/>
        <v/>
      </c>
      <c r="H148" s="70" t="str">
        <f t="shared" ca="1" si="44"/>
        <v/>
      </c>
      <c r="I148" s="120" t="str">
        <f t="shared" ca="1" si="45"/>
        <v/>
      </c>
      <c r="J148" s="122" t="str">
        <f t="shared" ca="1" si="46"/>
        <v/>
      </c>
      <c r="K148" s="70" t="str">
        <f t="shared" ca="1" si="47"/>
        <v/>
      </c>
      <c r="L148" s="120" t="str">
        <f t="shared" ca="1" si="48"/>
        <v/>
      </c>
      <c r="M148" s="122" t="str">
        <f t="shared" ca="1" si="49"/>
        <v/>
      </c>
      <c r="N148" s="70" t="str">
        <f t="shared" ca="1" si="50"/>
        <v/>
      </c>
      <c r="O148" s="120" t="str">
        <f t="shared" ca="1" si="51"/>
        <v/>
      </c>
    </row>
    <row r="149" spans="1:15" ht="16.5" customHeight="1" thickBot="1">
      <c r="A149" s="48">
        <v>14</v>
      </c>
      <c r="B149" s="131" t="str">
        <f>HYPERLINK("#'" &amp; TEXT(투자전략!$G$1+13, "[$-ko-KR]yyyy.mm.dd") &amp; "'!A94:O118", TEXT(투자전략!$G$1+13, "[$-ko-KR]yyyy.mm.dd"))</f>
        <v>2023.01.14</v>
      </c>
      <c r="C149" s="119" t="str">
        <f t="shared" ca="1" si="39"/>
        <v/>
      </c>
      <c r="D149" s="123" t="str">
        <f t="shared" ca="1" si="40"/>
        <v/>
      </c>
      <c r="E149" s="72" t="str">
        <f t="shared" ca="1" si="41"/>
        <v/>
      </c>
      <c r="F149" s="121" t="str">
        <f t="shared" ca="1" si="42"/>
        <v/>
      </c>
      <c r="G149" s="123" t="str">
        <f t="shared" ca="1" si="43"/>
        <v/>
      </c>
      <c r="H149" s="72" t="str">
        <f t="shared" ca="1" si="44"/>
        <v/>
      </c>
      <c r="I149" s="121" t="str">
        <f t="shared" ca="1" si="45"/>
        <v/>
      </c>
      <c r="J149" s="123" t="str">
        <f t="shared" ca="1" si="46"/>
        <v/>
      </c>
      <c r="K149" s="72" t="str">
        <f t="shared" ca="1" si="47"/>
        <v/>
      </c>
      <c r="L149" s="121" t="str">
        <f t="shared" ca="1" si="48"/>
        <v/>
      </c>
      <c r="M149" s="123" t="str">
        <f t="shared" ca="1" si="49"/>
        <v/>
      </c>
      <c r="N149" s="72" t="str">
        <f t="shared" ca="1" si="50"/>
        <v/>
      </c>
      <c r="O149" s="121" t="str">
        <f t="shared" ca="1" si="51"/>
        <v/>
      </c>
    </row>
    <row r="150" spans="1:15" ht="16.5" customHeight="1">
      <c r="A150" s="46">
        <v>15</v>
      </c>
      <c r="B150" s="129" t="str">
        <f>HYPERLINK("#'" &amp; TEXT(투자전략!$G$1+14, "[$-ko-KR]yyyy.mm.dd") &amp; "'!A94:O118", TEXT(투자전략!$G$1+14, "[$-ko-KR]yyyy.mm.dd"))</f>
        <v>2023.01.15</v>
      </c>
      <c r="C150" s="118" t="str">
        <f t="shared" ca="1" si="39"/>
        <v/>
      </c>
      <c r="D150" s="122" t="str">
        <f t="shared" ca="1" si="40"/>
        <v/>
      </c>
      <c r="E150" s="70" t="str">
        <f t="shared" ca="1" si="41"/>
        <v/>
      </c>
      <c r="F150" s="120" t="str">
        <f t="shared" ca="1" si="42"/>
        <v/>
      </c>
      <c r="G150" s="122" t="str">
        <f t="shared" ca="1" si="43"/>
        <v/>
      </c>
      <c r="H150" s="70" t="str">
        <f t="shared" ca="1" si="44"/>
        <v/>
      </c>
      <c r="I150" s="120" t="str">
        <f t="shared" ca="1" si="45"/>
        <v/>
      </c>
      <c r="J150" s="122" t="str">
        <f t="shared" ca="1" si="46"/>
        <v/>
      </c>
      <c r="K150" s="70" t="str">
        <f t="shared" ca="1" si="47"/>
        <v/>
      </c>
      <c r="L150" s="120" t="str">
        <f t="shared" ca="1" si="48"/>
        <v/>
      </c>
      <c r="M150" s="122" t="str">
        <f t="shared" ca="1" si="49"/>
        <v/>
      </c>
      <c r="N150" s="70" t="str">
        <f t="shared" ca="1" si="50"/>
        <v/>
      </c>
      <c r="O150" s="120" t="str">
        <f t="shared" ca="1" si="51"/>
        <v/>
      </c>
    </row>
    <row r="151" spans="1:15" ht="16.5" customHeight="1">
      <c r="A151" s="47">
        <v>16</v>
      </c>
      <c r="B151" s="130" t="str">
        <f>HYPERLINK("#'" &amp; TEXT(투자전략!$G$1+15, "[$-ko-KR]yyyy.mm.dd") &amp; "'!A94:O118", TEXT(투자전략!$G$1+15, "[$-ko-KR]yyyy.mm.dd"))</f>
        <v>2023.01.16</v>
      </c>
      <c r="C151" s="118" t="str">
        <f t="shared" ca="1" si="39"/>
        <v/>
      </c>
      <c r="D151" s="122" t="str">
        <f t="shared" ca="1" si="40"/>
        <v/>
      </c>
      <c r="E151" s="70" t="str">
        <f t="shared" ca="1" si="41"/>
        <v/>
      </c>
      <c r="F151" s="120" t="str">
        <f t="shared" ca="1" si="42"/>
        <v/>
      </c>
      <c r="G151" s="122" t="str">
        <f t="shared" ca="1" si="43"/>
        <v/>
      </c>
      <c r="H151" s="70" t="str">
        <f t="shared" ca="1" si="44"/>
        <v/>
      </c>
      <c r="I151" s="120" t="str">
        <f t="shared" ca="1" si="45"/>
        <v/>
      </c>
      <c r="J151" s="122" t="str">
        <f t="shared" ca="1" si="46"/>
        <v/>
      </c>
      <c r="K151" s="70" t="str">
        <f t="shared" ca="1" si="47"/>
        <v/>
      </c>
      <c r="L151" s="120" t="str">
        <f t="shared" ca="1" si="48"/>
        <v/>
      </c>
      <c r="M151" s="122" t="str">
        <f t="shared" ca="1" si="49"/>
        <v/>
      </c>
      <c r="N151" s="70" t="str">
        <f t="shared" ca="1" si="50"/>
        <v/>
      </c>
      <c r="O151" s="120" t="str">
        <f t="shared" ca="1" si="51"/>
        <v/>
      </c>
    </row>
    <row r="152" spans="1:15" ht="16.5" customHeight="1">
      <c r="A152" s="47">
        <v>17</v>
      </c>
      <c r="B152" s="130" t="str">
        <f>HYPERLINK("#'" &amp; TEXT(투자전략!$G$1+16, "[$-ko-KR]yyyy.mm.dd") &amp; "'!A94:O118", TEXT(투자전략!$G$1+16, "[$-ko-KR]yyyy.mm.dd"))</f>
        <v>2023.01.17</v>
      </c>
      <c r="C152" s="118" t="str">
        <f t="shared" ca="1" si="39"/>
        <v/>
      </c>
      <c r="D152" s="122" t="str">
        <f t="shared" ca="1" si="40"/>
        <v/>
      </c>
      <c r="E152" s="70" t="str">
        <f t="shared" ca="1" si="41"/>
        <v/>
      </c>
      <c r="F152" s="120" t="str">
        <f t="shared" ca="1" si="42"/>
        <v/>
      </c>
      <c r="G152" s="122" t="str">
        <f t="shared" ca="1" si="43"/>
        <v/>
      </c>
      <c r="H152" s="70" t="str">
        <f t="shared" ca="1" si="44"/>
        <v/>
      </c>
      <c r="I152" s="120" t="str">
        <f t="shared" ca="1" si="45"/>
        <v/>
      </c>
      <c r="J152" s="122" t="str">
        <f t="shared" ca="1" si="46"/>
        <v/>
      </c>
      <c r="K152" s="70" t="str">
        <f t="shared" ca="1" si="47"/>
        <v/>
      </c>
      <c r="L152" s="120" t="str">
        <f t="shared" ca="1" si="48"/>
        <v/>
      </c>
      <c r="M152" s="122" t="str">
        <f t="shared" ca="1" si="49"/>
        <v/>
      </c>
      <c r="N152" s="70" t="str">
        <f t="shared" ca="1" si="50"/>
        <v/>
      </c>
      <c r="O152" s="120" t="str">
        <f t="shared" ca="1" si="51"/>
        <v/>
      </c>
    </row>
    <row r="153" spans="1:15" ht="16.5" customHeight="1">
      <c r="A153" s="47">
        <v>18</v>
      </c>
      <c r="B153" s="130" t="str">
        <f>HYPERLINK("#'" &amp; TEXT(투자전략!$G$1+17, "[$-ko-KR]yyyy.mm.dd") &amp; "'!A94:O118", TEXT(투자전략!$G$1+17, "[$-ko-KR]yyyy.mm.dd"))</f>
        <v>2023.01.18</v>
      </c>
      <c r="C153" s="118" t="str">
        <f t="shared" ca="1" si="39"/>
        <v/>
      </c>
      <c r="D153" s="122" t="str">
        <f t="shared" ca="1" si="40"/>
        <v/>
      </c>
      <c r="E153" s="70" t="str">
        <f t="shared" ca="1" si="41"/>
        <v/>
      </c>
      <c r="F153" s="120" t="str">
        <f t="shared" ca="1" si="42"/>
        <v/>
      </c>
      <c r="G153" s="122" t="str">
        <f t="shared" ca="1" si="43"/>
        <v/>
      </c>
      <c r="H153" s="70" t="str">
        <f t="shared" ca="1" si="44"/>
        <v/>
      </c>
      <c r="I153" s="120" t="str">
        <f t="shared" ca="1" si="45"/>
        <v/>
      </c>
      <c r="J153" s="122" t="str">
        <f t="shared" ca="1" si="46"/>
        <v/>
      </c>
      <c r="K153" s="70" t="str">
        <f t="shared" ca="1" si="47"/>
        <v/>
      </c>
      <c r="L153" s="120" t="str">
        <f t="shared" ca="1" si="48"/>
        <v/>
      </c>
      <c r="M153" s="122" t="str">
        <f t="shared" ca="1" si="49"/>
        <v/>
      </c>
      <c r="N153" s="70" t="str">
        <f t="shared" ca="1" si="50"/>
        <v/>
      </c>
      <c r="O153" s="120" t="str">
        <f t="shared" ca="1" si="51"/>
        <v/>
      </c>
    </row>
    <row r="154" spans="1:15" ht="16.5" customHeight="1">
      <c r="A154" s="47">
        <v>19</v>
      </c>
      <c r="B154" s="130" t="str">
        <f>HYPERLINK("#'" &amp; TEXT(투자전략!$G$1+18, "[$-ko-KR]yyyy.mm.dd") &amp; "'!A94:O118", TEXT(투자전략!$G$1+18, "[$-ko-KR]yyyy.mm.dd"))</f>
        <v>2023.01.19</v>
      </c>
      <c r="C154" s="118" t="str">
        <f t="shared" ca="1" si="39"/>
        <v/>
      </c>
      <c r="D154" s="122" t="str">
        <f t="shared" ca="1" si="40"/>
        <v/>
      </c>
      <c r="E154" s="70" t="str">
        <f t="shared" ca="1" si="41"/>
        <v/>
      </c>
      <c r="F154" s="120" t="str">
        <f t="shared" ca="1" si="42"/>
        <v/>
      </c>
      <c r="G154" s="122" t="str">
        <f t="shared" ca="1" si="43"/>
        <v/>
      </c>
      <c r="H154" s="70" t="str">
        <f t="shared" ca="1" si="44"/>
        <v/>
      </c>
      <c r="I154" s="120" t="str">
        <f t="shared" ca="1" si="45"/>
        <v/>
      </c>
      <c r="J154" s="122" t="str">
        <f t="shared" ca="1" si="46"/>
        <v/>
      </c>
      <c r="K154" s="70" t="str">
        <f t="shared" ca="1" si="47"/>
        <v/>
      </c>
      <c r="L154" s="120" t="str">
        <f t="shared" ca="1" si="48"/>
        <v/>
      </c>
      <c r="M154" s="122" t="str">
        <f t="shared" ca="1" si="49"/>
        <v/>
      </c>
      <c r="N154" s="70" t="str">
        <f t="shared" ca="1" si="50"/>
        <v/>
      </c>
      <c r="O154" s="120" t="str">
        <f t="shared" ca="1" si="51"/>
        <v/>
      </c>
    </row>
    <row r="155" spans="1:15" ht="16.5" customHeight="1">
      <c r="A155" s="47">
        <v>20</v>
      </c>
      <c r="B155" s="130" t="str">
        <f>HYPERLINK("#'" &amp; TEXT(투자전략!$G$1+19, "[$-ko-KR]yyyy.mm.dd") &amp; "'!A94:O118", TEXT(투자전략!$G$1+19, "[$-ko-KR]yyyy.mm.dd"))</f>
        <v>2023.01.20</v>
      </c>
      <c r="C155" s="118" t="str">
        <f t="shared" ca="1" si="39"/>
        <v/>
      </c>
      <c r="D155" s="122" t="str">
        <f t="shared" ca="1" si="40"/>
        <v/>
      </c>
      <c r="E155" s="70" t="str">
        <f t="shared" ca="1" si="41"/>
        <v/>
      </c>
      <c r="F155" s="120" t="str">
        <f t="shared" ca="1" si="42"/>
        <v/>
      </c>
      <c r="G155" s="122" t="str">
        <f t="shared" ca="1" si="43"/>
        <v/>
      </c>
      <c r="H155" s="70" t="str">
        <f t="shared" ca="1" si="44"/>
        <v/>
      </c>
      <c r="I155" s="120" t="str">
        <f t="shared" ca="1" si="45"/>
        <v/>
      </c>
      <c r="J155" s="122" t="str">
        <f t="shared" ca="1" si="46"/>
        <v/>
      </c>
      <c r="K155" s="70" t="str">
        <f t="shared" ca="1" si="47"/>
        <v/>
      </c>
      <c r="L155" s="120" t="str">
        <f t="shared" ca="1" si="48"/>
        <v/>
      </c>
      <c r="M155" s="122" t="str">
        <f t="shared" ca="1" si="49"/>
        <v/>
      </c>
      <c r="N155" s="70" t="str">
        <f t="shared" ca="1" si="50"/>
        <v/>
      </c>
      <c r="O155" s="120" t="str">
        <f t="shared" ca="1" si="51"/>
        <v/>
      </c>
    </row>
    <row r="156" spans="1:15" ht="16.5" customHeight="1" thickBot="1">
      <c r="A156" s="48">
        <v>21</v>
      </c>
      <c r="B156" s="131" t="str">
        <f>HYPERLINK("#'" &amp; TEXT(투자전략!$G$1+20, "[$-ko-KR]yyyy.mm.dd") &amp; "'!A94:O118", TEXT(투자전략!$G$1+20, "[$-ko-KR]yyyy.mm.dd"))</f>
        <v>2023.01.21</v>
      </c>
      <c r="C156" s="118" t="str">
        <f t="shared" ca="1" si="39"/>
        <v/>
      </c>
      <c r="D156" s="122" t="str">
        <f t="shared" ca="1" si="40"/>
        <v/>
      </c>
      <c r="E156" s="70" t="str">
        <f t="shared" ca="1" si="41"/>
        <v/>
      </c>
      <c r="F156" s="120" t="str">
        <f t="shared" ca="1" si="42"/>
        <v/>
      </c>
      <c r="G156" s="122" t="str">
        <f t="shared" ca="1" si="43"/>
        <v/>
      </c>
      <c r="H156" s="70" t="str">
        <f t="shared" ca="1" si="44"/>
        <v/>
      </c>
      <c r="I156" s="120" t="str">
        <f t="shared" ca="1" si="45"/>
        <v/>
      </c>
      <c r="J156" s="122" t="str">
        <f t="shared" ca="1" si="46"/>
        <v/>
      </c>
      <c r="K156" s="70" t="str">
        <f t="shared" ca="1" si="47"/>
        <v/>
      </c>
      <c r="L156" s="120" t="str">
        <f t="shared" ca="1" si="48"/>
        <v/>
      </c>
      <c r="M156" s="122" t="str">
        <f t="shared" ca="1" si="49"/>
        <v/>
      </c>
      <c r="N156" s="70" t="str">
        <f t="shared" ca="1" si="50"/>
        <v/>
      </c>
      <c r="O156" s="120" t="str">
        <f t="shared" ca="1" si="51"/>
        <v/>
      </c>
    </row>
    <row r="157" spans="1:15" ht="16.5" customHeight="1">
      <c r="A157" s="46">
        <v>22</v>
      </c>
      <c r="B157" s="129" t="str">
        <f>HYPERLINK("#'" &amp; TEXT(투자전략!$G$1+21, "[$-ko-KR]yyyy.mm.dd") &amp; "'!A94:O118", TEXT(투자전략!$G$1+21, "[$-ko-KR]yyyy.mm.dd"))</f>
        <v>2023.01.22</v>
      </c>
      <c r="C157" s="117" t="str">
        <f t="shared" ca="1" si="39"/>
        <v/>
      </c>
      <c r="D157" s="125" t="str">
        <f t="shared" ca="1" si="40"/>
        <v/>
      </c>
      <c r="E157" s="69" t="str">
        <f t="shared" ca="1" si="41"/>
        <v/>
      </c>
      <c r="F157" s="124" t="str">
        <f t="shared" ca="1" si="42"/>
        <v/>
      </c>
      <c r="G157" s="125" t="str">
        <f t="shared" ca="1" si="43"/>
        <v/>
      </c>
      <c r="H157" s="69" t="str">
        <f t="shared" ca="1" si="44"/>
        <v/>
      </c>
      <c r="I157" s="124" t="str">
        <f t="shared" ca="1" si="45"/>
        <v/>
      </c>
      <c r="J157" s="125" t="str">
        <f t="shared" ca="1" si="46"/>
        <v/>
      </c>
      <c r="K157" s="69" t="str">
        <f t="shared" ca="1" si="47"/>
        <v/>
      </c>
      <c r="L157" s="124" t="str">
        <f t="shared" ca="1" si="48"/>
        <v/>
      </c>
      <c r="M157" s="125" t="str">
        <f t="shared" ca="1" si="49"/>
        <v/>
      </c>
      <c r="N157" s="69" t="str">
        <f t="shared" ca="1" si="50"/>
        <v/>
      </c>
      <c r="O157" s="124" t="str">
        <f t="shared" ca="1" si="51"/>
        <v/>
      </c>
    </row>
    <row r="158" spans="1:15" ht="16.5" customHeight="1">
      <c r="A158" s="47">
        <v>23</v>
      </c>
      <c r="B158" s="130" t="str">
        <f>HYPERLINK("#'" &amp; TEXT(투자전략!$G$1+22, "[$-ko-KR]yyyy.mm.dd") &amp; "'!A94:O118", TEXT(투자전략!$G$1+22, "[$-ko-KR]yyyy.mm.dd"))</f>
        <v>2023.01.23</v>
      </c>
      <c r="C158" s="118" t="str">
        <f t="shared" ca="1" si="39"/>
        <v/>
      </c>
      <c r="D158" s="122" t="str">
        <f t="shared" ca="1" si="40"/>
        <v/>
      </c>
      <c r="E158" s="70" t="str">
        <f t="shared" ca="1" si="41"/>
        <v/>
      </c>
      <c r="F158" s="120" t="str">
        <f t="shared" ca="1" si="42"/>
        <v/>
      </c>
      <c r="G158" s="122" t="str">
        <f t="shared" ca="1" si="43"/>
        <v/>
      </c>
      <c r="H158" s="70" t="str">
        <f t="shared" ca="1" si="44"/>
        <v/>
      </c>
      <c r="I158" s="120" t="str">
        <f t="shared" ca="1" si="45"/>
        <v/>
      </c>
      <c r="J158" s="122" t="str">
        <f t="shared" ca="1" si="46"/>
        <v/>
      </c>
      <c r="K158" s="70" t="str">
        <f t="shared" ca="1" si="47"/>
        <v/>
      </c>
      <c r="L158" s="120" t="str">
        <f t="shared" ca="1" si="48"/>
        <v/>
      </c>
      <c r="M158" s="122" t="str">
        <f t="shared" ca="1" si="49"/>
        <v/>
      </c>
      <c r="N158" s="70" t="str">
        <f t="shared" ca="1" si="50"/>
        <v/>
      </c>
      <c r="O158" s="120" t="str">
        <f t="shared" ca="1" si="51"/>
        <v/>
      </c>
    </row>
    <row r="159" spans="1:15" ht="16.5" customHeight="1">
      <c r="A159" s="47">
        <v>24</v>
      </c>
      <c r="B159" s="130" t="str">
        <f>HYPERLINK("#'" &amp; TEXT(투자전략!$G$1+23, "[$-ko-KR]yyyy.mm.dd") &amp; "'!A94:O118", TEXT(투자전략!$G$1+23, "[$-ko-KR]yyyy.mm.dd"))</f>
        <v>2023.01.24</v>
      </c>
      <c r="C159" s="118" t="str">
        <f t="shared" ca="1" si="39"/>
        <v/>
      </c>
      <c r="D159" s="122" t="str">
        <f t="shared" ca="1" si="40"/>
        <v/>
      </c>
      <c r="E159" s="70" t="str">
        <f t="shared" ca="1" si="41"/>
        <v/>
      </c>
      <c r="F159" s="120" t="str">
        <f t="shared" ca="1" si="42"/>
        <v/>
      </c>
      <c r="G159" s="122" t="str">
        <f t="shared" ca="1" si="43"/>
        <v/>
      </c>
      <c r="H159" s="70" t="str">
        <f t="shared" ca="1" si="44"/>
        <v/>
      </c>
      <c r="I159" s="120" t="str">
        <f t="shared" ca="1" si="45"/>
        <v/>
      </c>
      <c r="J159" s="122" t="str">
        <f t="shared" ca="1" si="46"/>
        <v/>
      </c>
      <c r="K159" s="70" t="str">
        <f t="shared" ca="1" si="47"/>
        <v/>
      </c>
      <c r="L159" s="120" t="str">
        <f t="shared" ca="1" si="48"/>
        <v/>
      </c>
      <c r="M159" s="122" t="str">
        <f t="shared" ca="1" si="49"/>
        <v/>
      </c>
      <c r="N159" s="70" t="str">
        <f t="shared" ca="1" si="50"/>
        <v/>
      </c>
      <c r="O159" s="120" t="str">
        <f t="shared" ca="1" si="51"/>
        <v/>
      </c>
    </row>
    <row r="160" spans="1:15" ht="16.5" customHeight="1">
      <c r="A160" s="47">
        <v>25</v>
      </c>
      <c r="B160" s="130" t="str">
        <f>HYPERLINK("#'" &amp; TEXT(투자전략!$G$1+24, "[$-ko-KR]yyyy.mm.dd") &amp; "'!A94:O118", TEXT(투자전략!$G$1+24, "[$-ko-KR]yyyy.mm.dd"))</f>
        <v>2023.01.25</v>
      </c>
      <c r="C160" s="118" t="str">
        <f t="shared" ca="1" si="39"/>
        <v/>
      </c>
      <c r="D160" s="122" t="str">
        <f t="shared" ca="1" si="40"/>
        <v/>
      </c>
      <c r="E160" s="70" t="str">
        <f t="shared" ca="1" si="41"/>
        <v/>
      </c>
      <c r="F160" s="120" t="str">
        <f t="shared" ca="1" si="42"/>
        <v/>
      </c>
      <c r="G160" s="122" t="str">
        <f t="shared" ca="1" si="43"/>
        <v/>
      </c>
      <c r="H160" s="70" t="str">
        <f t="shared" ca="1" si="44"/>
        <v/>
      </c>
      <c r="I160" s="120" t="str">
        <f t="shared" ca="1" si="45"/>
        <v/>
      </c>
      <c r="J160" s="122" t="str">
        <f t="shared" ca="1" si="46"/>
        <v/>
      </c>
      <c r="K160" s="70" t="str">
        <f t="shared" ca="1" si="47"/>
        <v/>
      </c>
      <c r="L160" s="120" t="str">
        <f t="shared" ca="1" si="48"/>
        <v/>
      </c>
      <c r="M160" s="122" t="str">
        <f t="shared" ca="1" si="49"/>
        <v/>
      </c>
      <c r="N160" s="70" t="str">
        <f t="shared" ca="1" si="50"/>
        <v/>
      </c>
      <c r="O160" s="120" t="str">
        <f t="shared" ca="1" si="51"/>
        <v/>
      </c>
    </row>
    <row r="161" spans="1:15" ht="16.5" customHeight="1">
      <c r="A161" s="47">
        <v>26</v>
      </c>
      <c r="B161" s="130" t="str">
        <f>HYPERLINK("#'" &amp; TEXT(투자전략!$G$1+25, "[$-ko-KR]yyyy.mm.dd") &amp; "'!A94:O118", TEXT(투자전략!$G$1+25, "[$-ko-KR]yyyy.mm.dd"))</f>
        <v>2023.01.26</v>
      </c>
      <c r="C161" s="118" t="str">
        <f t="shared" ca="1" si="39"/>
        <v/>
      </c>
      <c r="D161" s="122" t="str">
        <f t="shared" ca="1" si="40"/>
        <v/>
      </c>
      <c r="E161" s="70" t="str">
        <f t="shared" ca="1" si="41"/>
        <v/>
      </c>
      <c r="F161" s="120" t="str">
        <f t="shared" ca="1" si="42"/>
        <v/>
      </c>
      <c r="G161" s="122" t="str">
        <f t="shared" ca="1" si="43"/>
        <v/>
      </c>
      <c r="H161" s="70" t="str">
        <f t="shared" ca="1" si="44"/>
        <v/>
      </c>
      <c r="I161" s="120" t="str">
        <f t="shared" ca="1" si="45"/>
        <v/>
      </c>
      <c r="J161" s="122" t="str">
        <f t="shared" ca="1" si="46"/>
        <v/>
      </c>
      <c r="K161" s="70" t="str">
        <f t="shared" ca="1" si="47"/>
        <v/>
      </c>
      <c r="L161" s="120" t="str">
        <f t="shared" ca="1" si="48"/>
        <v/>
      </c>
      <c r="M161" s="122" t="str">
        <f t="shared" ca="1" si="49"/>
        <v/>
      </c>
      <c r="N161" s="70" t="str">
        <f t="shared" ca="1" si="50"/>
        <v/>
      </c>
      <c r="O161" s="120" t="str">
        <f t="shared" ca="1" si="51"/>
        <v/>
      </c>
    </row>
    <row r="162" spans="1:15" ht="16.5" customHeight="1">
      <c r="A162" s="47">
        <v>27</v>
      </c>
      <c r="B162" s="130" t="str">
        <f>HYPERLINK("#'" &amp; TEXT(투자전략!$G$1+26, "[$-ko-KR]yyyy.mm.dd") &amp; "'!A94:O118", TEXT(투자전략!$G$1+26, "[$-ko-KR]yyyy.mm.dd"))</f>
        <v>2023.01.27</v>
      </c>
      <c r="C162" s="118" t="str">
        <f t="shared" ca="1" si="39"/>
        <v/>
      </c>
      <c r="D162" s="122" t="str">
        <f t="shared" ca="1" si="40"/>
        <v/>
      </c>
      <c r="E162" s="70" t="str">
        <f t="shared" ca="1" si="41"/>
        <v/>
      </c>
      <c r="F162" s="120" t="str">
        <f t="shared" ca="1" si="42"/>
        <v/>
      </c>
      <c r="G162" s="122" t="str">
        <f t="shared" ca="1" si="43"/>
        <v/>
      </c>
      <c r="H162" s="70" t="str">
        <f t="shared" ca="1" si="44"/>
        <v/>
      </c>
      <c r="I162" s="120" t="str">
        <f t="shared" ca="1" si="45"/>
        <v/>
      </c>
      <c r="J162" s="122" t="str">
        <f t="shared" ca="1" si="46"/>
        <v/>
      </c>
      <c r="K162" s="70" t="str">
        <f t="shared" ca="1" si="47"/>
        <v/>
      </c>
      <c r="L162" s="120" t="str">
        <f t="shared" ca="1" si="48"/>
        <v/>
      </c>
      <c r="M162" s="122" t="str">
        <f t="shared" ca="1" si="49"/>
        <v/>
      </c>
      <c r="N162" s="70" t="str">
        <f t="shared" ca="1" si="50"/>
        <v/>
      </c>
      <c r="O162" s="120" t="str">
        <f t="shared" ca="1" si="51"/>
        <v/>
      </c>
    </row>
    <row r="163" spans="1:15" ht="16.5" customHeight="1" thickBot="1">
      <c r="A163" s="48">
        <v>28</v>
      </c>
      <c r="B163" s="131" t="str">
        <f>HYPERLINK("#'" &amp; TEXT(투자전략!$G$1+27, "[$-ko-KR]yyyy.mm.dd") &amp; "'!A94:O118", TEXT(투자전략!$G$1+27, "[$-ko-KR]yyyy.mm.dd"))</f>
        <v>2023.01.28</v>
      </c>
      <c r="C163" s="119" t="str">
        <f t="shared" ca="1" si="39"/>
        <v/>
      </c>
      <c r="D163" s="123" t="str">
        <f t="shared" ca="1" si="40"/>
        <v/>
      </c>
      <c r="E163" s="72" t="str">
        <f t="shared" ca="1" si="41"/>
        <v/>
      </c>
      <c r="F163" s="121" t="str">
        <f t="shared" ca="1" si="42"/>
        <v/>
      </c>
      <c r="G163" s="123" t="str">
        <f t="shared" ca="1" si="43"/>
        <v/>
      </c>
      <c r="H163" s="72" t="str">
        <f t="shared" ca="1" si="44"/>
        <v/>
      </c>
      <c r="I163" s="121" t="str">
        <f t="shared" ca="1" si="45"/>
        <v/>
      </c>
      <c r="J163" s="123" t="str">
        <f t="shared" ca="1" si="46"/>
        <v/>
      </c>
      <c r="K163" s="72" t="str">
        <f t="shared" ca="1" si="47"/>
        <v/>
      </c>
      <c r="L163" s="121" t="str">
        <f t="shared" ca="1" si="48"/>
        <v/>
      </c>
      <c r="M163" s="123" t="str">
        <f t="shared" ca="1" si="49"/>
        <v/>
      </c>
      <c r="N163" s="72" t="str">
        <f t="shared" ca="1" si="50"/>
        <v/>
      </c>
      <c r="O163" s="121" t="str">
        <f t="shared" ca="1" si="51"/>
        <v/>
      </c>
    </row>
    <row r="164" spans="1:15" ht="16.5" customHeight="1">
      <c r="A164" s="105">
        <v>29</v>
      </c>
      <c r="B164" s="129" t="str">
        <f>HYPERLINK("#'" &amp; TEXT(투자전략!$G$1+28, "[$-ko-KR]yyyy.mm.dd") &amp; "'!A94:O118", TEXT(투자전략!$G$1+28, "[$-ko-KR]yyyy.mm.dd"))</f>
        <v>2023.01.29</v>
      </c>
      <c r="C164" s="118" t="str">
        <f t="shared" ca="1" si="39"/>
        <v/>
      </c>
      <c r="D164" s="122" t="str">
        <f t="shared" ca="1" si="40"/>
        <v/>
      </c>
      <c r="E164" s="70" t="str">
        <f t="shared" ca="1" si="41"/>
        <v/>
      </c>
      <c r="F164" s="120" t="str">
        <f t="shared" ca="1" si="42"/>
        <v/>
      </c>
      <c r="G164" s="122" t="str">
        <f t="shared" ca="1" si="43"/>
        <v/>
      </c>
      <c r="H164" s="70" t="str">
        <f t="shared" ca="1" si="44"/>
        <v/>
      </c>
      <c r="I164" s="120" t="str">
        <f t="shared" ca="1" si="45"/>
        <v/>
      </c>
      <c r="J164" s="122" t="str">
        <f t="shared" ca="1" si="46"/>
        <v/>
      </c>
      <c r="K164" s="70" t="str">
        <f t="shared" ca="1" si="47"/>
        <v/>
      </c>
      <c r="L164" s="120" t="str">
        <f t="shared" ca="1" si="48"/>
        <v/>
      </c>
      <c r="M164" s="122" t="str">
        <f t="shared" ca="1" si="49"/>
        <v/>
      </c>
      <c r="N164" s="70" t="str">
        <f t="shared" ca="1" si="50"/>
        <v/>
      </c>
      <c r="O164" s="120" t="str">
        <f t="shared" ca="1" si="51"/>
        <v/>
      </c>
    </row>
    <row r="165" spans="1:15" ht="16.5" customHeight="1">
      <c r="A165" s="105">
        <v>30</v>
      </c>
      <c r="B165" s="130" t="str">
        <f>HYPERLINK("#'" &amp; TEXT(투자전략!$G$1+29, "[$-ko-KR]yyyy.mm.dd") &amp; "'!A94:O118", TEXT(투자전략!$G$1+29, "[$-ko-KR]yyyy.mm.dd"))</f>
        <v>2023.01.30</v>
      </c>
      <c r="C165" s="118" t="str">
        <f t="shared" ca="1" si="39"/>
        <v/>
      </c>
      <c r="D165" s="122" t="str">
        <f t="shared" ca="1" si="40"/>
        <v/>
      </c>
      <c r="E165" s="70" t="str">
        <f t="shared" ca="1" si="41"/>
        <v/>
      </c>
      <c r="F165" s="120" t="str">
        <f t="shared" ca="1" si="42"/>
        <v/>
      </c>
      <c r="G165" s="122" t="str">
        <f t="shared" ca="1" si="43"/>
        <v/>
      </c>
      <c r="H165" s="70" t="str">
        <f t="shared" ca="1" si="44"/>
        <v/>
      </c>
      <c r="I165" s="120" t="str">
        <f t="shared" ca="1" si="45"/>
        <v/>
      </c>
      <c r="J165" s="122" t="str">
        <f t="shared" ca="1" si="46"/>
        <v/>
      </c>
      <c r="K165" s="70" t="str">
        <f t="shared" ca="1" si="47"/>
        <v/>
      </c>
      <c r="L165" s="120" t="str">
        <f t="shared" ca="1" si="48"/>
        <v/>
      </c>
      <c r="M165" s="122" t="str">
        <f t="shared" ca="1" si="49"/>
        <v/>
      </c>
      <c r="N165" s="70" t="str">
        <f t="shared" ca="1" si="50"/>
        <v/>
      </c>
      <c r="O165" s="120" t="str">
        <f t="shared" ca="1" si="51"/>
        <v/>
      </c>
    </row>
    <row r="166" spans="1:15" ht="16.5" customHeight="1" thickBot="1">
      <c r="A166" s="105">
        <v>31</v>
      </c>
      <c r="B166" s="130" t="str">
        <f>HYPERLINK("#'" &amp; TEXT(투자전략!$G$1+30, "[$-ko-KR]yyyy.mm.dd") &amp; "'!A94:O118", TEXT(투자전략!$G$1+30, "[$-ko-KR]yyyy.mm.dd"))</f>
        <v>2023.01.31</v>
      </c>
      <c r="C166" s="119" t="str">
        <f t="shared" ca="1" si="39"/>
        <v/>
      </c>
      <c r="D166" s="123" t="str">
        <f t="shared" ca="1" si="40"/>
        <v/>
      </c>
      <c r="E166" s="72" t="str">
        <f t="shared" ca="1" si="41"/>
        <v/>
      </c>
      <c r="F166" s="121" t="str">
        <f t="shared" ca="1" si="42"/>
        <v/>
      </c>
      <c r="G166" s="123" t="str">
        <f t="shared" ca="1" si="43"/>
        <v/>
      </c>
      <c r="H166" s="72" t="str">
        <f t="shared" ca="1" si="44"/>
        <v/>
      </c>
      <c r="I166" s="121" t="str">
        <f t="shared" ca="1" si="45"/>
        <v/>
      </c>
      <c r="J166" s="123" t="str">
        <f t="shared" ca="1" si="46"/>
        <v/>
      </c>
      <c r="K166" s="72" t="str">
        <f t="shared" ca="1" si="47"/>
        <v/>
      </c>
      <c r="L166" s="121" t="str">
        <f t="shared" ca="1" si="48"/>
        <v/>
      </c>
      <c r="M166" s="123" t="str">
        <f t="shared" ca="1" si="49"/>
        <v/>
      </c>
      <c r="N166" s="72" t="str">
        <f t="shared" ca="1" si="50"/>
        <v/>
      </c>
      <c r="O166" s="121" t="str">
        <f t="shared" ca="1" si="51"/>
        <v/>
      </c>
    </row>
    <row r="167" spans="1:15" ht="16.5" customHeight="1" thickBot="1">
      <c r="A167" s="185" t="s">
        <v>270</v>
      </c>
      <c r="B167" s="187"/>
      <c r="C167" s="116" t="s">
        <v>265</v>
      </c>
      <c r="D167" s="9" t="s">
        <v>266</v>
      </c>
      <c r="E167" s="63" t="s">
        <v>267</v>
      </c>
      <c r="F167" s="64" t="s">
        <v>268</v>
      </c>
      <c r="G167" s="9" t="s">
        <v>266</v>
      </c>
      <c r="H167" s="63" t="s">
        <v>267</v>
      </c>
      <c r="I167" s="64" t="s">
        <v>268</v>
      </c>
      <c r="J167" s="9" t="s">
        <v>266</v>
      </c>
      <c r="K167" s="63" t="s">
        <v>267</v>
      </c>
      <c r="L167" s="64" t="s">
        <v>268</v>
      </c>
      <c r="M167" s="9" t="s">
        <v>266</v>
      </c>
      <c r="N167" s="63" t="s">
        <v>267</v>
      </c>
      <c r="O167" s="64" t="s">
        <v>268</v>
      </c>
    </row>
    <row r="168" spans="1:15" ht="16.5" customHeight="1" thickBot="1">
      <c r="A168" s="178"/>
      <c r="B168" s="180"/>
      <c r="C168" s="119">
        <f ca="1">SUM(C136:C166)</f>
        <v>24000000</v>
      </c>
      <c r="D168" s="123">
        <f ca="1">SUM(D136:D166)</f>
        <v>24159576.247937929</v>
      </c>
      <c r="E168" s="72">
        <f ca="1">IFERROR(F168 / (SUM($C136:$C166) / COUNT($C136:$C166)), 0)</f>
        <v>5.3192082645977343E-2</v>
      </c>
      <c r="F168" s="121">
        <f ca="1">SUM(F136:F166)</f>
        <v>159576.24793793203</v>
      </c>
      <c r="G168" s="123">
        <f ca="1">SUM(G136:G166)</f>
        <v>24149430.20260502</v>
      </c>
      <c r="H168" s="72">
        <f ca="1">IFERROR(I168 / (SUM($C136:$C166) / COUNT($C136:$C166)), 0)</f>
        <v>4.9810067535006497E-2</v>
      </c>
      <c r="I168" s="121">
        <f ca="1">SUM(I136:I166)</f>
        <v>149430.2026050195</v>
      </c>
      <c r="J168" s="123">
        <f ca="1">SUM(J136:J166)</f>
        <v>24160505.02636851</v>
      </c>
      <c r="K168" s="72">
        <f ca="1">IFERROR(L168 / (SUM($C136:$C166) / COUNT($C136:$C166)), 0)</f>
        <v>5.3501675456168768E-2</v>
      </c>
      <c r="L168" s="121">
        <f ca="1">SUM(L136:L166)</f>
        <v>160505.02636850631</v>
      </c>
      <c r="M168" s="123">
        <f ca="1">SUM(M136:M166)</f>
        <v>24045040.317968577</v>
      </c>
      <c r="N168" s="72">
        <f ca="1">IFERROR(O168 / (SUM($C136:$C166) / COUNT($C136:$C166)), 0)</f>
        <v>1.5013439322858379E-2</v>
      </c>
      <c r="O168" s="121">
        <f ca="1">SUM(O136:O166)</f>
        <v>45040.317968575138</v>
      </c>
    </row>
    <row r="170" spans="1:15" ht="16.5" customHeight="1" thickBot="1"/>
    <row r="171" spans="1:15" ht="16.5" customHeight="1" thickBot="1">
      <c r="A171" s="157" t="str">
        <f>TEXT(투자전략!$G$1, "[$-ko-KR]yyyy년 mm월 ") &amp; "[엽전코인] 전일대비 상승률 Bottom20 월말결산"</f>
        <v>2023년 01월 [엽전코인] 전일대비 상승률 Bottom20 월말결산</v>
      </c>
      <c r="B171" s="158"/>
      <c r="C171" s="158"/>
      <c r="D171" s="158"/>
      <c r="E171" s="158"/>
      <c r="F171" s="158"/>
      <c r="G171" s="158"/>
      <c r="H171" s="158"/>
      <c r="I171" s="158"/>
      <c r="J171" s="158"/>
      <c r="K171" s="158"/>
      <c r="L171" s="158"/>
      <c r="M171" s="158"/>
      <c r="N171" s="158"/>
      <c r="O171" s="159"/>
    </row>
    <row r="172" spans="1:15" ht="16.5" customHeight="1" thickBot="1">
      <c r="A172" s="201" t="s">
        <v>271</v>
      </c>
      <c r="B172" s="178" t="s">
        <v>269</v>
      </c>
      <c r="C172" s="180"/>
      <c r="D172" s="178" t="s">
        <v>261</v>
      </c>
      <c r="E172" s="179"/>
      <c r="F172" s="180"/>
      <c r="G172" s="178" t="s">
        <v>262</v>
      </c>
      <c r="H172" s="179"/>
      <c r="I172" s="180"/>
      <c r="J172" s="178" t="s">
        <v>263</v>
      </c>
      <c r="K172" s="179"/>
      <c r="L172" s="180"/>
      <c r="M172" s="178" t="s">
        <v>264</v>
      </c>
      <c r="N172" s="179"/>
      <c r="O172" s="180"/>
    </row>
    <row r="173" spans="1:15" ht="16.5" customHeight="1" thickBot="1">
      <c r="A173" s="194"/>
      <c r="B173" s="46" t="s">
        <v>259</v>
      </c>
      <c r="C173" s="46" t="s">
        <v>42</v>
      </c>
      <c r="D173" s="105" t="s">
        <v>260</v>
      </c>
      <c r="E173" s="106" t="s">
        <v>40</v>
      </c>
      <c r="F173" s="81" t="s">
        <v>41</v>
      </c>
      <c r="G173" s="105" t="s">
        <v>260</v>
      </c>
      <c r="H173" s="106" t="s">
        <v>40</v>
      </c>
      <c r="I173" s="81" t="s">
        <v>41</v>
      </c>
      <c r="J173" s="105" t="s">
        <v>260</v>
      </c>
      <c r="K173" s="106" t="s">
        <v>40</v>
      </c>
      <c r="L173" s="81" t="s">
        <v>41</v>
      </c>
      <c r="M173" s="105" t="s">
        <v>260</v>
      </c>
      <c r="N173" s="106" t="s">
        <v>40</v>
      </c>
      <c r="O173" s="81" t="s">
        <v>41</v>
      </c>
    </row>
    <row r="174" spans="1:15" ht="16.5" customHeight="1">
      <c r="A174" s="46">
        <v>1</v>
      </c>
      <c r="B174" s="132" t="str">
        <f>HYPERLINK("#'" &amp; TEXT(투자전략!$G$1+0, "[$-ko-KR]yyyy.mm.dd") &amp; "'!A121:O145", TEXT(투자전략!$G$1+0, "[$-ko-KR]yyyy.mm.dd"))</f>
        <v>2023.01.01</v>
      </c>
      <c r="C174" s="117">
        <f ca="1">IFERROR(COUNTA(INDIRECT($B174&amp;"!A125:A144")) * INDIRECT($B174&amp;"!B145"), "")</f>
        <v>3000000</v>
      </c>
      <c r="D174" s="125">
        <f ca="1">IFERROR($C174 * (1 + E174), "")</f>
        <v>3008843.3550232379</v>
      </c>
      <c r="E174" s="69">
        <f ca="1">IFERROR(INDIRECT($B174&amp;"!E145"), "")</f>
        <v>2.9477850077459481E-3</v>
      </c>
      <c r="F174" s="124">
        <f ca="1">IFERROR(INDIRECT($B174&amp;"!F145"), "")</f>
        <v>8843.3550232378439</v>
      </c>
      <c r="G174" s="125">
        <f ca="1">IFERROR($C174 * (1 + H174), "")</f>
        <v>3016438.0516490387</v>
      </c>
      <c r="H174" s="69">
        <f ca="1">IFERROR(INDIRECT($B174&amp;"!H145"), "")</f>
        <v>5.479350549679571E-3</v>
      </c>
      <c r="I174" s="124">
        <f ca="1">IFERROR(INDIRECT($B174&amp;"!I145"), "")</f>
        <v>16438.051649038713</v>
      </c>
      <c r="J174" s="125">
        <f ca="1">IFERROR($C174 * (1 + K174), "")</f>
        <v>3016438.0516490387</v>
      </c>
      <c r="K174" s="69">
        <f ca="1">IFERROR(INDIRECT($B174&amp;"!K145"), "")</f>
        <v>5.479350549679571E-3</v>
      </c>
      <c r="L174" s="124">
        <f ca="1">IFERROR(INDIRECT($B174&amp;"!L145"), "")</f>
        <v>16438.051649038713</v>
      </c>
      <c r="M174" s="125">
        <f ca="1">IFERROR($C174 * (1 + N174), "")</f>
        <v>3018947.6549203219</v>
      </c>
      <c r="N174" s="69">
        <f ca="1">IFERROR(INDIRECT($B174&amp;"!N145"), "")</f>
        <v>6.3158849734405026E-3</v>
      </c>
      <c r="O174" s="124">
        <f ca="1">IFERROR(INDIRECT($B174&amp;"!O145"), "")</f>
        <v>18947.654920321507</v>
      </c>
    </row>
    <row r="175" spans="1:15" ht="16.5" customHeight="1">
      <c r="A175" s="47">
        <v>2</v>
      </c>
      <c r="B175" s="133" t="str">
        <f>HYPERLINK("#'" &amp; TEXT(투자전략!$G$1+1, "[$-ko-KR]yyyy.mm.dd") &amp; "'!A121:O145", TEXT(투자전략!$G$1+1, "[$-ko-KR]yyyy.mm.dd"))</f>
        <v>2023.01.02</v>
      </c>
      <c r="C175" s="118">
        <f t="shared" ref="C175:C204" ca="1" si="52">IFERROR(COUNTA(INDIRECT($B175&amp;"!A125:A144")) * INDIRECT($B175&amp;"!B145"), "")</f>
        <v>3000000</v>
      </c>
      <c r="D175" s="122">
        <f t="shared" ref="D175:D204" ca="1" si="53">IFERROR($C175 * (1 + E175), "")</f>
        <v>3013136.7275521792</v>
      </c>
      <c r="E175" s="70">
        <f t="shared" ref="E175:E204" ca="1" si="54">IFERROR(INDIRECT($B175&amp;"!E145"), "")</f>
        <v>4.3789091840598189E-3</v>
      </c>
      <c r="F175" s="120">
        <f t="shared" ref="F175:F204" ca="1" si="55">IFERROR(INDIRECT($B175&amp;"!F145"), "")</f>
        <v>13136.727552179458</v>
      </c>
      <c r="G175" s="122">
        <f t="shared" ref="G175:G204" ca="1" si="56">IFERROR($C175 * (1 + H175), "")</f>
        <v>3034105.1361908722</v>
      </c>
      <c r="H175" s="70">
        <f t="shared" ref="H175:H204" ca="1" si="57">IFERROR(INDIRECT($B175&amp;"!H145"), "")</f>
        <v>1.1368378730290745E-2</v>
      </c>
      <c r="I175" s="120">
        <f t="shared" ref="I175:I204" ca="1" si="58">IFERROR(INDIRECT($B175&amp;"!I145"), "")</f>
        <v>34105.136190872239</v>
      </c>
      <c r="J175" s="122">
        <f t="shared" ref="J175:J204" ca="1" si="59">IFERROR($C175 * (1 + K175), "")</f>
        <v>3049117.7316249236</v>
      </c>
      <c r="K175" s="70">
        <f t="shared" ref="K175:K204" ca="1" si="60">IFERROR(INDIRECT($B175&amp;"!K145"), "")</f>
        <v>1.6372577208307926E-2</v>
      </c>
      <c r="L175" s="120">
        <f t="shared" ref="L175:L204" ca="1" si="61">IFERROR(INDIRECT($B175&amp;"!L145"), "")</f>
        <v>49117.731624923785</v>
      </c>
      <c r="M175" s="122">
        <f t="shared" ref="M175:M204" ca="1" si="62">IFERROR($C175 * (1 + N175), "")</f>
        <v>3048281.1638749982</v>
      </c>
      <c r="N175" s="70">
        <f t="shared" ref="N175:N204" ca="1" si="63">IFERROR(INDIRECT($B175&amp;"!N145"), "")</f>
        <v>1.6093721291666158E-2</v>
      </c>
      <c r="O175" s="120">
        <f t="shared" ref="O175:O204" ca="1" si="64">IFERROR(INDIRECT($B175&amp;"!O145"), "")</f>
        <v>48281.16387499847</v>
      </c>
    </row>
    <row r="176" spans="1:15" ht="16.5" customHeight="1">
      <c r="A176" s="47">
        <v>3</v>
      </c>
      <c r="B176" s="133" t="str">
        <f>HYPERLINK("#'" &amp; TEXT(투자전략!$G$1+2, "[$-ko-KR]yyyy.mm.dd") &amp; "'!A121:O145", TEXT(투자전략!$G$1+2, "[$-ko-KR]yyyy.mm.dd"))</f>
        <v>2023.01.03</v>
      </c>
      <c r="C176" s="118">
        <f t="shared" ca="1" si="52"/>
        <v>3000000</v>
      </c>
      <c r="D176" s="122">
        <f t="shared" ca="1" si="53"/>
        <v>3008020.6307825386</v>
      </c>
      <c r="E176" s="70">
        <f t="shared" ca="1" si="54"/>
        <v>2.6735435941796374E-3</v>
      </c>
      <c r="F176" s="120">
        <f t="shared" ca="1" si="55"/>
        <v>8020.6307825389076</v>
      </c>
      <c r="G176" s="122">
        <f t="shared" ca="1" si="56"/>
        <v>3020684.7136941757</v>
      </c>
      <c r="H176" s="70">
        <f t="shared" ca="1" si="57"/>
        <v>6.8949045647252096E-3</v>
      </c>
      <c r="I176" s="120">
        <f t="shared" ca="1" si="58"/>
        <v>20684.713694175629</v>
      </c>
      <c r="J176" s="122">
        <f t="shared" ca="1" si="59"/>
        <v>3019256.816680335</v>
      </c>
      <c r="K176" s="70">
        <f t="shared" ca="1" si="60"/>
        <v>6.4189388934449958E-3</v>
      </c>
      <c r="L176" s="120">
        <f t="shared" ca="1" si="61"/>
        <v>19256.816680334985</v>
      </c>
      <c r="M176" s="122">
        <f t="shared" ca="1" si="62"/>
        <v>3005535.1425375436</v>
      </c>
      <c r="N176" s="70">
        <f t="shared" ca="1" si="63"/>
        <v>1.8450475125145155E-3</v>
      </c>
      <c r="O176" s="120">
        <f t="shared" ca="1" si="64"/>
        <v>5535.1425375435483</v>
      </c>
    </row>
    <row r="177" spans="1:15" ht="16.5" customHeight="1">
      <c r="A177" s="47">
        <v>4</v>
      </c>
      <c r="B177" s="133" t="str">
        <f>HYPERLINK("#'" &amp; TEXT(투자전략!$G$1+3, "[$-ko-KR]yyyy.mm.dd") &amp; "'!A121:O145", TEXT(투자전략!$G$1+3, "[$-ko-KR]yyyy.mm.dd"))</f>
        <v>2023.01.04</v>
      </c>
      <c r="C177" s="118">
        <f t="shared" ca="1" si="52"/>
        <v>3000000</v>
      </c>
      <c r="D177" s="122">
        <f t="shared" ca="1" si="53"/>
        <v>3051365.750293442</v>
      </c>
      <c r="E177" s="70">
        <f t="shared" ca="1" si="54"/>
        <v>1.7121916764480806E-2</v>
      </c>
      <c r="F177" s="120">
        <f t="shared" ca="1" si="55"/>
        <v>51365.750293442419</v>
      </c>
      <c r="G177" s="122">
        <f t="shared" ca="1" si="56"/>
        <v>3042562.5386012285</v>
      </c>
      <c r="H177" s="70">
        <f t="shared" ca="1" si="57"/>
        <v>1.4187512867076021E-2</v>
      </c>
      <c r="I177" s="120">
        <f t="shared" ca="1" si="58"/>
        <v>42562.538601228065</v>
      </c>
      <c r="J177" s="122">
        <f t="shared" ca="1" si="59"/>
        <v>3047986.053413956</v>
      </c>
      <c r="K177" s="70">
        <f t="shared" ca="1" si="60"/>
        <v>1.5995351137985291E-2</v>
      </c>
      <c r="L177" s="120">
        <f t="shared" ca="1" si="61"/>
        <v>47986.05341395588</v>
      </c>
      <c r="M177" s="122">
        <f t="shared" ca="1" si="62"/>
        <v>3044289.393880419</v>
      </c>
      <c r="N177" s="70">
        <f t="shared" ca="1" si="63"/>
        <v>1.4763131293473054E-2</v>
      </c>
      <c r="O177" s="120">
        <f t="shared" ca="1" si="64"/>
        <v>44289.393880419149</v>
      </c>
    </row>
    <row r="178" spans="1:15" ht="16.5" customHeight="1">
      <c r="A178" s="47">
        <v>5</v>
      </c>
      <c r="B178" s="133" t="str">
        <f>HYPERLINK("#'" &amp; TEXT(투자전략!$G$1+4, "[$-ko-KR]yyyy.mm.dd") &amp; "'!A121:O145", TEXT(투자전략!$G$1+4, "[$-ko-KR]yyyy.mm.dd"))</f>
        <v>2023.01.05</v>
      </c>
      <c r="C178" s="118">
        <f t="shared" ca="1" si="52"/>
        <v>3000000</v>
      </c>
      <c r="D178" s="122">
        <f t="shared" ca="1" si="53"/>
        <v>3007394.2152689272</v>
      </c>
      <c r="E178" s="70">
        <f t="shared" ca="1" si="54"/>
        <v>2.4647384229755749E-3</v>
      </c>
      <c r="F178" s="120">
        <f t="shared" ca="1" si="55"/>
        <v>7394.2152689267259</v>
      </c>
      <c r="G178" s="122">
        <f t="shared" ca="1" si="56"/>
        <v>2964755.3745287252</v>
      </c>
      <c r="H178" s="70">
        <f t="shared" ca="1" si="57"/>
        <v>-1.174820849042486E-2</v>
      </c>
      <c r="I178" s="120">
        <f t="shared" ca="1" si="58"/>
        <v>-35244.625471274587</v>
      </c>
      <c r="J178" s="122">
        <f t="shared" ca="1" si="59"/>
        <v>3007611.5126616932</v>
      </c>
      <c r="K178" s="70">
        <f t="shared" ca="1" si="60"/>
        <v>2.537170887231086E-3</v>
      </c>
      <c r="L178" s="120">
        <f t="shared" ca="1" si="61"/>
        <v>7611.5126616932512</v>
      </c>
      <c r="M178" s="122">
        <f t="shared" ca="1" si="62"/>
        <v>2982717.7821641709</v>
      </c>
      <c r="N178" s="70">
        <f t="shared" ca="1" si="63"/>
        <v>-5.7607392786095972E-3</v>
      </c>
      <c r="O178" s="120">
        <f t="shared" ca="1" si="64"/>
        <v>-17282.217835828793</v>
      </c>
    </row>
    <row r="179" spans="1:15" ht="16.5" customHeight="1">
      <c r="A179" s="47">
        <v>6</v>
      </c>
      <c r="B179" s="133" t="str">
        <f>HYPERLINK("#'" &amp; TEXT(투자전략!$G$1+5, "[$-ko-KR]yyyy.mm.dd") &amp; "'!A121:O145", TEXT(투자전략!$G$1+5, "[$-ko-KR]yyyy.mm.dd"))</f>
        <v>2023.01.06</v>
      </c>
      <c r="C179" s="118">
        <f t="shared" ca="1" si="52"/>
        <v>3000000</v>
      </c>
      <c r="D179" s="122">
        <f t="shared" ca="1" si="53"/>
        <v>2964323.04659739</v>
      </c>
      <c r="E179" s="70">
        <f t="shared" ca="1" si="54"/>
        <v>-1.1892317800870073E-2</v>
      </c>
      <c r="F179" s="120">
        <f t="shared" ca="1" si="55"/>
        <v>-35676.953402610226</v>
      </c>
      <c r="G179" s="122">
        <f t="shared" ca="1" si="56"/>
        <v>2954937.708025387</v>
      </c>
      <c r="H179" s="70">
        <f t="shared" ca="1" si="57"/>
        <v>-1.5020763991537747E-2</v>
      </c>
      <c r="I179" s="120">
        <f t="shared" ca="1" si="58"/>
        <v>-45062.291974613232</v>
      </c>
      <c r="J179" s="122">
        <f t="shared" ca="1" si="59"/>
        <v>2938531.975590494</v>
      </c>
      <c r="K179" s="70">
        <f t="shared" ca="1" si="60"/>
        <v>-2.0489341469835332E-2</v>
      </c>
      <c r="L179" s="120">
        <f t="shared" ca="1" si="61"/>
        <v>-61468.024409506004</v>
      </c>
      <c r="M179" s="122">
        <f t="shared" ca="1" si="62"/>
        <v>2945272.7325196457</v>
      </c>
      <c r="N179" s="70">
        <f t="shared" ca="1" si="63"/>
        <v>-1.8242422493451461E-2</v>
      </c>
      <c r="O179" s="120">
        <f t="shared" ca="1" si="64"/>
        <v>-54727.267480354378</v>
      </c>
    </row>
    <row r="180" spans="1:15" ht="16.5" customHeight="1" thickBot="1">
      <c r="A180" s="48">
        <v>7</v>
      </c>
      <c r="B180" s="134" t="str">
        <f>HYPERLINK("#'" &amp; TEXT(투자전략!$G$1+6, "[$-ko-KR]yyyy.mm.dd") &amp; "'!A121:O145", TEXT(투자전략!$G$1+6, "[$-ko-KR]yyyy.mm.dd"))</f>
        <v>2023.01.07</v>
      </c>
      <c r="C180" s="118">
        <f t="shared" ca="1" si="52"/>
        <v>3000000</v>
      </c>
      <c r="D180" s="122">
        <f t="shared" ca="1" si="53"/>
        <v>3091877.356972578</v>
      </c>
      <c r="E180" s="70">
        <f t="shared" ca="1" si="54"/>
        <v>3.0625785657526126E-2</v>
      </c>
      <c r="F180" s="120">
        <f t="shared" ca="1" si="55"/>
        <v>91877.356972578375</v>
      </c>
      <c r="G180" s="122">
        <f t="shared" ca="1" si="56"/>
        <v>3094537.8126980877</v>
      </c>
      <c r="H180" s="70">
        <f t="shared" ca="1" si="57"/>
        <v>3.1512604232695876E-2</v>
      </c>
      <c r="I180" s="120">
        <f t="shared" ca="1" si="58"/>
        <v>94537.812698087626</v>
      </c>
      <c r="J180" s="122">
        <f t="shared" ca="1" si="59"/>
        <v>3112586.5561072645</v>
      </c>
      <c r="K180" s="70">
        <f t="shared" ca="1" si="60"/>
        <v>3.7528852035754741E-2</v>
      </c>
      <c r="L180" s="120">
        <f t="shared" ca="1" si="61"/>
        <v>112586.55610726422</v>
      </c>
      <c r="M180" s="122">
        <f t="shared" ca="1" si="62"/>
        <v>3000000</v>
      </c>
      <c r="N180" s="70">
        <f t="shared" ca="1" si="63"/>
        <v>0</v>
      </c>
      <c r="O180" s="120">
        <f t="shared" ca="1" si="64"/>
        <v>0</v>
      </c>
    </row>
    <row r="181" spans="1:15" ht="16.5" customHeight="1">
      <c r="A181" s="46">
        <v>8</v>
      </c>
      <c r="B181" s="132" t="str">
        <f>HYPERLINK("#'" &amp; TEXT(투자전략!$G$1+7, "[$-ko-KR]yyyy.mm.dd") &amp; "'!A121:O145", TEXT(투자전략!$G$1+7, "[$-ko-KR]yyyy.mm.dd"))</f>
        <v>2023.01.08</v>
      </c>
      <c r="C181" s="117">
        <f t="shared" ca="1" si="52"/>
        <v>3000000</v>
      </c>
      <c r="D181" s="125">
        <f t="shared" ca="1" si="53"/>
        <v>3000000</v>
      </c>
      <c r="E181" s="69">
        <f t="shared" ca="1" si="54"/>
        <v>0</v>
      </c>
      <c r="F181" s="124">
        <f t="shared" ca="1" si="55"/>
        <v>0</v>
      </c>
      <c r="G181" s="125">
        <f t="shared" ca="1" si="56"/>
        <v>3000000</v>
      </c>
      <c r="H181" s="69">
        <f t="shared" ca="1" si="57"/>
        <v>0</v>
      </c>
      <c r="I181" s="124">
        <f t="shared" ca="1" si="58"/>
        <v>0</v>
      </c>
      <c r="J181" s="125">
        <f t="shared" ca="1" si="59"/>
        <v>3000000</v>
      </c>
      <c r="K181" s="69">
        <f t="shared" ca="1" si="60"/>
        <v>0</v>
      </c>
      <c r="L181" s="124">
        <f t="shared" ca="1" si="61"/>
        <v>0</v>
      </c>
      <c r="M181" s="125">
        <f t="shared" ca="1" si="62"/>
        <v>3000000</v>
      </c>
      <c r="N181" s="69">
        <f t="shared" ca="1" si="63"/>
        <v>0</v>
      </c>
      <c r="O181" s="124">
        <f t="shared" ca="1" si="64"/>
        <v>0</v>
      </c>
    </row>
    <row r="182" spans="1:15" ht="16.5" customHeight="1">
      <c r="A182" s="47">
        <v>9</v>
      </c>
      <c r="B182" s="133" t="str">
        <f>HYPERLINK("#'" &amp; TEXT(투자전략!$G$1+8, "[$-ko-KR]yyyy.mm.dd") &amp; "'!A121:O145", TEXT(투자전략!$G$1+8, "[$-ko-KR]yyyy.mm.dd"))</f>
        <v>2023.01.09</v>
      </c>
      <c r="C182" s="118" t="str">
        <f t="shared" ca="1" si="52"/>
        <v/>
      </c>
      <c r="D182" s="122" t="str">
        <f t="shared" ca="1" si="53"/>
        <v/>
      </c>
      <c r="E182" s="70" t="str">
        <f t="shared" ca="1" si="54"/>
        <v/>
      </c>
      <c r="F182" s="120" t="str">
        <f t="shared" ca="1" si="55"/>
        <v/>
      </c>
      <c r="G182" s="122" t="str">
        <f t="shared" ca="1" si="56"/>
        <v/>
      </c>
      <c r="H182" s="70" t="str">
        <f t="shared" ca="1" si="57"/>
        <v/>
      </c>
      <c r="I182" s="120" t="str">
        <f t="shared" ca="1" si="58"/>
        <v/>
      </c>
      <c r="J182" s="122" t="str">
        <f t="shared" ca="1" si="59"/>
        <v/>
      </c>
      <c r="K182" s="70" t="str">
        <f t="shared" ca="1" si="60"/>
        <v/>
      </c>
      <c r="L182" s="120" t="str">
        <f t="shared" ca="1" si="61"/>
        <v/>
      </c>
      <c r="M182" s="122" t="str">
        <f t="shared" ca="1" si="62"/>
        <v/>
      </c>
      <c r="N182" s="70" t="str">
        <f t="shared" ca="1" si="63"/>
        <v/>
      </c>
      <c r="O182" s="120" t="str">
        <f t="shared" ca="1" si="64"/>
        <v/>
      </c>
    </row>
    <row r="183" spans="1:15" ht="16.5" customHeight="1">
      <c r="A183" s="47">
        <v>10</v>
      </c>
      <c r="B183" s="133" t="str">
        <f>HYPERLINK("#'" &amp; TEXT(투자전략!$G$1+9, "[$-ko-KR]yyyy.mm.dd") &amp; "'!A121:O145", TEXT(투자전략!$G$1+9, "[$-ko-KR]yyyy.mm.dd"))</f>
        <v>2023.01.10</v>
      </c>
      <c r="C183" s="118" t="str">
        <f t="shared" ca="1" si="52"/>
        <v/>
      </c>
      <c r="D183" s="122" t="str">
        <f t="shared" ca="1" si="53"/>
        <v/>
      </c>
      <c r="E183" s="70" t="str">
        <f t="shared" ca="1" si="54"/>
        <v/>
      </c>
      <c r="F183" s="120" t="str">
        <f t="shared" ca="1" si="55"/>
        <v/>
      </c>
      <c r="G183" s="122" t="str">
        <f t="shared" ca="1" si="56"/>
        <v/>
      </c>
      <c r="H183" s="70" t="str">
        <f t="shared" ca="1" si="57"/>
        <v/>
      </c>
      <c r="I183" s="120" t="str">
        <f t="shared" ca="1" si="58"/>
        <v/>
      </c>
      <c r="J183" s="122" t="str">
        <f t="shared" ca="1" si="59"/>
        <v/>
      </c>
      <c r="K183" s="70" t="str">
        <f t="shared" ca="1" si="60"/>
        <v/>
      </c>
      <c r="L183" s="120" t="str">
        <f t="shared" ca="1" si="61"/>
        <v/>
      </c>
      <c r="M183" s="122" t="str">
        <f t="shared" ca="1" si="62"/>
        <v/>
      </c>
      <c r="N183" s="70" t="str">
        <f t="shared" ca="1" si="63"/>
        <v/>
      </c>
      <c r="O183" s="120" t="str">
        <f t="shared" ca="1" si="64"/>
        <v/>
      </c>
    </row>
    <row r="184" spans="1:15" ht="16.5" customHeight="1">
      <c r="A184" s="47">
        <v>11</v>
      </c>
      <c r="B184" s="133" t="str">
        <f>HYPERLINK("#'" &amp; TEXT(투자전략!$G$1+10, "[$-ko-KR]yyyy.mm.dd") &amp; "'!A121:O145", TEXT(투자전략!$G$1+10, "[$-ko-KR]yyyy.mm.dd"))</f>
        <v>2023.01.11</v>
      </c>
      <c r="C184" s="118" t="str">
        <f t="shared" ca="1" si="52"/>
        <v/>
      </c>
      <c r="D184" s="122" t="str">
        <f t="shared" ca="1" si="53"/>
        <v/>
      </c>
      <c r="E184" s="70" t="str">
        <f t="shared" ca="1" si="54"/>
        <v/>
      </c>
      <c r="F184" s="120" t="str">
        <f t="shared" ca="1" si="55"/>
        <v/>
      </c>
      <c r="G184" s="122" t="str">
        <f t="shared" ca="1" si="56"/>
        <v/>
      </c>
      <c r="H184" s="70" t="str">
        <f t="shared" ca="1" si="57"/>
        <v/>
      </c>
      <c r="I184" s="120" t="str">
        <f t="shared" ca="1" si="58"/>
        <v/>
      </c>
      <c r="J184" s="122" t="str">
        <f t="shared" ca="1" si="59"/>
        <v/>
      </c>
      <c r="K184" s="70" t="str">
        <f t="shared" ca="1" si="60"/>
        <v/>
      </c>
      <c r="L184" s="120" t="str">
        <f t="shared" ca="1" si="61"/>
        <v/>
      </c>
      <c r="M184" s="122" t="str">
        <f t="shared" ca="1" si="62"/>
        <v/>
      </c>
      <c r="N184" s="70" t="str">
        <f t="shared" ca="1" si="63"/>
        <v/>
      </c>
      <c r="O184" s="120" t="str">
        <f t="shared" ca="1" si="64"/>
        <v/>
      </c>
    </row>
    <row r="185" spans="1:15" ht="16.5" customHeight="1">
      <c r="A185" s="47">
        <v>12</v>
      </c>
      <c r="B185" s="133" t="str">
        <f>HYPERLINK("#'" &amp; TEXT(투자전략!$G$1+11, "[$-ko-KR]yyyy.mm.dd") &amp; "'!A121:O145", TEXT(투자전략!$G$1+11, "[$-ko-KR]yyyy.mm.dd"))</f>
        <v>2023.01.12</v>
      </c>
      <c r="C185" s="118" t="str">
        <f t="shared" ca="1" si="52"/>
        <v/>
      </c>
      <c r="D185" s="122" t="str">
        <f t="shared" ca="1" si="53"/>
        <v/>
      </c>
      <c r="E185" s="70" t="str">
        <f t="shared" ca="1" si="54"/>
        <v/>
      </c>
      <c r="F185" s="120" t="str">
        <f t="shared" ca="1" si="55"/>
        <v/>
      </c>
      <c r="G185" s="122" t="str">
        <f t="shared" ca="1" si="56"/>
        <v/>
      </c>
      <c r="H185" s="70" t="str">
        <f t="shared" ca="1" si="57"/>
        <v/>
      </c>
      <c r="I185" s="120" t="str">
        <f t="shared" ca="1" si="58"/>
        <v/>
      </c>
      <c r="J185" s="122" t="str">
        <f t="shared" ca="1" si="59"/>
        <v/>
      </c>
      <c r="K185" s="70" t="str">
        <f t="shared" ca="1" si="60"/>
        <v/>
      </c>
      <c r="L185" s="120" t="str">
        <f t="shared" ca="1" si="61"/>
        <v/>
      </c>
      <c r="M185" s="122" t="str">
        <f t="shared" ca="1" si="62"/>
        <v/>
      </c>
      <c r="N185" s="70" t="str">
        <f t="shared" ca="1" si="63"/>
        <v/>
      </c>
      <c r="O185" s="120" t="str">
        <f t="shared" ca="1" si="64"/>
        <v/>
      </c>
    </row>
    <row r="186" spans="1:15" ht="16.5" customHeight="1">
      <c r="A186" s="47">
        <v>13</v>
      </c>
      <c r="B186" s="133" t="str">
        <f>HYPERLINK("#'" &amp; TEXT(투자전략!$G$1+12, "[$-ko-KR]yyyy.mm.dd") &amp; "'!A121:O145", TEXT(투자전략!$G$1+12, "[$-ko-KR]yyyy.mm.dd"))</f>
        <v>2023.01.13</v>
      </c>
      <c r="C186" s="118" t="str">
        <f t="shared" ca="1" si="52"/>
        <v/>
      </c>
      <c r="D186" s="122" t="str">
        <f t="shared" ca="1" si="53"/>
        <v/>
      </c>
      <c r="E186" s="70" t="str">
        <f t="shared" ca="1" si="54"/>
        <v/>
      </c>
      <c r="F186" s="120" t="str">
        <f t="shared" ca="1" si="55"/>
        <v/>
      </c>
      <c r="G186" s="122" t="str">
        <f t="shared" ca="1" si="56"/>
        <v/>
      </c>
      <c r="H186" s="70" t="str">
        <f t="shared" ca="1" si="57"/>
        <v/>
      </c>
      <c r="I186" s="120" t="str">
        <f t="shared" ca="1" si="58"/>
        <v/>
      </c>
      <c r="J186" s="122" t="str">
        <f t="shared" ca="1" si="59"/>
        <v/>
      </c>
      <c r="K186" s="70" t="str">
        <f t="shared" ca="1" si="60"/>
        <v/>
      </c>
      <c r="L186" s="120" t="str">
        <f t="shared" ca="1" si="61"/>
        <v/>
      </c>
      <c r="M186" s="122" t="str">
        <f t="shared" ca="1" si="62"/>
        <v/>
      </c>
      <c r="N186" s="70" t="str">
        <f t="shared" ca="1" si="63"/>
        <v/>
      </c>
      <c r="O186" s="120" t="str">
        <f t="shared" ca="1" si="64"/>
        <v/>
      </c>
    </row>
    <row r="187" spans="1:15" ht="16.5" customHeight="1" thickBot="1">
      <c r="A187" s="48">
        <v>14</v>
      </c>
      <c r="B187" s="134" t="str">
        <f>HYPERLINK("#'" &amp; TEXT(투자전략!$G$1+13, "[$-ko-KR]yyyy.mm.dd") &amp; "'!A121:O145", TEXT(투자전략!$G$1+13, "[$-ko-KR]yyyy.mm.dd"))</f>
        <v>2023.01.14</v>
      </c>
      <c r="C187" s="119" t="str">
        <f t="shared" ca="1" si="52"/>
        <v/>
      </c>
      <c r="D187" s="123" t="str">
        <f t="shared" ca="1" si="53"/>
        <v/>
      </c>
      <c r="E187" s="72" t="str">
        <f t="shared" ca="1" si="54"/>
        <v/>
      </c>
      <c r="F187" s="121" t="str">
        <f t="shared" ca="1" si="55"/>
        <v/>
      </c>
      <c r="G187" s="123" t="str">
        <f t="shared" ca="1" si="56"/>
        <v/>
      </c>
      <c r="H187" s="72" t="str">
        <f t="shared" ca="1" si="57"/>
        <v/>
      </c>
      <c r="I187" s="121" t="str">
        <f t="shared" ca="1" si="58"/>
        <v/>
      </c>
      <c r="J187" s="123" t="str">
        <f t="shared" ca="1" si="59"/>
        <v/>
      </c>
      <c r="K187" s="72" t="str">
        <f t="shared" ca="1" si="60"/>
        <v/>
      </c>
      <c r="L187" s="121" t="str">
        <f t="shared" ca="1" si="61"/>
        <v/>
      </c>
      <c r="M187" s="123" t="str">
        <f t="shared" ca="1" si="62"/>
        <v/>
      </c>
      <c r="N187" s="72" t="str">
        <f t="shared" ca="1" si="63"/>
        <v/>
      </c>
      <c r="O187" s="121" t="str">
        <f t="shared" ca="1" si="64"/>
        <v/>
      </c>
    </row>
    <row r="188" spans="1:15" ht="16.5" customHeight="1">
      <c r="A188" s="46">
        <v>15</v>
      </c>
      <c r="B188" s="132" t="str">
        <f>HYPERLINK("#'" &amp; TEXT(투자전략!$G$1+14, "[$-ko-KR]yyyy.mm.dd") &amp; "'!A121:O145", TEXT(투자전략!$G$1+14, "[$-ko-KR]yyyy.mm.dd"))</f>
        <v>2023.01.15</v>
      </c>
      <c r="C188" s="118" t="str">
        <f t="shared" ca="1" si="52"/>
        <v/>
      </c>
      <c r="D188" s="122" t="str">
        <f t="shared" ca="1" si="53"/>
        <v/>
      </c>
      <c r="E188" s="70" t="str">
        <f t="shared" ca="1" si="54"/>
        <v/>
      </c>
      <c r="F188" s="120" t="str">
        <f t="shared" ca="1" si="55"/>
        <v/>
      </c>
      <c r="G188" s="122" t="str">
        <f t="shared" ca="1" si="56"/>
        <v/>
      </c>
      <c r="H188" s="70" t="str">
        <f t="shared" ca="1" si="57"/>
        <v/>
      </c>
      <c r="I188" s="120" t="str">
        <f t="shared" ca="1" si="58"/>
        <v/>
      </c>
      <c r="J188" s="122" t="str">
        <f t="shared" ca="1" si="59"/>
        <v/>
      </c>
      <c r="K188" s="70" t="str">
        <f t="shared" ca="1" si="60"/>
        <v/>
      </c>
      <c r="L188" s="120" t="str">
        <f t="shared" ca="1" si="61"/>
        <v/>
      </c>
      <c r="M188" s="122" t="str">
        <f t="shared" ca="1" si="62"/>
        <v/>
      </c>
      <c r="N188" s="70" t="str">
        <f t="shared" ca="1" si="63"/>
        <v/>
      </c>
      <c r="O188" s="120" t="str">
        <f t="shared" ca="1" si="64"/>
        <v/>
      </c>
    </row>
    <row r="189" spans="1:15" ht="16.5" customHeight="1">
      <c r="A189" s="47">
        <v>16</v>
      </c>
      <c r="B189" s="133" t="str">
        <f>HYPERLINK("#'" &amp; TEXT(투자전략!$G$1+15, "[$-ko-KR]yyyy.mm.dd") &amp; "'!A121:O145", TEXT(투자전략!$G$1+15, "[$-ko-KR]yyyy.mm.dd"))</f>
        <v>2023.01.16</v>
      </c>
      <c r="C189" s="118" t="str">
        <f t="shared" ca="1" si="52"/>
        <v/>
      </c>
      <c r="D189" s="122" t="str">
        <f t="shared" ca="1" si="53"/>
        <v/>
      </c>
      <c r="E189" s="70" t="str">
        <f t="shared" ca="1" si="54"/>
        <v/>
      </c>
      <c r="F189" s="120" t="str">
        <f t="shared" ca="1" si="55"/>
        <v/>
      </c>
      <c r="G189" s="122" t="str">
        <f t="shared" ca="1" si="56"/>
        <v/>
      </c>
      <c r="H189" s="70" t="str">
        <f t="shared" ca="1" si="57"/>
        <v/>
      </c>
      <c r="I189" s="120" t="str">
        <f t="shared" ca="1" si="58"/>
        <v/>
      </c>
      <c r="J189" s="122" t="str">
        <f t="shared" ca="1" si="59"/>
        <v/>
      </c>
      <c r="K189" s="70" t="str">
        <f t="shared" ca="1" si="60"/>
        <v/>
      </c>
      <c r="L189" s="120" t="str">
        <f t="shared" ca="1" si="61"/>
        <v/>
      </c>
      <c r="M189" s="122" t="str">
        <f t="shared" ca="1" si="62"/>
        <v/>
      </c>
      <c r="N189" s="70" t="str">
        <f t="shared" ca="1" si="63"/>
        <v/>
      </c>
      <c r="O189" s="120" t="str">
        <f t="shared" ca="1" si="64"/>
        <v/>
      </c>
    </row>
    <row r="190" spans="1:15" ht="16.5" customHeight="1">
      <c r="A190" s="47">
        <v>17</v>
      </c>
      <c r="B190" s="133" t="str">
        <f>HYPERLINK("#'" &amp; TEXT(투자전략!$G$1+16, "[$-ko-KR]yyyy.mm.dd") &amp; "'!A121:O145", TEXT(투자전략!$G$1+16, "[$-ko-KR]yyyy.mm.dd"))</f>
        <v>2023.01.17</v>
      </c>
      <c r="C190" s="118" t="str">
        <f t="shared" ca="1" si="52"/>
        <v/>
      </c>
      <c r="D190" s="122" t="str">
        <f t="shared" ca="1" si="53"/>
        <v/>
      </c>
      <c r="E190" s="70" t="str">
        <f t="shared" ca="1" si="54"/>
        <v/>
      </c>
      <c r="F190" s="120" t="str">
        <f t="shared" ca="1" si="55"/>
        <v/>
      </c>
      <c r="G190" s="122" t="str">
        <f t="shared" ca="1" si="56"/>
        <v/>
      </c>
      <c r="H190" s="70" t="str">
        <f t="shared" ca="1" si="57"/>
        <v/>
      </c>
      <c r="I190" s="120" t="str">
        <f t="shared" ca="1" si="58"/>
        <v/>
      </c>
      <c r="J190" s="122" t="str">
        <f t="shared" ca="1" si="59"/>
        <v/>
      </c>
      <c r="K190" s="70" t="str">
        <f t="shared" ca="1" si="60"/>
        <v/>
      </c>
      <c r="L190" s="120" t="str">
        <f t="shared" ca="1" si="61"/>
        <v/>
      </c>
      <c r="M190" s="122" t="str">
        <f t="shared" ca="1" si="62"/>
        <v/>
      </c>
      <c r="N190" s="70" t="str">
        <f t="shared" ca="1" si="63"/>
        <v/>
      </c>
      <c r="O190" s="120" t="str">
        <f t="shared" ca="1" si="64"/>
        <v/>
      </c>
    </row>
    <row r="191" spans="1:15" ht="16.5" customHeight="1">
      <c r="A191" s="47">
        <v>18</v>
      </c>
      <c r="B191" s="133" t="str">
        <f>HYPERLINK("#'" &amp; TEXT(투자전략!$G$1+17, "[$-ko-KR]yyyy.mm.dd") &amp; "'!A121:O145", TEXT(투자전략!$G$1+17, "[$-ko-KR]yyyy.mm.dd"))</f>
        <v>2023.01.18</v>
      </c>
      <c r="C191" s="118" t="str">
        <f t="shared" ca="1" si="52"/>
        <v/>
      </c>
      <c r="D191" s="122" t="str">
        <f t="shared" ca="1" si="53"/>
        <v/>
      </c>
      <c r="E191" s="70" t="str">
        <f t="shared" ca="1" si="54"/>
        <v/>
      </c>
      <c r="F191" s="120" t="str">
        <f t="shared" ca="1" si="55"/>
        <v/>
      </c>
      <c r="G191" s="122" t="str">
        <f t="shared" ca="1" si="56"/>
        <v/>
      </c>
      <c r="H191" s="70" t="str">
        <f t="shared" ca="1" si="57"/>
        <v/>
      </c>
      <c r="I191" s="120" t="str">
        <f t="shared" ca="1" si="58"/>
        <v/>
      </c>
      <c r="J191" s="122" t="str">
        <f t="shared" ca="1" si="59"/>
        <v/>
      </c>
      <c r="K191" s="70" t="str">
        <f t="shared" ca="1" si="60"/>
        <v/>
      </c>
      <c r="L191" s="120" t="str">
        <f t="shared" ca="1" si="61"/>
        <v/>
      </c>
      <c r="M191" s="122" t="str">
        <f t="shared" ca="1" si="62"/>
        <v/>
      </c>
      <c r="N191" s="70" t="str">
        <f t="shared" ca="1" si="63"/>
        <v/>
      </c>
      <c r="O191" s="120" t="str">
        <f t="shared" ca="1" si="64"/>
        <v/>
      </c>
    </row>
    <row r="192" spans="1:15" ht="16.5" customHeight="1">
      <c r="A192" s="47">
        <v>19</v>
      </c>
      <c r="B192" s="133" t="str">
        <f>HYPERLINK("#'" &amp; TEXT(투자전략!$G$1+18, "[$-ko-KR]yyyy.mm.dd") &amp; "'!A121:O145", TEXT(투자전략!$G$1+18, "[$-ko-KR]yyyy.mm.dd"))</f>
        <v>2023.01.19</v>
      </c>
      <c r="C192" s="118" t="str">
        <f t="shared" ca="1" si="52"/>
        <v/>
      </c>
      <c r="D192" s="122" t="str">
        <f t="shared" ca="1" si="53"/>
        <v/>
      </c>
      <c r="E192" s="70" t="str">
        <f t="shared" ca="1" si="54"/>
        <v/>
      </c>
      <c r="F192" s="120" t="str">
        <f t="shared" ca="1" si="55"/>
        <v/>
      </c>
      <c r="G192" s="122" t="str">
        <f t="shared" ca="1" si="56"/>
        <v/>
      </c>
      <c r="H192" s="70" t="str">
        <f t="shared" ca="1" si="57"/>
        <v/>
      </c>
      <c r="I192" s="120" t="str">
        <f t="shared" ca="1" si="58"/>
        <v/>
      </c>
      <c r="J192" s="122" t="str">
        <f t="shared" ca="1" si="59"/>
        <v/>
      </c>
      <c r="K192" s="70" t="str">
        <f t="shared" ca="1" si="60"/>
        <v/>
      </c>
      <c r="L192" s="120" t="str">
        <f t="shared" ca="1" si="61"/>
        <v/>
      </c>
      <c r="M192" s="122" t="str">
        <f t="shared" ca="1" si="62"/>
        <v/>
      </c>
      <c r="N192" s="70" t="str">
        <f t="shared" ca="1" si="63"/>
        <v/>
      </c>
      <c r="O192" s="120" t="str">
        <f t="shared" ca="1" si="64"/>
        <v/>
      </c>
    </row>
    <row r="193" spans="1:15" ht="16.5" customHeight="1">
      <c r="A193" s="47">
        <v>20</v>
      </c>
      <c r="B193" s="133" t="str">
        <f>HYPERLINK("#'" &amp; TEXT(투자전략!$G$1+19, "[$-ko-KR]yyyy.mm.dd") &amp; "'!A121:O145", TEXT(투자전략!$G$1+19, "[$-ko-KR]yyyy.mm.dd"))</f>
        <v>2023.01.20</v>
      </c>
      <c r="C193" s="118" t="str">
        <f t="shared" ca="1" si="52"/>
        <v/>
      </c>
      <c r="D193" s="122" t="str">
        <f t="shared" ca="1" si="53"/>
        <v/>
      </c>
      <c r="E193" s="70" t="str">
        <f t="shared" ca="1" si="54"/>
        <v/>
      </c>
      <c r="F193" s="120" t="str">
        <f t="shared" ca="1" si="55"/>
        <v/>
      </c>
      <c r="G193" s="122" t="str">
        <f t="shared" ca="1" si="56"/>
        <v/>
      </c>
      <c r="H193" s="70" t="str">
        <f t="shared" ca="1" si="57"/>
        <v/>
      </c>
      <c r="I193" s="120" t="str">
        <f t="shared" ca="1" si="58"/>
        <v/>
      </c>
      <c r="J193" s="122" t="str">
        <f t="shared" ca="1" si="59"/>
        <v/>
      </c>
      <c r="K193" s="70" t="str">
        <f t="shared" ca="1" si="60"/>
        <v/>
      </c>
      <c r="L193" s="120" t="str">
        <f t="shared" ca="1" si="61"/>
        <v/>
      </c>
      <c r="M193" s="122" t="str">
        <f t="shared" ca="1" si="62"/>
        <v/>
      </c>
      <c r="N193" s="70" t="str">
        <f t="shared" ca="1" si="63"/>
        <v/>
      </c>
      <c r="O193" s="120" t="str">
        <f t="shared" ca="1" si="64"/>
        <v/>
      </c>
    </row>
    <row r="194" spans="1:15" ht="16.5" customHeight="1" thickBot="1">
      <c r="A194" s="48">
        <v>21</v>
      </c>
      <c r="B194" s="134" t="str">
        <f>HYPERLINK("#'" &amp; TEXT(투자전략!$G$1+20, "[$-ko-KR]yyyy.mm.dd") &amp; "'!A121:O145", TEXT(투자전략!$G$1+20, "[$-ko-KR]yyyy.mm.dd"))</f>
        <v>2023.01.21</v>
      </c>
      <c r="C194" s="118" t="str">
        <f t="shared" ca="1" si="52"/>
        <v/>
      </c>
      <c r="D194" s="122" t="str">
        <f t="shared" ca="1" si="53"/>
        <v/>
      </c>
      <c r="E194" s="70" t="str">
        <f t="shared" ca="1" si="54"/>
        <v/>
      </c>
      <c r="F194" s="120" t="str">
        <f t="shared" ca="1" si="55"/>
        <v/>
      </c>
      <c r="G194" s="122" t="str">
        <f t="shared" ca="1" si="56"/>
        <v/>
      </c>
      <c r="H194" s="70" t="str">
        <f t="shared" ca="1" si="57"/>
        <v/>
      </c>
      <c r="I194" s="120" t="str">
        <f t="shared" ca="1" si="58"/>
        <v/>
      </c>
      <c r="J194" s="122" t="str">
        <f t="shared" ca="1" si="59"/>
        <v/>
      </c>
      <c r="K194" s="70" t="str">
        <f t="shared" ca="1" si="60"/>
        <v/>
      </c>
      <c r="L194" s="120" t="str">
        <f t="shared" ca="1" si="61"/>
        <v/>
      </c>
      <c r="M194" s="122" t="str">
        <f t="shared" ca="1" si="62"/>
        <v/>
      </c>
      <c r="N194" s="70" t="str">
        <f t="shared" ca="1" si="63"/>
        <v/>
      </c>
      <c r="O194" s="120" t="str">
        <f t="shared" ca="1" si="64"/>
        <v/>
      </c>
    </row>
    <row r="195" spans="1:15" ht="16.5" customHeight="1">
      <c r="A195" s="46">
        <v>22</v>
      </c>
      <c r="B195" s="132" t="str">
        <f>HYPERLINK("#'" &amp; TEXT(투자전략!$G$1+21, "[$-ko-KR]yyyy.mm.dd") &amp; "'!A121:O145", TEXT(투자전략!$G$1+21, "[$-ko-KR]yyyy.mm.dd"))</f>
        <v>2023.01.22</v>
      </c>
      <c r="C195" s="117" t="str">
        <f t="shared" ca="1" si="52"/>
        <v/>
      </c>
      <c r="D195" s="125" t="str">
        <f t="shared" ca="1" si="53"/>
        <v/>
      </c>
      <c r="E195" s="69" t="str">
        <f t="shared" ca="1" si="54"/>
        <v/>
      </c>
      <c r="F195" s="124" t="str">
        <f t="shared" ca="1" si="55"/>
        <v/>
      </c>
      <c r="G195" s="125" t="str">
        <f t="shared" ca="1" si="56"/>
        <v/>
      </c>
      <c r="H195" s="69" t="str">
        <f t="shared" ca="1" si="57"/>
        <v/>
      </c>
      <c r="I195" s="124" t="str">
        <f t="shared" ca="1" si="58"/>
        <v/>
      </c>
      <c r="J195" s="125" t="str">
        <f t="shared" ca="1" si="59"/>
        <v/>
      </c>
      <c r="K195" s="69" t="str">
        <f t="shared" ca="1" si="60"/>
        <v/>
      </c>
      <c r="L195" s="124" t="str">
        <f t="shared" ca="1" si="61"/>
        <v/>
      </c>
      <c r="M195" s="125" t="str">
        <f t="shared" ca="1" si="62"/>
        <v/>
      </c>
      <c r="N195" s="69" t="str">
        <f t="shared" ca="1" si="63"/>
        <v/>
      </c>
      <c r="O195" s="124" t="str">
        <f t="shared" ca="1" si="64"/>
        <v/>
      </c>
    </row>
    <row r="196" spans="1:15" ht="16.5" customHeight="1">
      <c r="A196" s="47">
        <v>23</v>
      </c>
      <c r="B196" s="133" t="str">
        <f>HYPERLINK("#'" &amp; TEXT(투자전략!$G$1+22, "[$-ko-KR]yyyy.mm.dd") &amp; "'!A121:O145", TEXT(투자전략!$G$1+22, "[$-ko-KR]yyyy.mm.dd"))</f>
        <v>2023.01.23</v>
      </c>
      <c r="C196" s="118" t="str">
        <f t="shared" ca="1" si="52"/>
        <v/>
      </c>
      <c r="D196" s="122" t="str">
        <f t="shared" ca="1" si="53"/>
        <v/>
      </c>
      <c r="E196" s="70" t="str">
        <f t="shared" ca="1" si="54"/>
        <v/>
      </c>
      <c r="F196" s="120" t="str">
        <f t="shared" ca="1" si="55"/>
        <v/>
      </c>
      <c r="G196" s="122" t="str">
        <f t="shared" ca="1" si="56"/>
        <v/>
      </c>
      <c r="H196" s="70" t="str">
        <f t="shared" ca="1" si="57"/>
        <v/>
      </c>
      <c r="I196" s="120" t="str">
        <f t="shared" ca="1" si="58"/>
        <v/>
      </c>
      <c r="J196" s="122" t="str">
        <f t="shared" ca="1" si="59"/>
        <v/>
      </c>
      <c r="K196" s="70" t="str">
        <f t="shared" ca="1" si="60"/>
        <v/>
      </c>
      <c r="L196" s="120" t="str">
        <f t="shared" ca="1" si="61"/>
        <v/>
      </c>
      <c r="M196" s="122" t="str">
        <f t="shared" ca="1" si="62"/>
        <v/>
      </c>
      <c r="N196" s="70" t="str">
        <f t="shared" ca="1" si="63"/>
        <v/>
      </c>
      <c r="O196" s="120" t="str">
        <f t="shared" ca="1" si="64"/>
        <v/>
      </c>
    </row>
    <row r="197" spans="1:15" ht="16.5" customHeight="1">
      <c r="A197" s="47">
        <v>24</v>
      </c>
      <c r="B197" s="133" t="str">
        <f>HYPERLINK("#'" &amp; TEXT(투자전략!$G$1+23, "[$-ko-KR]yyyy.mm.dd") &amp; "'!A121:O145", TEXT(투자전략!$G$1+23, "[$-ko-KR]yyyy.mm.dd"))</f>
        <v>2023.01.24</v>
      </c>
      <c r="C197" s="118" t="str">
        <f t="shared" ca="1" si="52"/>
        <v/>
      </c>
      <c r="D197" s="122" t="str">
        <f t="shared" ca="1" si="53"/>
        <v/>
      </c>
      <c r="E197" s="70" t="str">
        <f t="shared" ca="1" si="54"/>
        <v/>
      </c>
      <c r="F197" s="120" t="str">
        <f t="shared" ca="1" si="55"/>
        <v/>
      </c>
      <c r="G197" s="122" t="str">
        <f t="shared" ca="1" si="56"/>
        <v/>
      </c>
      <c r="H197" s="70" t="str">
        <f t="shared" ca="1" si="57"/>
        <v/>
      </c>
      <c r="I197" s="120" t="str">
        <f t="shared" ca="1" si="58"/>
        <v/>
      </c>
      <c r="J197" s="122" t="str">
        <f t="shared" ca="1" si="59"/>
        <v/>
      </c>
      <c r="K197" s="70" t="str">
        <f t="shared" ca="1" si="60"/>
        <v/>
      </c>
      <c r="L197" s="120" t="str">
        <f t="shared" ca="1" si="61"/>
        <v/>
      </c>
      <c r="M197" s="122" t="str">
        <f t="shared" ca="1" si="62"/>
        <v/>
      </c>
      <c r="N197" s="70" t="str">
        <f t="shared" ca="1" si="63"/>
        <v/>
      </c>
      <c r="O197" s="120" t="str">
        <f t="shared" ca="1" si="64"/>
        <v/>
      </c>
    </row>
    <row r="198" spans="1:15" ht="16.5" customHeight="1">
      <c r="A198" s="47">
        <v>25</v>
      </c>
      <c r="B198" s="133" t="str">
        <f>HYPERLINK("#'" &amp; TEXT(투자전략!$G$1+24, "[$-ko-KR]yyyy.mm.dd") &amp; "'!A121:O145", TEXT(투자전략!$G$1+24, "[$-ko-KR]yyyy.mm.dd"))</f>
        <v>2023.01.25</v>
      </c>
      <c r="C198" s="118" t="str">
        <f t="shared" ca="1" si="52"/>
        <v/>
      </c>
      <c r="D198" s="122" t="str">
        <f t="shared" ca="1" si="53"/>
        <v/>
      </c>
      <c r="E198" s="70" t="str">
        <f t="shared" ca="1" si="54"/>
        <v/>
      </c>
      <c r="F198" s="120" t="str">
        <f t="shared" ca="1" si="55"/>
        <v/>
      </c>
      <c r="G198" s="122" t="str">
        <f t="shared" ca="1" si="56"/>
        <v/>
      </c>
      <c r="H198" s="70" t="str">
        <f t="shared" ca="1" si="57"/>
        <v/>
      </c>
      <c r="I198" s="120" t="str">
        <f t="shared" ca="1" si="58"/>
        <v/>
      </c>
      <c r="J198" s="122" t="str">
        <f t="shared" ca="1" si="59"/>
        <v/>
      </c>
      <c r="K198" s="70" t="str">
        <f t="shared" ca="1" si="60"/>
        <v/>
      </c>
      <c r="L198" s="120" t="str">
        <f t="shared" ca="1" si="61"/>
        <v/>
      </c>
      <c r="M198" s="122" t="str">
        <f t="shared" ca="1" si="62"/>
        <v/>
      </c>
      <c r="N198" s="70" t="str">
        <f t="shared" ca="1" si="63"/>
        <v/>
      </c>
      <c r="O198" s="120" t="str">
        <f t="shared" ca="1" si="64"/>
        <v/>
      </c>
    </row>
    <row r="199" spans="1:15" ht="16.5" customHeight="1">
      <c r="A199" s="47">
        <v>26</v>
      </c>
      <c r="B199" s="133" t="str">
        <f>HYPERLINK("#'" &amp; TEXT(투자전략!$G$1+25, "[$-ko-KR]yyyy.mm.dd") &amp; "'!A121:O145", TEXT(투자전략!$G$1+25, "[$-ko-KR]yyyy.mm.dd"))</f>
        <v>2023.01.26</v>
      </c>
      <c r="C199" s="118" t="str">
        <f t="shared" ca="1" si="52"/>
        <v/>
      </c>
      <c r="D199" s="122" t="str">
        <f t="shared" ca="1" si="53"/>
        <v/>
      </c>
      <c r="E199" s="70" t="str">
        <f t="shared" ca="1" si="54"/>
        <v/>
      </c>
      <c r="F199" s="120" t="str">
        <f t="shared" ca="1" si="55"/>
        <v/>
      </c>
      <c r="G199" s="122" t="str">
        <f t="shared" ca="1" si="56"/>
        <v/>
      </c>
      <c r="H199" s="70" t="str">
        <f t="shared" ca="1" si="57"/>
        <v/>
      </c>
      <c r="I199" s="120" t="str">
        <f t="shared" ca="1" si="58"/>
        <v/>
      </c>
      <c r="J199" s="122" t="str">
        <f t="shared" ca="1" si="59"/>
        <v/>
      </c>
      <c r="K199" s="70" t="str">
        <f t="shared" ca="1" si="60"/>
        <v/>
      </c>
      <c r="L199" s="120" t="str">
        <f t="shared" ca="1" si="61"/>
        <v/>
      </c>
      <c r="M199" s="122" t="str">
        <f t="shared" ca="1" si="62"/>
        <v/>
      </c>
      <c r="N199" s="70" t="str">
        <f t="shared" ca="1" si="63"/>
        <v/>
      </c>
      <c r="O199" s="120" t="str">
        <f t="shared" ca="1" si="64"/>
        <v/>
      </c>
    </row>
    <row r="200" spans="1:15" ht="16.5" customHeight="1">
      <c r="A200" s="47">
        <v>27</v>
      </c>
      <c r="B200" s="133" t="str">
        <f>HYPERLINK("#'" &amp; TEXT(투자전략!$G$1+26, "[$-ko-KR]yyyy.mm.dd") &amp; "'!A121:O145", TEXT(투자전략!$G$1+26, "[$-ko-KR]yyyy.mm.dd"))</f>
        <v>2023.01.27</v>
      </c>
      <c r="C200" s="118" t="str">
        <f t="shared" ca="1" si="52"/>
        <v/>
      </c>
      <c r="D200" s="122" t="str">
        <f t="shared" ca="1" si="53"/>
        <v/>
      </c>
      <c r="E200" s="70" t="str">
        <f t="shared" ca="1" si="54"/>
        <v/>
      </c>
      <c r="F200" s="120" t="str">
        <f t="shared" ca="1" si="55"/>
        <v/>
      </c>
      <c r="G200" s="122" t="str">
        <f t="shared" ca="1" si="56"/>
        <v/>
      </c>
      <c r="H200" s="70" t="str">
        <f t="shared" ca="1" si="57"/>
        <v/>
      </c>
      <c r="I200" s="120" t="str">
        <f t="shared" ca="1" si="58"/>
        <v/>
      </c>
      <c r="J200" s="122" t="str">
        <f t="shared" ca="1" si="59"/>
        <v/>
      </c>
      <c r="K200" s="70" t="str">
        <f t="shared" ca="1" si="60"/>
        <v/>
      </c>
      <c r="L200" s="120" t="str">
        <f t="shared" ca="1" si="61"/>
        <v/>
      </c>
      <c r="M200" s="122" t="str">
        <f t="shared" ca="1" si="62"/>
        <v/>
      </c>
      <c r="N200" s="70" t="str">
        <f t="shared" ca="1" si="63"/>
        <v/>
      </c>
      <c r="O200" s="120" t="str">
        <f t="shared" ca="1" si="64"/>
        <v/>
      </c>
    </row>
    <row r="201" spans="1:15" ht="16.5" customHeight="1" thickBot="1">
      <c r="A201" s="48">
        <v>28</v>
      </c>
      <c r="B201" s="134" t="str">
        <f>HYPERLINK("#'" &amp; TEXT(투자전략!$G$1+27, "[$-ko-KR]yyyy.mm.dd") &amp; "'!A121:O145", TEXT(투자전략!$G$1+27, "[$-ko-KR]yyyy.mm.dd"))</f>
        <v>2023.01.28</v>
      </c>
      <c r="C201" s="119" t="str">
        <f t="shared" ca="1" si="52"/>
        <v/>
      </c>
      <c r="D201" s="123" t="str">
        <f t="shared" ca="1" si="53"/>
        <v/>
      </c>
      <c r="E201" s="72" t="str">
        <f t="shared" ca="1" si="54"/>
        <v/>
      </c>
      <c r="F201" s="121" t="str">
        <f t="shared" ca="1" si="55"/>
        <v/>
      </c>
      <c r="G201" s="123" t="str">
        <f t="shared" ca="1" si="56"/>
        <v/>
      </c>
      <c r="H201" s="72" t="str">
        <f t="shared" ca="1" si="57"/>
        <v/>
      </c>
      <c r="I201" s="121" t="str">
        <f t="shared" ca="1" si="58"/>
        <v/>
      </c>
      <c r="J201" s="123" t="str">
        <f t="shared" ca="1" si="59"/>
        <v/>
      </c>
      <c r="K201" s="72" t="str">
        <f t="shared" ca="1" si="60"/>
        <v/>
      </c>
      <c r="L201" s="121" t="str">
        <f t="shared" ca="1" si="61"/>
        <v/>
      </c>
      <c r="M201" s="123" t="str">
        <f t="shared" ca="1" si="62"/>
        <v/>
      </c>
      <c r="N201" s="72" t="str">
        <f t="shared" ca="1" si="63"/>
        <v/>
      </c>
      <c r="O201" s="121" t="str">
        <f t="shared" ca="1" si="64"/>
        <v/>
      </c>
    </row>
    <row r="202" spans="1:15" ht="16.5" customHeight="1">
      <c r="A202" s="105">
        <v>29</v>
      </c>
      <c r="B202" s="132" t="str">
        <f>HYPERLINK("#'" &amp; TEXT(투자전략!$G$1+28, "[$-ko-KR]yyyy.mm.dd") &amp; "'!A121:O145", TEXT(투자전략!$G$1+28, "[$-ko-KR]yyyy.mm.dd"))</f>
        <v>2023.01.29</v>
      </c>
      <c r="C202" s="118" t="str">
        <f t="shared" ca="1" si="52"/>
        <v/>
      </c>
      <c r="D202" s="122" t="str">
        <f t="shared" ca="1" si="53"/>
        <v/>
      </c>
      <c r="E202" s="70" t="str">
        <f t="shared" ca="1" si="54"/>
        <v/>
      </c>
      <c r="F202" s="120" t="str">
        <f t="shared" ca="1" si="55"/>
        <v/>
      </c>
      <c r="G202" s="122" t="str">
        <f t="shared" ca="1" si="56"/>
        <v/>
      </c>
      <c r="H202" s="70" t="str">
        <f t="shared" ca="1" si="57"/>
        <v/>
      </c>
      <c r="I202" s="120" t="str">
        <f t="shared" ca="1" si="58"/>
        <v/>
      </c>
      <c r="J202" s="122" t="str">
        <f t="shared" ca="1" si="59"/>
        <v/>
      </c>
      <c r="K202" s="70" t="str">
        <f t="shared" ca="1" si="60"/>
        <v/>
      </c>
      <c r="L202" s="120" t="str">
        <f t="shared" ca="1" si="61"/>
        <v/>
      </c>
      <c r="M202" s="122" t="str">
        <f t="shared" ca="1" si="62"/>
        <v/>
      </c>
      <c r="N202" s="70" t="str">
        <f t="shared" ca="1" si="63"/>
        <v/>
      </c>
      <c r="O202" s="120" t="str">
        <f t="shared" ca="1" si="64"/>
        <v/>
      </c>
    </row>
    <row r="203" spans="1:15" ht="16.5" customHeight="1">
      <c r="A203" s="105">
        <v>30</v>
      </c>
      <c r="B203" s="133" t="str">
        <f>HYPERLINK("#'" &amp; TEXT(투자전략!$G$1+29, "[$-ko-KR]yyyy.mm.dd") &amp; "'!A121:O145", TEXT(투자전략!$G$1+29, "[$-ko-KR]yyyy.mm.dd"))</f>
        <v>2023.01.30</v>
      </c>
      <c r="C203" s="118" t="str">
        <f t="shared" ca="1" si="52"/>
        <v/>
      </c>
      <c r="D203" s="122" t="str">
        <f t="shared" ca="1" si="53"/>
        <v/>
      </c>
      <c r="E203" s="70" t="str">
        <f t="shared" ca="1" si="54"/>
        <v/>
      </c>
      <c r="F203" s="120" t="str">
        <f t="shared" ca="1" si="55"/>
        <v/>
      </c>
      <c r="G203" s="122" t="str">
        <f t="shared" ca="1" si="56"/>
        <v/>
      </c>
      <c r="H203" s="70" t="str">
        <f t="shared" ca="1" si="57"/>
        <v/>
      </c>
      <c r="I203" s="120" t="str">
        <f t="shared" ca="1" si="58"/>
        <v/>
      </c>
      <c r="J203" s="122" t="str">
        <f t="shared" ca="1" si="59"/>
        <v/>
      </c>
      <c r="K203" s="70" t="str">
        <f t="shared" ca="1" si="60"/>
        <v/>
      </c>
      <c r="L203" s="120" t="str">
        <f t="shared" ca="1" si="61"/>
        <v/>
      </c>
      <c r="M203" s="122" t="str">
        <f t="shared" ca="1" si="62"/>
        <v/>
      </c>
      <c r="N203" s="70" t="str">
        <f t="shared" ca="1" si="63"/>
        <v/>
      </c>
      <c r="O203" s="120" t="str">
        <f t="shared" ca="1" si="64"/>
        <v/>
      </c>
    </row>
    <row r="204" spans="1:15" ht="16.5" customHeight="1" thickBot="1">
      <c r="A204" s="105">
        <v>31</v>
      </c>
      <c r="B204" s="133" t="str">
        <f>HYPERLINK("#'" &amp; TEXT(투자전략!$G$1+30, "[$-ko-KR]yyyy.mm.dd") &amp; "'!A121:O145", TEXT(투자전략!$G$1+30, "[$-ko-KR]yyyy.mm.dd"))</f>
        <v>2023.01.31</v>
      </c>
      <c r="C204" s="119" t="str">
        <f t="shared" ca="1" si="52"/>
        <v/>
      </c>
      <c r="D204" s="123" t="str">
        <f t="shared" ca="1" si="53"/>
        <v/>
      </c>
      <c r="E204" s="72" t="str">
        <f t="shared" ca="1" si="54"/>
        <v/>
      </c>
      <c r="F204" s="121" t="str">
        <f t="shared" ca="1" si="55"/>
        <v/>
      </c>
      <c r="G204" s="123" t="str">
        <f t="shared" ca="1" si="56"/>
        <v/>
      </c>
      <c r="H204" s="72" t="str">
        <f t="shared" ca="1" si="57"/>
        <v/>
      </c>
      <c r="I204" s="121" t="str">
        <f t="shared" ca="1" si="58"/>
        <v/>
      </c>
      <c r="J204" s="123" t="str">
        <f t="shared" ca="1" si="59"/>
        <v/>
      </c>
      <c r="K204" s="72" t="str">
        <f t="shared" ca="1" si="60"/>
        <v/>
      </c>
      <c r="L204" s="121" t="str">
        <f t="shared" ca="1" si="61"/>
        <v/>
      </c>
      <c r="M204" s="123" t="str">
        <f t="shared" ca="1" si="62"/>
        <v/>
      </c>
      <c r="N204" s="72" t="str">
        <f t="shared" ca="1" si="63"/>
        <v/>
      </c>
      <c r="O204" s="121" t="str">
        <f t="shared" ca="1" si="64"/>
        <v/>
      </c>
    </row>
    <row r="205" spans="1:15" ht="16.5" customHeight="1" thickBot="1">
      <c r="A205" s="185" t="s">
        <v>270</v>
      </c>
      <c r="B205" s="187"/>
      <c r="C205" s="116" t="s">
        <v>265</v>
      </c>
      <c r="D205" s="9" t="s">
        <v>266</v>
      </c>
      <c r="E205" s="63" t="s">
        <v>267</v>
      </c>
      <c r="F205" s="64" t="s">
        <v>268</v>
      </c>
      <c r="G205" s="9" t="s">
        <v>266</v>
      </c>
      <c r="H205" s="63" t="s">
        <v>267</v>
      </c>
      <c r="I205" s="64" t="s">
        <v>268</v>
      </c>
      <c r="J205" s="9" t="s">
        <v>266</v>
      </c>
      <c r="K205" s="63" t="s">
        <v>267</v>
      </c>
      <c r="L205" s="64" t="s">
        <v>268</v>
      </c>
      <c r="M205" s="9" t="s">
        <v>266</v>
      </c>
      <c r="N205" s="63" t="s">
        <v>267</v>
      </c>
      <c r="O205" s="64" t="s">
        <v>268</v>
      </c>
    </row>
    <row r="206" spans="1:15" ht="16.5" customHeight="1" thickBot="1">
      <c r="A206" s="178"/>
      <c r="B206" s="180"/>
      <c r="C206" s="119">
        <f ca="1">SUM(C174:C204)</f>
        <v>24000000</v>
      </c>
      <c r="D206" s="123">
        <f ca="1">SUM(D174:D204)</f>
        <v>24144961.082490291</v>
      </c>
      <c r="E206" s="72">
        <f ca="1">IFERROR(F206 / (SUM($C174:$C204) / COUNT($C174:$C204)), 0)</f>
        <v>4.8320360830097837E-2</v>
      </c>
      <c r="F206" s="121">
        <f ca="1">SUM(F174:F204)</f>
        <v>144961.08249029351</v>
      </c>
      <c r="G206" s="123">
        <f ca="1">SUM(G174:G204)</f>
        <v>24128021.335387517</v>
      </c>
      <c r="H206" s="72">
        <f ca="1">IFERROR(I206 / (SUM($C174:$C204) / COUNT($C174:$C204)), 0)</f>
        <v>4.2673778462504822E-2</v>
      </c>
      <c r="I206" s="121">
        <f ca="1">SUM(I174:I204)</f>
        <v>128021.33538751447</v>
      </c>
      <c r="J206" s="123">
        <f ca="1">SUM(J174:J204)</f>
        <v>24191528.697727706</v>
      </c>
      <c r="K206" s="72">
        <f ca="1">IFERROR(L206 / (SUM($C174:$C204) / COUNT($C174:$C204)), 0)</f>
        <v>6.384289924256828E-2</v>
      </c>
      <c r="L206" s="121">
        <f ca="1">SUM(L174:L204)</f>
        <v>191528.69772770483</v>
      </c>
      <c r="M206" s="123">
        <f ca="1">SUM(M174:M204)</f>
        <v>24045043.869897101</v>
      </c>
      <c r="N206" s="72">
        <f ca="1">IFERROR(O206 / (SUM($C174:$C204) / COUNT($C174:$C204)), 0)</f>
        <v>1.5014623299033173E-2</v>
      </c>
      <c r="O206" s="121">
        <f ca="1">SUM(O174:O204)</f>
        <v>45043.869897099517</v>
      </c>
    </row>
    <row r="208" spans="1:15" ht="16.5" customHeight="1" thickBot="1"/>
    <row r="209" spans="1:15" ht="16.5" customHeight="1" thickBot="1">
      <c r="A209" s="157" t="str">
        <f>TEXT(투자전략!$G$1, "[$-ko-KR]yyyy년 mm월 ") &amp; "[동전코인] 전일대비 상승률 Bottom20 월말결산"</f>
        <v>2023년 01월 [동전코인] 전일대비 상승률 Bottom20 월말결산</v>
      </c>
      <c r="B209" s="158"/>
      <c r="C209" s="158"/>
      <c r="D209" s="158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9"/>
    </row>
    <row r="210" spans="1:15" ht="16.5" customHeight="1" thickBot="1">
      <c r="A210" s="201" t="s">
        <v>271</v>
      </c>
      <c r="B210" s="178" t="s">
        <v>269</v>
      </c>
      <c r="C210" s="180"/>
      <c r="D210" s="178" t="s">
        <v>261</v>
      </c>
      <c r="E210" s="179"/>
      <c r="F210" s="180"/>
      <c r="G210" s="178" t="s">
        <v>262</v>
      </c>
      <c r="H210" s="179"/>
      <c r="I210" s="180"/>
      <c r="J210" s="178" t="s">
        <v>263</v>
      </c>
      <c r="K210" s="179"/>
      <c r="L210" s="180"/>
      <c r="M210" s="178" t="s">
        <v>264</v>
      </c>
      <c r="N210" s="179"/>
      <c r="O210" s="180"/>
    </row>
    <row r="211" spans="1:15" ht="16.5" customHeight="1" thickBot="1">
      <c r="A211" s="194"/>
      <c r="B211" s="46" t="s">
        <v>259</v>
      </c>
      <c r="C211" s="46" t="s">
        <v>42</v>
      </c>
      <c r="D211" s="105" t="s">
        <v>260</v>
      </c>
      <c r="E211" s="106" t="s">
        <v>40</v>
      </c>
      <c r="F211" s="81" t="s">
        <v>41</v>
      </c>
      <c r="G211" s="105" t="s">
        <v>260</v>
      </c>
      <c r="H211" s="106" t="s">
        <v>40</v>
      </c>
      <c r="I211" s="81" t="s">
        <v>41</v>
      </c>
      <c r="J211" s="105" t="s">
        <v>260</v>
      </c>
      <c r="K211" s="106" t="s">
        <v>40</v>
      </c>
      <c r="L211" s="81" t="s">
        <v>41</v>
      </c>
      <c r="M211" s="105" t="s">
        <v>260</v>
      </c>
      <c r="N211" s="106" t="s">
        <v>40</v>
      </c>
      <c r="O211" s="81" t="s">
        <v>41</v>
      </c>
    </row>
    <row r="212" spans="1:15" ht="16.5" customHeight="1">
      <c r="A212" s="46">
        <v>1</v>
      </c>
      <c r="B212" s="132" t="str">
        <f>HYPERLINK("#'" &amp; TEXT(투자전략!$G$1+0, "[$-ko-KR]yyyy.mm.dd") &amp; "'!A148:O172", TEXT(투자전략!$G$1+0, "[$-ko-KR]yyyy.mm.dd"))</f>
        <v>2023.01.01</v>
      </c>
      <c r="C212" s="117">
        <f ca="1">IFERROR(COUNTA(INDIRECT($B212&amp;"!A152:A171")) * INDIRECT($B212&amp;"!B172"), "")</f>
        <v>3000000</v>
      </c>
      <c r="D212" s="125">
        <f ca="1">IFERROR($C212 * (1 + E212), "")</f>
        <v>3005764.6538142692</v>
      </c>
      <c r="E212" s="69">
        <f ca="1">IFERROR(INDIRECT($B212&amp;"!E172"), "")</f>
        <v>1.9215512714229198E-3</v>
      </c>
      <c r="F212" s="124">
        <f ca="1">IFERROR(INDIRECT($B212&amp;"!F172"), "")</f>
        <v>5764.6538142687596</v>
      </c>
      <c r="G212" s="125">
        <f ca="1">IFERROR($C212 * (1 + H212), "")</f>
        <v>3017728.9962359425</v>
      </c>
      <c r="H212" s="69">
        <f ca="1">IFERROR(INDIRECT($B212&amp;"!H172"), "")</f>
        <v>5.909665411980825E-3</v>
      </c>
      <c r="I212" s="124">
        <f ca="1">IFERROR(INDIRECT($B212&amp;"!I172"), "")</f>
        <v>17728.996235942475</v>
      </c>
      <c r="J212" s="125">
        <f ca="1">IFERROR($C212 * (1 + K212), "")</f>
        <v>3017728.9962359425</v>
      </c>
      <c r="K212" s="69">
        <f ca="1">IFERROR(INDIRECT($B212&amp;"!K172"), "")</f>
        <v>5.909665411980825E-3</v>
      </c>
      <c r="L212" s="124">
        <f ca="1">IFERROR(INDIRECT($B212&amp;"!L172"), "")</f>
        <v>17728.996235942475</v>
      </c>
      <c r="M212" s="125">
        <f ca="1">IFERROR($C212 * (1 + N212), "")</f>
        <v>3022632.4122983762</v>
      </c>
      <c r="N212" s="69">
        <f ca="1">IFERROR(INDIRECT($B212&amp;"!N172"), "")</f>
        <v>7.5441374327919431E-3</v>
      </c>
      <c r="O212" s="124">
        <f ca="1">IFERROR(INDIRECT($B212&amp;"!O172"), "")</f>
        <v>22632.412298375832</v>
      </c>
    </row>
    <row r="213" spans="1:15" ht="16.5" customHeight="1">
      <c r="A213" s="47">
        <v>2</v>
      </c>
      <c r="B213" s="133" t="str">
        <f>HYPERLINK("#'" &amp; TEXT(투자전략!$G$1+1, "[$-ko-KR]yyyy.mm.dd") &amp; "'!A148:O172", TEXT(투자전략!$G$1+1, "[$-ko-KR]yyyy.mm.dd"))</f>
        <v>2023.01.02</v>
      </c>
      <c r="C213" s="118">
        <f t="shared" ref="C213:C242" ca="1" si="65">IFERROR(COUNTA(INDIRECT($B213&amp;"!A152:A171")) * INDIRECT($B213&amp;"!B172"), "")</f>
        <v>3000000</v>
      </c>
      <c r="D213" s="122">
        <f t="shared" ref="D213:D242" ca="1" si="66">IFERROR($C213 * (1 + E213), "")</f>
        <v>3004116.9893013407</v>
      </c>
      <c r="E213" s="70">
        <f t="shared" ref="E213:E242" ca="1" si="67">IFERROR(INDIRECT($B213&amp;"!E172"), "")</f>
        <v>1.37232976711357E-3</v>
      </c>
      <c r="F213" s="120">
        <f t="shared" ref="F213:F242" ca="1" si="68">IFERROR(INDIRECT($B213&amp;"!F172"), "")</f>
        <v>4116.9893013407072</v>
      </c>
      <c r="G213" s="122">
        <f t="shared" ref="G213:G242" ca="1" si="69">IFERROR($C213 * (1 + H213), "")</f>
        <v>3063201.0392149524</v>
      </c>
      <c r="H213" s="70">
        <f t="shared" ref="H213:H242" ca="1" si="70">IFERROR(INDIRECT($B213&amp;"!H172"), "")</f>
        <v>2.1067013071650927E-2</v>
      </c>
      <c r="I213" s="120">
        <f t="shared" ref="I213:I242" ca="1" si="71">IFERROR(INDIRECT($B213&amp;"!I172"), "")</f>
        <v>63201.039214952783</v>
      </c>
      <c r="J213" s="122">
        <f t="shared" ref="J213:J242" ca="1" si="72">IFERROR($C213 * (1 + K213), "")</f>
        <v>3055303.7578745061</v>
      </c>
      <c r="K213" s="70">
        <f t="shared" ref="K213:K242" ca="1" si="73">IFERROR(INDIRECT($B213&amp;"!K172"), "")</f>
        <v>1.84345859581687E-2</v>
      </c>
      <c r="L213" s="120">
        <f t="shared" ref="L213:L242" ca="1" si="74">IFERROR(INDIRECT($B213&amp;"!L172"), "")</f>
        <v>55303.757874506096</v>
      </c>
      <c r="M213" s="122">
        <f t="shared" ref="M213:M242" ca="1" si="75">IFERROR($C213 * (1 + N213), "")</f>
        <v>3058185.381822444</v>
      </c>
      <c r="N213" s="70">
        <f t="shared" ref="N213:N242" ca="1" si="76">IFERROR(INDIRECT($B213&amp;"!N172"), "")</f>
        <v>1.9395127274147984E-2</v>
      </c>
      <c r="O213" s="120">
        <f t="shared" ref="O213:O242" ca="1" si="77">IFERROR(INDIRECT($B213&amp;"!O172"), "")</f>
        <v>58185.381822443953</v>
      </c>
    </row>
    <row r="214" spans="1:15" ht="16.5" customHeight="1">
      <c r="A214" s="47">
        <v>3</v>
      </c>
      <c r="B214" s="133" t="str">
        <f>HYPERLINK("#'" &amp; TEXT(투자전략!$G$1+2, "[$-ko-KR]yyyy.mm.dd") &amp; "'!A148:O172", TEXT(투자전략!$G$1+2, "[$-ko-KR]yyyy.mm.dd"))</f>
        <v>2023.01.03</v>
      </c>
      <c r="C214" s="118">
        <f t="shared" ca="1" si="65"/>
        <v>3000000</v>
      </c>
      <c r="D214" s="122">
        <f t="shared" ca="1" si="66"/>
        <v>3002871.8854676229</v>
      </c>
      <c r="E214" s="70">
        <f t="shared" ca="1" si="67"/>
        <v>9.5729515587436955E-4</v>
      </c>
      <c r="F214" s="120">
        <f t="shared" ca="1" si="68"/>
        <v>2871.8854676231099</v>
      </c>
      <c r="G214" s="122">
        <f t="shared" ca="1" si="69"/>
        <v>3020365.3079600395</v>
      </c>
      <c r="H214" s="70">
        <f t="shared" ca="1" si="70"/>
        <v>6.7884359866798357E-3</v>
      </c>
      <c r="I214" s="120">
        <f t="shared" ca="1" si="71"/>
        <v>20365.30796003951</v>
      </c>
      <c r="J214" s="122">
        <f t="shared" ca="1" si="72"/>
        <v>3019429.08473776</v>
      </c>
      <c r="K214" s="70">
        <f t="shared" ca="1" si="73"/>
        <v>6.476361579253377E-3</v>
      </c>
      <c r="L214" s="120">
        <f t="shared" ca="1" si="74"/>
        <v>19429.084737760135</v>
      </c>
      <c r="M214" s="122">
        <f t="shared" ca="1" si="75"/>
        <v>3002234.776206784</v>
      </c>
      <c r="N214" s="70">
        <f t="shared" ca="1" si="76"/>
        <v>7.449254022612341E-4</v>
      </c>
      <c r="O214" s="120">
        <f t="shared" ca="1" si="77"/>
        <v>2234.7762067837016</v>
      </c>
    </row>
    <row r="215" spans="1:15" ht="16.5" customHeight="1">
      <c r="A215" s="47">
        <v>4</v>
      </c>
      <c r="B215" s="133" t="str">
        <f>HYPERLINK("#'" &amp; TEXT(투자전략!$G$1+3, "[$-ko-KR]yyyy.mm.dd") &amp; "'!A148:O172", TEXT(투자전략!$G$1+3, "[$-ko-KR]yyyy.mm.dd"))</f>
        <v>2023.01.04</v>
      </c>
      <c r="C215" s="118">
        <f t="shared" ca="1" si="65"/>
        <v>3000000</v>
      </c>
      <c r="D215" s="122">
        <f t="shared" ca="1" si="66"/>
        <v>3074062.5382284936</v>
      </c>
      <c r="E215" s="70">
        <f t="shared" ca="1" si="67"/>
        <v>2.4687512742831173E-2</v>
      </c>
      <c r="F215" s="120">
        <f t="shared" ca="1" si="68"/>
        <v>74062.538228493533</v>
      </c>
      <c r="G215" s="122">
        <f t="shared" ca="1" si="69"/>
        <v>3069282.9422173332</v>
      </c>
      <c r="H215" s="70">
        <f t="shared" ca="1" si="70"/>
        <v>2.309431407244435E-2</v>
      </c>
      <c r="I215" s="120">
        <f t="shared" ca="1" si="71"/>
        <v>69282.942217333053</v>
      </c>
      <c r="J215" s="122">
        <f t="shared" ca="1" si="72"/>
        <v>3069925.3761014966</v>
      </c>
      <c r="K215" s="70">
        <f t="shared" ca="1" si="73"/>
        <v>2.3308458700498792E-2</v>
      </c>
      <c r="L215" s="120">
        <f t="shared" ca="1" si="74"/>
        <v>69925.376101496382</v>
      </c>
      <c r="M215" s="122">
        <f t="shared" ca="1" si="75"/>
        <v>3061736.8226365619</v>
      </c>
      <c r="N215" s="70">
        <f t="shared" ca="1" si="76"/>
        <v>2.0578940878853945E-2</v>
      </c>
      <c r="O215" s="120">
        <f t="shared" ca="1" si="77"/>
        <v>61736.822636561861</v>
      </c>
    </row>
    <row r="216" spans="1:15" ht="16.5" customHeight="1">
      <c r="A216" s="47">
        <v>5</v>
      </c>
      <c r="B216" s="133" t="str">
        <f>HYPERLINK("#'" &amp; TEXT(투자전략!$G$1+4, "[$-ko-KR]yyyy.mm.dd") &amp; "'!A148:O172", TEXT(투자전략!$G$1+4, "[$-ko-KR]yyyy.mm.dd"))</f>
        <v>2023.01.05</v>
      </c>
      <c r="C216" s="118">
        <f t="shared" ca="1" si="65"/>
        <v>3000000</v>
      </c>
      <c r="D216" s="122">
        <f t="shared" ca="1" si="66"/>
        <v>2998939.6844921811</v>
      </c>
      <c r="E216" s="70">
        <f t="shared" ca="1" si="67"/>
        <v>-3.5343850260623319E-4</v>
      </c>
      <c r="F216" s="120">
        <f t="shared" ca="1" si="68"/>
        <v>-1060.3155078187001</v>
      </c>
      <c r="G216" s="122">
        <f t="shared" ca="1" si="69"/>
        <v>2945355.8983730515</v>
      </c>
      <c r="H216" s="70">
        <f t="shared" ca="1" si="70"/>
        <v>-1.821470054231622E-2</v>
      </c>
      <c r="I216" s="120">
        <f t="shared" ca="1" si="71"/>
        <v>-54644.101626948664</v>
      </c>
      <c r="J216" s="122">
        <f t="shared" ca="1" si="72"/>
        <v>2975867.5961236898</v>
      </c>
      <c r="K216" s="70">
        <f t="shared" ca="1" si="73"/>
        <v>-8.0441346254366986E-3</v>
      </c>
      <c r="L216" s="120">
        <f t="shared" ca="1" si="74"/>
        <v>-24132.403876310094</v>
      </c>
      <c r="M216" s="122">
        <f t="shared" ca="1" si="75"/>
        <v>2973896.4418798634</v>
      </c>
      <c r="N216" s="70">
        <f t="shared" ca="1" si="76"/>
        <v>-8.7011860400455325E-3</v>
      </c>
      <c r="O216" s="120">
        <f t="shared" ca="1" si="77"/>
        <v>-26103.5581201366</v>
      </c>
    </row>
    <row r="217" spans="1:15" ht="16.5" customHeight="1">
      <c r="A217" s="47">
        <v>6</v>
      </c>
      <c r="B217" s="133" t="str">
        <f>HYPERLINK("#'" &amp; TEXT(투자전략!$G$1+5, "[$-ko-KR]yyyy.mm.dd") &amp; "'!A148:O172", TEXT(투자전략!$G$1+5, "[$-ko-KR]yyyy.mm.dd"))</f>
        <v>2023.01.06</v>
      </c>
      <c r="C217" s="118">
        <f t="shared" ca="1" si="65"/>
        <v>3000000</v>
      </c>
      <c r="D217" s="122">
        <f t="shared" ca="1" si="66"/>
        <v>2963132.8543807492</v>
      </c>
      <c r="E217" s="70">
        <f t="shared" ca="1" si="67"/>
        <v>-1.2289048539750361E-2</v>
      </c>
      <c r="F217" s="120">
        <f t="shared" ca="1" si="68"/>
        <v>-36867.145619251081</v>
      </c>
      <c r="G217" s="122">
        <f t="shared" ca="1" si="69"/>
        <v>2941945.2470870148</v>
      </c>
      <c r="H217" s="70">
        <f t="shared" ca="1" si="70"/>
        <v>-1.9351584304328335E-2</v>
      </c>
      <c r="I217" s="120">
        <f t="shared" ca="1" si="71"/>
        <v>-58054.752912985001</v>
      </c>
      <c r="J217" s="122">
        <f t="shared" ca="1" si="72"/>
        <v>2923792.9402413042</v>
      </c>
      <c r="K217" s="70">
        <f t="shared" ca="1" si="73"/>
        <v>-2.5402353252898652E-2</v>
      </c>
      <c r="L217" s="120">
        <f t="shared" ca="1" si="74"/>
        <v>-76207.059758695963</v>
      </c>
      <c r="M217" s="122">
        <f t="shared" ca="1" si="75"/>
        <v>2935923.6866835305</v>
      </c>
      <c r="N217" s="70">
        <f t="shared" ca="1" si="76"/>
        <v>-2.1358771105489789E-2</v>
      </c>
      <c r="O217" s="120">
        <f t="shared" ca="1" si="77"/>
        <v>-64076.313316469357</v>
      </c>
    </row>
    <row r="218" spans="1:15" ht="16.5" customHeight="1" thickBot="1">
      <c r="A218" s="48">
        <v>7</v>
      </c>
      <c r="B218" s="134" t="str">
        <f>HYPERLINK("#'" &amp; TEXT(투자전략!$G$1+6, "[$-ko-KR]yyyy.mm.dd") &amp; "'!A148:O172", TEXT(투자전략!$G$1+6, "[$-ko-KR]yyyy.mm.dd"))</f>
        <v>2023.01.07</v>
      </c>
      <c r="C218" s="118">
        <f t="shared" ca="1" si="65"/>
        <v>3000000</v>
      </c>
      <c r="D218" s="122">
        <f t="shared" ca="1" si="66"/>
        <v>3102325.1284961211</v>
      </c>
      <c r="E218" s="70">
        <f t="shared" ca="1" si="67"/>
        <v>3.4108376165373683E-2</v>
      </c>
      <c r="F218" s="120">
        <f t="shared" ca="1" si="68"/>
        <v>102325.12849612106</v>
      </c>
      <c r="G218" s="122">
        <f t="shared" ca="1" si="69"/>
        <v>3108756.4741245992</v>
      </c>
      <c r="H218" s="70">
        <f t="shared" ca="1" si="70"/>
        <v>3.6252158041533242E-2</v>
      </c>
      <c r="I218" s="120">
        <f t="shared" ca="1" si="71"/>
        <v>108756.47412459971</v>
      </c>
      <c r="J218" s="122">
        <f t="shared" ca="1" si="72"/>
        <v>3101233.7365895668</v>
      </c>
      <c r="K218" s="70">
        <f t="shared" ca="1" si="73"/>
        <v>3.37445788631889E-2</v>
      </c>
      <c r="L218" s="120">
        <f t="shared" ca="1" si="74"/>
        <v>101233.73658956669</v>
      </c>
      <c r="M218" s="122">
        <f t="shared" ca="1" si="75"/>
        <v>3000000</v>
      </c>
      <c r="N218" s="70">
        <f t="shared" ca="1" si="76"/>
        <v>0</v>
      </c>
      <c r="O218" s="120">
        <f t="shared" ca="1" si="77"/>
        <v>0</v>
      </c>
    </row>
    <row r="219" spans="1:15" ht="16.5" customHeight="1">
      <c r="A219" s="46">
        <v>8</v>
      </c>
      <c r="B219" s="132" t="str">
        <f>HYPERLINK("#'" &amp; TEXT(투자전략!$G$1+7, "[$-ko-KR]yyyy.mm.dd") &amp; "'!A148:O172", TEXT(투자전략!$G$1+7, "[$-ko-KR]yyyy.mm.dd"))</f>
        <v>2023.01.08</v>
      </c>
      <c r="C219" s="117">
        <f t="shared" ca="1" si="65"/>
        <v>3000000</v>
      </c>
      <c r="D219" s="125">
        <f t="shared" ca="1" si="66"/>
        <v>3000000</v>
      </c>
      <c r="E219" s="69">
        <f t="shared" ca="1" si="67"/>
        <v>0</v>
      </c>
      <c r="F219" s="124">
        <f t="shared" ca="1" si="68"/>
        <v>0</v>
      </c>
      <c r="G219" s="125">
        <f t="shared" ca="1" si="69"/>
        <v>3000000</v>
      </c>
      <c r="H219" s="69">
        <f t="shared" ca="1" si="70"/>
        <v>0</v>
      </c>
      <c r="I219" s="124">
        <f t="shared" ca="1" si="71"/>
        <v>0</v>
      </c>
      <c r="J219" s="125">
        <f t="shared" ca="1" si="72"/>
        <v>3000000</v>
      </c>
      <c r="K219" s="69">
        <f t="shared" ca="1" si="73"/>
        <v>0</v>
      </c>
      <c r="L219" s="124">
        <f t="shared" ca="1" si="74"/>
        <v>0</v>
      </c>
      <c r="M219" s="125">
        <f t="shared" ca="1" si="75"/>
        <v>3000000</v>
      </c>
      <c r="N219" s="69">
        <f t="shared" ca="1" si="76"/>
        <v>0</v>
      </c>
      <c r="O219" s="124">
        <f t="shared" ca="1" si="77"/>
        <v>0</v>
      </c>
    </row>
    <row r="220" spans="1:15" ht="16.5" customHeight="1">
      <c r="A220" s="47">
        <v>9</v>
      </c>
      <c r="B220" s="133" t="str">
        <f>HYPERLINK("#'" &amp; TEXT(투자전략!$G$1+8, "[$-ko-KR]yyyy.mm.dd") &amp; "'!A148:O172", TEXT(투자전략!$G$1+8, "[$-ko-KR]yyyy.mm.dd"))</f>
        <v>2023.01.09</v>
      </c>
      <c r="C220" s="118" t="str">
        <f t="shared" ca="1" si="65"/>
        <v/>
      </c>
      <c r="D220" s="122" t="str">
        <f t="shared" ca="1" si="66"/>
        <v/>
      </c>
      <c r="E220" s="70" t="str">
        <f t="shared" ca="1" si="67"/>
        <v/>
      </c>
      <c r="F220" s="120" t="str">
        <f t="shared" ca="1" si="68"/>
        <v/>
      </c>
      <c r="G220" s="122" t="str">
        <f t="shared" ca="1" si="69"/>
        <v/>
      </c>
      <c r="H220" s="70" t="str">
        <f t="shared" ca="1" si="70"/>
        <v/>
      </c>
      <c r="I220" s="120" t="str">
        <f t="shared" ca="1" si="71"/>
        <v/>
      </c>
      <c r="J220" s="122" t="str">
        <f t="shared" ca="1" si="72"/>
        <v/>
      </c>
      <c r="K220" s="70" t="str">
        <f t="shared" ca="1" si="73"/>
        <v/>
      </c>
      <c r="L220" s="120" t="str">
        <f t="shared" ca="1" si="74"/>
        <v/>
      </c>
      <c r="M220" s="122" t="str">
        <f t="shared" ca="1" si="75"/>
        <v/>
      </c>
      <c r="N220" s="70" t="str">
        <f t="shared" ca="1" si="76"/>
        <v/>
      </c>
      <c r="O220" s="120" t="str">
        <f t="shared" ca="1" si="77"/>
        <v/>
      </c>
    </row>
    <row r="221" spans="1:15" ht="16.5" customHeight="1">
      <c r="A221" s="47">
        <v>10</v>
      </c>
      <c r="B221" s="133" t="str">
        <f>HYPERLINK("#'" &amp; TEXT(투자전략!$G$1+9, "[$-ko-KR]yyyy.mm.dd") &amp; "'!A148:O172", TEXT(투자전략!$G$1+9, "[$-ko-KR]yyyy.mm.dd"))</f>
        <v>2023.01.10</v>
      </c>
      <c r="C221" s="118" t="str">
        <f t="shared" ca="1" si="65"/>
        <v/>
      </c>
      <c r="D221" s="122" t="str">
        <f t="shared" ca="1" si="66"/>
        <v/>
      </c>
      <c r="E221" s="70" t="str">
        <f t="shared" ca="1" si="67"/>
        <v/>
      </c>
      <c r="F221" s="120" t="str">
        <f t="shared" ca="1" si="68"/>
        <v/>
      </c>
      <c r="G221" s="122" t="str">
        <f t="shared" ca="1" si="69"/>
        <v/>
      </c>
      <c r="H221" s="70" t="str">
        <f t="shared" ca="1" si="70"/>
        <v/>
      </c>
      <c r="I221" s="120" t="str">
        <f t="shared" ca="1" si="71"/>
        <v/>
      </c>
      <c r="J221" s="122" t="str">
        <f t="shared" ca="1" si="72"/>
        <v/>
      </c>
      <c r="K221" s="70" t="str">
        <f t="shared" ca="1" si="73"/>
        <v/>
      </c>
      <c r="L221" s="120" t="str">
        <f t="shared" ca="1" si="74"/>
        <v/>
      </c>
      <c r="M221" s="122" t="str">
        <f t="shared" ca="1" si="75"/>
        <v/>
      </c>
      <c r="N221" s="70" t="str">
        <f t="shared" ca="1" si="76"/>
        <v/>
      </c>
      <c r="O221" s="120" t="str">
        <f t="shared" ca="1" si="77"/>
        <v/>
      </c>
    </row>
    <row r="222" spans="1:15" ht="16.5" customHeight="1">
      <c r="A222" s="47">
        <v>11</v>
      </c>
      <c r="B222" s="133" t="str">
        <f>HYPERLINK("#'" &amp; TEXT(투자전략!$G$1+10, "[$-ko-KR]yyyy.mm.dd") &amp; "'!A148:O172", TEXT(투자전략!$G$1+10, "[$-ko-KR]yyyy.mm.dd"))</f>
        <v>2023.01.11</v>
      </c>
      <c r="C222" s="118" t="str">
        <f t="shared" ca="1" si="65"/>
        <v/>
      </c>
      <c r="D222" s="122" t="str">
        <f t="shared" ca="1" si="66"/>
        <v/>
      </c>
      <c r="E222" s="70" t="str">
        <f t="shared" ca="1" si="67"/>
        <v/>
      </c>
      <c r="F222" s="120" t="str">
        <f t="shared" ca="1" si="68"/>
        <v/>
      </c>
      <c r="G222" s="122" t="str">
        <f t="shared" ca="1" si="69"/>
        <v/>
      </c>
      <c r="H222" s="70" t="str">
        <f t="shared" ca="1" si="70"/>
        <v/>
      </c>
      <c r="I222" s="120" t="str">
        <f t="shared" ca="1" si="71"/>
        <v/>
      </c>
      <c r="J222" s="122" t="str">
        <f t="shared" ca="1" si="72"/>
        <v/>
      </c>
      <c r="K222" s="70" t="str">
        <f t="shared" ca="1" si="73"/>
        <v/>
      </c>
      <c r="L222" s="120" t="str">
        <f t="shared" ca="1" si="74"/>
        <v/>
      </c>
      <c r="M222" s="122" t="str">
        <f t="shared" ca="1" si="75"/>
        <v/>
      </c>
      <c r="N222" s="70" t="str">
        <f t="shared" ca="1" si="76"/>
        <v/>
      </c>
      <c r="O222" s="120" t="str">
        <f t="shared" ca="1" si="77"/>
        <v/>
      </c>
    </row>
    <row r="223" spans="1:15" ht="16.5" customHeight="1">
      <c r="A223" s="47">
        <v>12</v>
      </c>
      <c r="B223" s="133" t="str">
        <f>HYPERLINK("#'" &amp; TEXT(투자전략!$G$1+11, "[$-ko-KR]yyyy.mm.dd") &amp; "'!A148:O172", TEXT(투자전략!$G$1+11, "[$-ko-KR]yyyy.mm.dd"))</f>
        <v>2023.01.12</v>
      </c>
      <c r="C223" s="118" t="str">
        <f t="shared" ca="1" si="65"/>
        <v/>
      </c>
      <c r="D223" s="122" t="str">
        <f t="shared" ca="1" si="66"/>
        <v/>
      </c>
      <c r="E223" s="70" t="str">
        <f t="shared" ca="1" si="67"/>
        <v/>
      </c>
      <c r="F223" s="120" t="str">
        <f t="shared" ca="1" si="68"/>
        <v/>
      </c>
      <c r="G223" s="122" t="str">
        <f t="shared" ca="1" si="69"/>
        <v/>
      </c>
      <c r="H223" s="70" t="str">
        <f t="shared" ca="1" si="70"/>
        <v/>
      </c>
      <c r="I223" s="120" t="str">
        <f t="shared" ca="1" si="71"/>
        <v/>
      </c>
      <c r="J223" s="122" t="str">
        <f t="shared" ca="1" si="72"/>
        <v/>
      </c>
      <c r="K223" s="70" t="str">
        <f t="shared" ca="1" si="73"/>
        <v/>
      </c>
      <c r="L223" s="120" t="str">
        <f t="shared" ca="1" si="74"/>
        <v/>
      </c>
      <c r="M223" s="122" t="str">
        <f t="shared" ca="1" si="75"/>
        <v/>
      </c>
      <c r="N223" s="70" t="str">
        <f t="shared" ca="1" si="76"/>
        <v/>
      </c>
      <c r="O223" s="120" t="str">
        <f t="shared" ca="1" si="77"/>
        <v/>
      </c>
    </row>
    <row r="224" spans="1:15" ht="16.5" customHeight="1">
      <c r="A224" s="47">
        <v>13</v>
      </c>
      <c r="B224" s="133" t="str">
        <f>HYPERLINK("#'" &amp; TEXT(투자전략!$G$1+12, "[$-ko-KR]yyyy.mm.dd") &amp; "'!A148:O172", TEXT(투자전략!$G$1+12, "[$-ko-KR]yyyy.mm.dd"))</f>
        <v>2023.01.13</v>
      </c>
      <c r="C224" s="118" t="str">
        <f t="shared" ca="1" si="65"/>
        <v/>
      </c>
      <c r="D224" s="122" t="str">
        <f t="shared" ca="1" si="66"/>
        <v/>
      </c>
      <c r="E224" s="70" t="str">
        <f t="shared" ca="1" si="67"/>
        <v/>
      </c>
      <c r="F224" s="120" t="str">
        <f t="shared" ca="1" si="68"/>
        <v/>
      </c>
      <c r="G224" s="122" t="str">
        <f t="shared" ca="1" si="69"/>
        <v/>
      </c>
      <c r="H224" s="70" t="str">
        <f t="shared" ca="1" si="70"/>
        <v/>
      </c>
      <c r="I224" s="120" t="str">
        <f t="shared" ca="1" si="71"/>
        <v/>
      </c>
      <c r="J224" s="122" t="str">
        <f t="shared" ca="1" si="72"/>
        <v/>
      </c>
      <c r="K224" s="70" t="str">
        <f t="shared" ca="1" si="73"/>
        <v/>
      </c>
      <c r="L224" s="120" t="str">
        <f t="shared" ca="1" si="74"/>
        <v/>
      </c>
      <c r="M224" s="122" t="str">
        <f t="shared" ca="1" si="75"/>
        <v/>
      </c>
      <c r="N224" s="70" t="str">
        <f t="shared" ca="1" si="76"/>
        <v/>
      </c>
      <c r="O224" s="120" t="str">
        <f t="shared" ca="1" si="77"/>
        <v/>
      </c>
    </row>
    <row r="225" spans="1:15" ht="16.5" customHeight="1" thickBot="1">
      <c r="A225" s="48">
        <v>14</v>
      </c>
      <c r="B225" s="134" t="str">
        <f>HYPERLINK("#'" &amp; TEXT(투자전략!$G$1+13, "[$-ko-KR]yyyy.mm.dd") &amp; "'!A148:O172", TEXT(투자전략!$G$1+13, "[$-ko-KR]yyyy.mm.dd"))</f>
        <v>2023.01.14</v>
      </c>
      <c r="C225" s="119" t="str">
        <f t="shared" ca="1" si="65"/>
        <v/>
      </c>
      <c r="D225" s="123" t="str">
        <f t="shared" ca="1" si="66"/>
        <v/>
      </c>
      <c r="E225" s="72" t="str">
        <f t="shared" ca="1" si="67"/>
        <v/>
      </c>
      <c r="F225" s="121" t="str">
        <f t="shared" ca="1" si="68"/>
        <v/>
      </c>
      <c r="G225" s="123" t="str">
        <f t="shared" ca="1" si="69"/>
        <v/>
      </c>
      <c r="H225" s="72" t="str">
        <f t="shared" ca="1" si="70"/>
        <v/>
      </c>
      <c r="I225" s="121" t="str">
        <f t="shared" ca="1" si="71"/>
        <v/>
      </c>
      <c r="J225" s="123" t="str">
        <f t="shared" ca="1" si="72"/>
        <v/>
      </c>
      <c r="K225" s="72" t="str">
        <f t="shared" ca="1" si="73"/>
        <v/>
      </c>
      <c r="L225" s="121" t="str">
        <f t="shared" ca="1" si="74"/>
        <v/>
      </c>
      <c r="M225" s="123" t="str">
        <f t="shared" ca="1" si="75"/>
        <v/>
      </c>
      <c r="N225" s="72" t="str">
        <f t="shared" ca="1" si="76"/>
        <v/>
      </c>
      <c r="O225" s="121" t="str">
        <f t="shared" ca="1" si="77"/>
        <v/>
      </c>
    </row>
    <row r="226" spans="1:15" ht="16.5" customHeight="1">
      <c r="A226" s="46">
        <v>15</v>
      </c>
      <c r="B226" s="132" t="str">
        <f>HYPERLINK("#'" &amp; TEXT(투자전략!$G$1+14, "[$-ko-KR]yyyy.mm.dd") &amp; "'!A148:O172", TEXT(투자전략!$G$1+14, "[$-ko-KR]yyyy.mm.dd"))</f>
        <v>2023.01.15</v>
      </c>
      <c r="C226" s="118" t="str">
        <f t="shared" ca="1" si="65"/>
        <v/>
      </c>
      <c r="D226" s="122" t="str">
        <f t="shared" ca="1" si="66"/>
        <v/>
      </c>
      <c r="E226" s="70" t="str">
        <f t="shared" ca="1" si="67"/>
        <v/>
      </c>
      <c r="F226" s="120" t="str">
        <f t="shared" ca="1" si="68"/>
        <v/>
      </c>
      <c r="G226" s="122" t="str">
        <f t="shared" ca="1" si="69"/>
        <v/>
      </c>
      <c r="H226" s="70" t="str">
        <f t="shared" ca="1" si="70"/>
        <v/>
      </c>
      <c r="I226" s="120" t="str">
        <f t="shared" ca="1" si="71"/>
        <v/>
      </c>
      <c r="J226" s="122" t="str">
        <f t="shared" ca="1" si="72"/>
        <v/>
      </c>
      <c r="K226" s="70" t="str">
        <f t="shared" ca="1" si="73"/>
        <v/>
      </c>
      <c r="L226" s="120" t="str">
        <f t="shared" ca="1" si="74"/>
        <v/>
      </c>
      <c r="M226" s="122" t="str">
        <f t="shared" ca="1" si="75"/>
        <v/>
      </c>
      <c r="N226" s="70" t="str">
        <f t="shared" ca="1" si="76"/>
        <v/>
      </c>
      <c r="O226" s="120" t="str">
        <f t="shared" ca="1" si="77"/>
        <v/>
      </c>
    </row>
    <row r="227" spans="1:15" ht="16.5" customHeight="1">
      <c r="A227" s="47">
        <v>16</v>
      </c>
      <c r="B227" s="133" t="str">
        <f>HYPERLINK("#'" &amp; TEXT(투자전략!$G$1+15, "[$-ko-KR]yyyy.mm.dd") &amp; "'!A148:O172", TEXT(투자전략!$G$1+15, "[$-ko-KR]yyyy.mm.dd"))</f>
        <v>2023.01.16</v>
      </c>
      <c r="C227" s="118" t="str">
        <f t="shared" ca="1" si="65"/>
        <v/>
      </c>
      <c r="D227" s="122" t="str">
        <f t="shared" ca="1" si="66"/>
        <v/>
      </c>
      <c r="E227" s="70" t="str">
        <f t="shared" ca="1" si="67"/>
        <v/>
      </c>
      <c r="F227" s="120" t="str">
        <f t="shared" ca="1" si="68"/>
        <v/>
      </c>
      <c r="G227" s="122" t="str">
        <f t="shared" ca="1" si="69"/>
        <v/>
      </c>
      <c r="H227" s="70" t="str">
        <f t="shared" ca="1" si="70"/>
        <v/>
      </c>
      <c r="I227" s="120" t="str">
        <f t="shared" ca="1" si="71"/>
        <v/>
      </c>
      <c r="J227" s="122" t="str">
        <f t="shared" ca="1" si="72"/>
        <v/>
      </c>
      <c r="K227" s="70" t="str">
        <f t="shared" ca="1" si="73"/>
        <v/>
      </c>
      <c r="L227" s="120" t="str">
        <f t="shared" ca="1" si="74"/>
        <v/>
      </c>
      <c r="M227" s="122" t="str">
        <f t="shared" ca="1" si="75"/>
        <v/>
      </c>
      <c r="N227" s="70" t="str">
        <f t="shared" ca="1" si="76"/>
        <v/>
      </c>
      <c r="O227" s="120" t="str">
        <f t="shared" ca="1" si="77"/>
        <v/>
      </c>
    </row>
    <row r="228" spans="1:15" ht="16.5" customHeight="1">
      <c r="A228" s="47">
        <v>17</v>
      </c>
      <c r="B228" s="133" t="str">
        <f>HYPERLINK("#'" &amp; TEXT(투자전략!$G$1+16, "[$-ko-KR]yyyy.mm.dd") &amp; "'!A148:O172", TEXT(투자전략!$G$1+16, "[$-ko-KR]yyyy.mm.dd"))</f>
        <v>2023.01.17</v>
      </c>
      <c r="C228" s="118" t="str">
        <f t="shared" ca="1" si="65"/>
        <v/>
      </c>
      <c r="D228" s="122" t="str">
        <f t="shared" ca="1" si="66"/>
        <v/>
      </c>
      <c r="E228" s="70" t="str">
        <f t="shared" ca="1" si="67"/>
        <v/>
      </c>
      <c r="F228" s="120" t="str">
        <f t="shared" ca="1" si="68"/>
        <v/>
      </c>
      <c r="G228" s="122" t="str">
        <f t="shared" ca="1" si="69"/>
        <v/>
      </c>
      <c r="H228" s="70" t="str">
        <f t="shared" ca="1" si="70"/>
        <v/>
      </c>
      <c r="I228" s="120" t="str">
        <f t="shared" ca="1" si="71"/>
        <v/>
      </c>
      <c r="J228" s="122" t="str">
        <f t="shared" ca="1" si="72"/>
        <v/>
      </c>
      <c r="K228" s="70" t="str">
        <f t="shared" ca="1" si="73"/>
        <v/>
      </c>
      <c r="L228" s="120" t="str">
        <f t="shared" ca="1" si="74"/>
        <v/>
      </c>
      <c r="M228" s="122" t="str">
        <f t="shared" ca="1" si="75"/>
        <v/>
      </c>
      <c r="N228" s="70" t="str">
        <f t="shared" ca="1" si="76"/>
        <v/>
      </c>
      <c r="O228" s="120" t="str">
        <f t="shared" ca="1" si="77"/>
        <v/>
      </c>
    </row>
    <row r="229" spans="1:15" ht="16.5" customHeight="1">
      <c r="A229" s="47">
        <v>18</v>
      </c>
      <c r="B229" s="133" t="str">
        <f>HYPERLINK("#'" &amp; TEXT(투자전략!$G$1+17, "[$-ko-KR]yyyy.mm.dd") &amp; "'!A148:O172", TEXT(투자전략!$G$1+17, "[$-ko-KR]yyyy.mm.dd"))</f>
        <v>2023.01.18</v>
      </c>
      <c r="C229" s="118" t="str">
        <f t="shared" ca="1" si="65"/>
        <v/>
      </c>
      <c r="D229" s="122" t="str">
        <f t="shared" ca="1" si="66"/>
        <v/>
      </c>
      <c r="E229" s="70" t="str">
        <f t="shared" ca="1" si="67"/>
        <v/>
      </c>
      <c r="F229" s="120" t="str">
        <f t="shared" ca="1" si="68"/>
        <v/>
      </c>
      <c r="G229" s="122" t="str">
        <f t="shared" ca="1" si="69"/>
        <v/>
      </c>
      <c r="H229" s="70" t="str">
        <f t="shared" ca="1" si="70"/>
        <v/>
      </c>
      <c r="I229" s="120" t="str">
        <f t="shared" ca="1" si="71"/>
        <v/>
      </c>
      <c r="J229" s="122" t="str">
        <f t="shared" ca="1" si="72"/>
        <v/>
      </c>
      <c r="K229" s="70" t="str">
        <f t="shared" ca="1" si="73"/>
        <v/>
      </c>
      <c r="L229" s="120" t="str">
        <f t="shared" ca="1" si="74"/>
        <v/>
      </c>
      <c r="M229" s="122" t="str">
        <f t="shared" ca="1" si="75"/>
        <v/>
      </c>
      <c r="N229" s="70" t="str">
        <f t="shared" ca="1" si="76"/>
        <v/>
      </c>
      <c r="O229" s="120" t="str">
        <f t="shared" ca="1" si="77"/>
        <v/>
      </c>
    </row>
    <row r="230" spans="1:15" ht="16.5" customHeight="1">
      <c r="A230" s="47">
        <v>19</v>
      </c>
      <c r="B230" s="133" t="str">
        <f>HYPERLINK("#'" &amp; TEXT(투자전략!$G$1+18, "[$-ko-KR]yyyy.mm.dd") &amp; "'!A148:O172", TEXT(투자전략!$G$1+18, "[$-ko-KR]yyyy.mm.dd"))</f>
        <v>2023.01.19</v>
      </c>
      <c r="C230" s="118" t="str">
        <f t="shared" ca="1" si="65"/>
        <v/>
      </c>
      <c r="D230" s="122" t="str">
        <f t="shared" ca="1" si="66"/>
        <v/>
      </c>
      <c r="E230" s="70" t="str">
        <f t="shared" ca="1" si="67"/>
        <v/>
      </c>
      <c r="F230" s="120" t="str">
        <f t="shared" ca="1" si="68"/>
        <v/>
      </c>
      <c r="G230" s="122" t="str">
        <f t="shared" ca="1" si="69"/>
        <v/>
      </c>
      <c r="H230" s="70" t="str">
        <f t="shared" ca="1" si="70"/>
        <v/>
      </c>
      <c r="I230" s="120" t="str">
        <f t="shared" ca="1" si="71"/>
        <v/>
      </c>
      <c r="J230" s="122" t="str">
        <f t="shared" ca="1" si="72"/>
        <v/>
      </c>
      <c r="K230" s="70" t="str">
        <f t="shared" ca="1" si="73"/>
        <v/>
      </c>
      <c r="L230" s="120" t="str">
        <f t="shared" ca="1" si="74"/>
        <v/>
      </c>
      <c r="M230" s="122" t="str">
        <f t="shared" ca="1" si="75"/>
        <v/>
      </c>
      <c r="N230" s="70" t="str">
        <f t="shared" ca="1" si="76"/>
        <v/>
      </c>
      <c r="O230" s="120" t="str">
        <f t="shared" ca="1" si="77"/>
        <v/>
      </c>
    </row>
    <row r="231" spans="1:15" ht="16.5" customHeight="1">
      <c r="A231" s="47">
        <v>20</v>
      </c>
      <c r="B231" s="133" t="str">
        <f>HYPERLINK("#'" &amp; TEXT(투자전략!$G$1+19, "[$-ko-KR]yyyy.mm.dd") &amp; "'!A148:O172", TEXT(투자전략!$G$1+19, "[$-ko-KR]yyyy.mm.dd"))</f>
        <v>2023.01.20</v>
      </c>
      <c r="C231" s="118" t="str">
        <f t="shared" ca="1" si="65"/>
        <v/>
      </c>
      <c r="D231" s="122" t="str">
        <f t="shared" ca="1" si="66"/>
        <v/>
      </c>
      <c r="E231" s="70" t="str">
        <f t="shared" ca="1" si="67"/>
        <v/>
      </c>
      <c r="F231" s="120" t="str">
        <f t="shared" ca="1" si="68"/>
        <v/>
      </c>
      <c r="G231" s="122" t="str">
        <f t="shared" ca="1" si="69"/>
        <v/>
      </c>
      <c r="H231" s="70" t="str">
        <f t="shared" ca="1" si="70"/>
        <v/>
      </c>
      <c r="I231" s="120" t="str">
        <f t="shared" ca="1" si="71"/>
        <v/>
      </c>
      <c r="J231" s="122" t="str">
        <f t="shared" ca="1" si="72"/>
        <v/>
      </c>
      <c r="K231" s="70" t="str">
        <f t="shared" ca="1" si="73"/>
        <v/>
      </c>
      <c r="L231" s="120" t="str">
        <f t="shared" ca="1" si="74"/>
        <v/>
      </c>
      <c r="M231" s="122" t="str">
        <f t="shared" ca="1" si="75"/>
        <v/>
      </c>
      <c r="N231" s="70" t="str">
        <f t="shared" ca="1" si="76"/>
        <v/>
      </c>
      <c r="O231" s="120" t="str">
        <f t="shared" ca="1" si="77"/>
        <v/>
      </c>
    </row>
    <row r="232" spans="1:15" ht="16.5" customHeight="1" thickBot="1">
      <c r="A232" s="48">
        <v>21</v>
      </c>
      <c r="B232" s="134" t="str">
        <f>HYPERLINK("#'" &amp; TEXT(투자전략!$G$1+20, "[$-ko-KR]yyyy.mm.dd") &amp; "'!A148:O172", TEXT(투자전략!$G$1+20, "[$-ko-KR]yyyy.mm.dd"))</f>
        <v>2023.01.21</v>
      </c>
      <c r="C232" s="118" t="str">
        <f t="shared" ca="1" si="65"/>
        <v/>
      </c>
      <c r="D232" s="122" t="str">
        <f t="shared" ca="1" si="66"/>
        <v/>
      </c>
      <c r="E232" s="70" t="str">
        <f t="shared" ca="1" si="67"/>
        <v/>
      </c>
      <c r="F232" s="120" t="str">
        <f t="shared" ca="1" si="68"/>
        <v/>
      </c>
      <c r="G232" s="122" t="str">
        <f t="shared" ca="1" si="69"/>
        <v/>
      </c>
      <c r="H232" s="70" t="str">
        <f t="shared" ca="1" si="70"/>
        <v/>
      </c>
      <c r="I232" s="120" t="str">
        <f t="shared" ca="1" si="71"/>
        <v/>
      </c>
      <c r="J232" s="122" t="str">
        <f t="shared" ca="1" si="72"/>
        <v/>
      </c>
      <c r="K232" s="70" t="str">
        <f t="shared" ca="1" si="73"/>
        <v/>
      </c>
      <c r="L232" s="120" t="str">
        <f t="shared" ca="1" si="74"/>
        <v/>
      </c>
      <c r="M232" s="122" t="str">
        <f t="shared" ca="1" si="75"/>
        <v/>
      </c>
      <c r="N232" s="70" t="str">
        <f t="shared" ca="1" si="76"/>
        <v/>
      </c>
      <c r="O232" s="120" t="str">
        <f t="shared" ca="1" si="77"/>
        <v/>
      </c>
    </row>
    <row r="233" spans="1:15" ht="16.5" customHeight="1">
      <c r="A233" s="46">
        <v>22</v>
      </c>
      <c r="B233" s="132" t="str">
        <f>HYPERLINK("#'" &amp; TEXT(투자전략!$G$1+21, "[$-ko-KR]yyyy.mm.dd") &amp; "'!A148:O172", TEXT(투자전략!$G$1+21, "[$-ko-KR]yyyy.mm.dd"))</f>
        <v>2023.01.22</v>
      </c>
      <c r="C233" s="117" t="str">
        <f t="shared" ca="1" si="65"/>
        <v/>
      </c>
      <c r="D233" s="125" t="str">
        <f t="shared" ca="1" si="66"/>
        <v/>
      </c>
      <c r="E233" s="69" t="str">
        <f t="shared" ca="1" si="67"/>
        <v/>
      </c>
      <c r="F233" s="124" t="str">
        <f t="shared" ca="1" si="68"/>
        <v/>
      </c>
      <c r="G233" s="125" t="str">
        <f t="shared" ca="1" si="69"/>
        <v/>
      </c>
      <c r="H233" s="69" t="str">
        <f t="shared" ca="1" si="70"/>
        <v/>
      </c>
      <c r="I233" s="124" t="str">
        <f t="shared" ca="1" si="71"/>
        <v/>
      </c>
      <c r="J233" s="125" t="str">
        <f t="shared" ca="1" si="72"/>
        <v/>
      </c>
      <c r="K233" s="69" t="str">
        <f t="shared" ca="1" si="73"/>
        <v/>
      </c>
      <c r="L233" s="124" t="str">
        <f t="shared" ca="1" si="74"/>
        <v/>
      </c>
      <c r="M233" s="125" t="str">
        <f t="shared" ca="1" si="75"/>
        <v/>
      </c>
      <c r="N233" s="69" t="str">
        <f t="shared" ca="1" si="76"/>
        <v/>
      </c>
      <c r="O233" s="124" t="str">
        <f t="shared" ca="1" si="77"/>
        <v/>
      </c>
    </row>
    <row r="234" spans="1:15" ht="16.5" customHeight="1">
      <c r="A234" s="47">
        <v>23</v>
      </c>
      <c r="B234" s="133" t="str">
        <f>HYPERLINK("#'" &amp; TEXT(투자전략!$G$1+22, "[$-ko-KR]yyyy.mm.dd") &amp; "'!A148:O172", TEXT(투자전략!$G$1+22, "[$-ko-KR]yyyy.mm.dd"))</f>
        <v>2023.01.23</v>
      </c>
      <c r="C234" s="118" t="str">
        <f t="shared" ca="1" si="65"/>
        <v/>
      </c>
      <c r="D234" s="122" t="str">
        <f t="shared" ca="1" si="66"/>
        <v/>
      </c>
      <c r="E234" s="70" t="str">
        <f t="shared" ca="1" si="67"/>
        <v/>
      </c>
      <c r="F234" s="120" t="str">
        <f t="shared" ca="1" si="68"/>
        <v/>
      </c>
      <c r="G234" s="122" t="str">
        <f t="shared" ca="1" si="69"/>
        <v/>
      </c>
      <c r="H234" s="70" t="str">
        <f t="shared" ca="1" si="70"/>
        <v/>
      </c>
      <c r="I234" s="120" t="str">
        <f t="shared" ca="1" si="71"/>
        <v/>
      </c>
      <c r="J234" s="122" t="str">
        <f t="shared" ca="1" si="72"/>
        <v/>
      </c>
      <c r="K234" s="70" t="str">
        <f t="shared" ca="1" si="73"/>
        <v/>
      </c>
      <c r="L234" s="120" t="str">
        <f t="shared" ca="1" si="74"/>
        <v/>
      </c>
      <c r="M234" s="122" t="str">
        <f t="shared" ca="1" si="75"/>
        <v/>
      </c>
      <c r="N234" s="70" t="str">
        <f t="shared" ca="1" si="76"/>
        <v/>
      </c>
      <c r="O234" s="120" t="str">
        <f t="shared" ca="1" si="77"/>
        <v/>
      </c>
    </row>
    <row r="235" spans="1:15" ht="16.5" customHeight="1">
      <c r="A235" s="47">
        <v>24</v>
      </c>
      <c r="B235" s="133" t="str">
        <f>HYPERLINK("#'" &amp; TEXT(투자전략!$G$1+23, "[$-ko-KR]yyyy.mm.dd") &amp; "'!A148:O172", TEXT(투자전략!$G$1+23, "[$-ko-KR]yyyy.mm.dd"))</f>
        <v>2023.01.24</v>
      </c>
      <c r="C235" s="118" t="str">
        <f t="shared" ca="1" si="65"/>
        <v/>
      </c>
      <c r="D235" s="122" t="str">
        <f t="shared" ca="1" si="66"/>
        <v/>
      </c>
      <c r="E235" s="70" t="str">
        <f t="shared" ca="1" si="67"/>
        <v/>
      </c>
      <c r="F235" s="120" t="str">
        <f t="shared" ca="1" si="68"/>
        <v/>
      </c>
      <c r="G235" s="122" t="str">
        <f t="shared" ca="1" si="69"/>
        <v/>
      </c>
      <c r="H235" s="70" t="str">
        <f t="shared" ca="1" si="70"/>
        <v/>
      </c>
      <c r="I235" s="120" t="str">
        <f t="shared" ca="1" si="71"/>
        <v/>
      </c>
      <c r="J235" s="122" t="str">
        <f t="shared" ca="1" si="72"/>
        <v/>
      </c>
      <c r="K235" s="70" t="str">
        <f t="shared" ca="1" si="73"/>
        <v/>
      </c>
      <c r="L235" s="120" t="str">
        <f t="shared" ca="1" si="74"/>
        <v/>
      </c>
      <c r="M235" s="122" t="str">
        <f t="shared" ca="1" si="75"/>
        <v/>
      </c>
      <c r="N235" s="70" t="str">
        <f t="shared" ca="1" si="76"/>
        <v/>
      </c>
      <c r="O235" s="120" t="str">
        <f t="shared" ca="1" si="77"/>
        <v/>
      </c>
    </row>
    <row r="236" spans="1:15" ht="16.5" customHeight="1">
      <c r="A236" s="47">
        <v>25</v>
      </c>
      <c r="B236" s="133" t="str">
        <f>HYPERLINK("#'" &amp; TEXT(투자전략!$G$1+24, "[$-ko-KR]yyyy.mm.dd") &amp; "'!A148:O172", TEXT(투자전략!$G$1+24, "[$-ko-KR]yyyy.mm.dd"))</f>
        <v>2023.01.25</v>
      </c>
      <c r="C236" s="118" t="str">
        <f t="shared" ca="1" si="65"/>
        <v/>
      </c>
      <c r="D236" s="122" t="str">
        <f t="shared" ca="1" si="66"/>
        <v/>
      </c>
      <c r="E236" s="70" t="str">
        <f t="shared" ca="1" si="67"/>
        <v/>
      </c>
      <c r="F236" s="120" t="str">
        <f t="shared" ca="1" si="68"/>
        <v/>
      </c>
      <c r="G236" s="122" t="str">
        <f t="shared" ca="1" si="69"/>
        <v/>
      </c>
      <c r="H236" s="70" t="str">
        <f t="shared" ca="1" si="70"/>
        <v/>
      </c>
      <c r="I236" s="120" t="str">
        <f t="shared" ca="1" si="71"/>
        <v/>
      </c>
      <c r="J236" s="122" t="str">
        <f t="shared" ca="1" si="72"/>
        <v/>
      </c>
      <c r="K236" s="70" t="str">
        <f t="shared" ca="1" si="73"/>
        <v/>
      </c>
      <c r="L236" s="120" t="str">
        <f t="shared" ca="1" si="74"/>
        <v/>
      </c>
      <c r="M236" s="122" t="str">
        <f t="shared" ca="1" si="75"/>
        <v/>
      </c>
      <c r="N236" s="70" t="str">
        <f t="shared" ca="1" si="76"/>
        <v/>
      </c>
      <c r="O236" s="120" t="str">
        <f t="shared" ca="1" si="77"/>
        <v/>
      </c>
    </row>
    <row r="237" spans="1:15" ht="16.5" customHeight="1">
      <c r="A237" s="47">
        <v>26</v>
      </c>
      <c r="B237" s="133" t="str">
        <f>HYPERLINK("#'" &amp; TEXT(투자전략!$G$1+25, "[$-ko-KR]yyyy.mm.dd") &amp; "'!A148:O172", TEXT(투자전략!$G$1+25, "[$-ko-KR]yyyy.mm.dd"))</f>
        <v>2023.01.26</v>
      </c>
      <c r="C237" s="118" t="str">
        <f t="shared" ca="1" si="65"/>
        <v/>
      </c>
      <c r="D237" s="122" t="str">
        <f t="shared" ca="1" si="66"/>
        <v/>
      </c>
      <c r="E237" s="70" t="str">
        <f t="shared" ca="1" si="67"/>
        <v/>
      </c>
      <c r="F237" s="120" t="str">
        <f t="shared" ca="1" si="68"/>
        <v/>
      </c>
      <c r="G237" s="122" t="str">
        <f t="shared" ca="1" si="69"/>
        <v/>
      </c>
      <c r="H237" s="70" t="str">
        <f t="shared" ca="1" si="70"/>
        <v/>
      </c>
      <c r="I237" s="120" t="str">
        <f t="shared" ca="1" si="71"/>
        <v/>
      </c>
      <c r="J237" s="122" t="str">
        <f t="shared" ca="1" si="72"/>
        <v/>
      </c>
      <c r="K237" s="70" t="str">
        <f t="shared" ca="1" si="73"/>
        <v/>
      </c>
      <c r="L237" s="120" t="str">
        <f t="shared" ca="1" si="74"/>
        <v/>
      </c>
      <c r="M237" s="122" t="str">
        <f t="shared" ca="1" si="75"/>
        <v/>
      </c>
      <c r="N237" s="70" t="str">
        <f t="shared" ca="1" si="76"/>
        <v/>
      </c>
      <c r="O237" s="120" t="str">
        <f t="shared" ca="1" si="77"/>
        <v/>
      </c>
    </row>
    <row r="238" spans="1:15" ht="16.5" customHeight="1">
      <c r="A238" s="47">
        <v>27</v>
      </c>
      <c r="B238" s="133" t="str">
        <f>HYPERLINK("#'" &amp; TEXT(투자전략!$G$1+26, "[$-ko-KR]yyyy.mm.dd") &amp; "'!A148:O172", TEXT(투자전략!$G$1+26, "[$-ko-KR]yyyy.mm.dd"))</f>
        <v>2023.01.27</v>
      </c>
      <c r="C238" s="118" t="str">
        <f t="shared" ca="1" si="65"/>
        <v/>
      </c>
      <c r="D238" s="122" t="str">
        <f t="shared" ca="1" si="66"/>
        <v/>
      </c>
      <c r="E238" s="70" t="str">
        <f t="shared" ca="1" si="67"/>
        <v/>
      </c>
      <c r="F238" s="120" t="str">
        <f t="shared" ca="1" si="68"/>
        <v/>
      </c>
      <c r="G238" s="122" t="str">
        <f t="shared" ca="1" si="69"/>
        <v/>
      </c>
      <c r="H238" s="70" t="str">
        <f t="shared" ca="1" si="70"/>
        <v/>
      </c>
      <c r="I238" s="120" t="str">
        <f t="shared" ca="1" si="71"/>
        <v/>
      </c>
      <c r="J238" s="122" t="str">
        <f t="shared" ca="1" si="72"/>
        <v/>
      </c>
      <c r="K238" s="70" t="str">
        <f t="shared" ca="1" si="73"/>
        <v/>
      </c>
      <c r="L238" s="120" t="str">
        <f t="shared" ca="1" si="74"/>
        <v/>
      </c>
      <c r="M238" s="122" t="str">
        <f t="shared" ca="1" si="75"/>
        <v/>
      </c>
      <c r="N238" s="70" t="str">
        <f t="shared" ca="1" si="76"/>
        <v/>
      </c>
      <c r="O238" s="120" t="str">
        <f t="shared" ca="1" si="77"/>
        <v/>
      </c>
    </row>
    <row r="239" spans="1:15" ht="16.5" customHeight="1" thickBot="1">
      <c r="A239" s="48">
        <v>28</v>
      </c>
      <c r="B239" s="134" t="str">
        <f>HYPERLINK("#'" &amp; TEXT(투자전략!$G$1+27, "[$-ko-KR]yyyy.mm.dd") &amp; "'!A148:O172", TEXT(투자전략!$G$1+27, "[$-ko-KR]yyyy.mm.dd"))</f>
        <v>2023.01.28</v>
      </c>
      <c r="C239" s="119" t="str">
        <f t="shared" ca="1" si="65"/>
        <v/>
      </c>
      <c r="D239" s="123" t="str">
        <f t="shared" ca="1" si="66"/>
        <v/>
      </c>
      <c r="E239" s="72" t="str">
        <f t="shared" ca="1" si="67"/>
        <v/>
      </c>
      <c r="F239" s="121" t="str">
        <f t="shared" ca="1" si="68"/>
        <v/>
      </c>
      <c r="G239" s="123" t="str">
        <f t="shared" ca="1" si="69"/>
        <v/>
      </c>
      <c r="H239" s="72" t="str">
        <f t="shared" ca="1" si="70"/>
        <v/>
      </c>
      <c r="I239" s="121" t="str">
        <f t="shared" ca="1" si="71"/>
        <v/>
      </c>
      <c r="J239" s="123" t="str">
        <f t="shared" ca="1" si="72"/>
        <v/>
      </c>
      <c r="K239" s="72" t="str">
        <f t="shared" ca="1" si="73"/>
        <v/>
      </c>
      <c r="L239" s="121" t="str">
        <f t="shared" ca="1" si="74"/>
        <v/>
      </c>
      <c r="M239" s="123" t="str">
        <f t="shared" ca="1" si="75"/>
        <v/>
      </c>
      <c r="N239" s="72" t="str">
        <f t="shared" ca="1" si="76"/>
        <v/>
      </c>
      <c r="O239" s="121" t="str">
        <f t="shared" ca="1" si="77"/>
        <v/>
      </c>
    </row>
    <row r="240" spans="1:15" ht="16.5" customHeight="1">
      <c r="A240" s="105">
        <v>29</v>
      </c>
      <c r="B240" s="132" t="str">
        <f>HYPERLINK("#'" &amp; TEXT(투자전략!$G$1+28, "[$-ko-KR]yyyy.mm.dd") &amp; "'!A148:O172", TEXT(투자전략!$G$1+28, "[$-ko-KR]yyyy.mm.dd"))</f>
        <v>2023.01.29</v>
      </c>
      <c r="C240" s="118" t="str">
        <f t="shared" ca="1" si="65"/>
        <v/>
      </c>
      <c r="D240" s="122" t="str">
        <f t="shared" ca="1" si="66"/>
        <v/>
      </c>
      <c r="E240" s="70" t="str">
        <f t="shared" ca="1" si="67"/>
        <v/>
      </c>
      <c r="F240" s="120" t="str">
        <f t="shared" ca="1" si="68"/>
        <v/>
      </c>
      <c r="G240" s="122" t="str">
        <f t="shared" ca="1" si="69"/>
        <v/>
      </c>
      <c r="H240" s="70" t="str">
        <f t="shared" ca="1" si="70"/>
        <v/>
      </c>
      <c r="I240" s="120" t="str">
        <f t="shared" ca="1" si="71"/>
        <v/>
      </c>
      <c r="J240" s="122" t="str">
        <f t="shared" ca="1" si="72"/>
        <v/>
      </c>
      <c r="K240" s="70" t="str">
        <f t="shared" ca="1" si="73"/>
        <v/>
      </c>
      <c r="L240" s="120" t="str">
        <f t="shared" ca="1" si="74"/>
        <v/>
      </c>
      <c r="M240" s="122" t="str">
        <f t="shared" ca="1" si="75"/>
        <v/>
      </c>
      <c r="N240" s="70" t="str">
        <f t="shared" ca="1" si="76"/>
        <v/>
      </c>
      <c r="O240" s="120" t="str">
        <f t="shared" ca="1" si="77"/>
        <v/>
      </c>
    </row>
    <row r="241" spans="1:15" ht="16.5" customHeight="1">
      <c r="A241" s="105">
        <v>30</v>
      </c>
      <c r="B241" s="133" t="str">
        <f>HYPERLINK("#'" &amp; TEXT(투자전략!$G$1+29, "[$-ko-KR]yyyy.mm.dd") &amp; "'!A148:O172", TEXT(투자전략!$G$1+29, "[$-ko-KR]yyyy.mm.dd"))</f>
        <v>2023.01.30</v>
      </c>
      <c r="C241" s="118" t="str">
        <f t="shared" ca="1" si="65"/>
        <v/>
      </c>
      <c r="D241" s="122" t="str">
        <f t="shared" ca="1" si="66"/>
        <v/>
      </c>
      <c r="E241" s="70" t="str">
        <f t="shared" ca="1" si="67"/>
        <v/>
      </c>
      <c r="F241" s="120" t="str">
        <f t="shared" ca="1" si="68"/>
        <v/>
      </c>
      <c r="G241" s="122" t="str">
        <f t="shared" ca="1" si="69"/>
        <v/>
      </c>
      <c r="H241" s="70" t="str">
        <f t="shared" ca="1" si="70"/>
        <v/>
      </c>
      <c r="I241" s="120" t="str">
        <f t="shared" ca="1" si="71"/>
        <v/>
      </c>
      <c r="J241" s="122" t="str">
        <f t="shared" ca="1" si="72"/>
        <v/>
      </c>
      <c r="K241" s="70" t="str">
        <f t="shared" ca="1" si="73"/>
        <v/>
      </c>
      <c r="L241" s="120" t="str">
        <f t="shared" ca="1" si="74"/>
        <v/>
      </c>
      <c r="M241" s="122" t="str">
        <f t="shared" ca="1" si="75"/>
        <v/>
      </c>
      <c r="N241" s="70" t="str">
        <f t="shared" ca="1" si="76"/>
        <v/>
      </c>
      <c r="O241" s="120" t="str">
        <f t="shared" ca="1" si="77"/>
        <v/>
      </c>
    </row>
    <row r="242" spans="1:15" ht="16.5" customHeight="1" thickBot="1">
      <c r="A242" s="105">
        <v>31</v>
      </c>
      <c r="B242" s="133" t="str">
        <f>HYPERLINK("#'" &amp; TEXT(투자전략!$G$1+30, "[$-ko-KR]yyyy.mm.dd") &amp; "'!A148:O172", TEXT(투자전략!$G$1+30, "[$-ko-KR]yyyy.mm.dd"))</f>
        <v>2023.01.31</v>
      </c>
      <c r="C242" s="119" t="str">
        <f t="shared" ca="1" si="65"/>
        <v/>
      </c>
      <c r="D242" s="123" t="str">
        <f t="shared" ca="1" si="66"/>
        <v/>
      </c>
      <c r="E242" s="72" t="str">
        <f t="shared" ca="1" si="67"/>
        <v/>
      </c>
      <c r="F242" s="121" t="str">
        <f t="shared" ca="1" si="68"/>
        <v/>
      </c>
      <c r="G242" s="123" t="str">
        <f t="shared" ca="1" si="69"/>
        <v/>
      </c>
      <c r="H242" s="72" t="str">
        <f t="shared" ca="1" si="70"/>
        <v/>
      </c>
      <c r="I242" s="121" t="str">
        <f t="shared" ca="1" si="71"/>
        <v/>
      </c>
      <c r="J242" s="123" t="str">
        <f t="shared" ca="1" si="72"/>
        <v/>
      </c>
      <c r="K242" s="72" t="str">
        <f t="shared" ca="1" si="73"/>
        <v/>
      </c>
      <c r="L242" s="121" t="str">
        <f t="shared" ca="1" si="74"/>
        <v/>
      </c>
      <c r="M242" s="123" t="str">
        <f t="shared" ca="1" si="75"/>
        <v/>
      </c>
      <c r="N242" s="72" t="str">
        <f t="shared" ca="1" si="76"/>
        <v/>
      </c>
      <c r="O242" s="121" t="str">
        <f t="shared" ca="1" si="77"/>
        <v/>
      </c>
    </row>
    <row r="243" spans="1:15" ht="16.5" customHeight="1" thickBot="1">
      <c r="A243" s="185" t="s">
        <v>270</v>
      </c>
      <c r="B243" s="187"/>
      <c r="C243" s="116" t="s">
        <v>265</v>
      </c>
      <c r="D243" s="9" t="s">
        <v>266</v>
      </c>
      <c r="E243" s="63" t="s">
        <v>267</v>
      </c>
      <c r="F243" s="64" t="s">
        <v>268</v>
      </c>
      <c r="G243" s="9" t="s">
        <v>266</v>
      </c>
      <c r="H243" s="63" t="s">
        <v>267</v>
      </c>
      <c r="I243" s="64" t="s">
        <v>268</v>
      </c>
      <c r="J243" s="9" t="s">
        <v>266</v>
      </c>
      <c r="K243" s="63" t="s">
        <v>267</v>
      </c>
      <c r="L243" s="64" t="s">
        <v>268</v>
      </c>
      <c r="M243" s="9" t="s">
        <v>266</v>
      </c>
      <c r="N243" s="63" t="s">
        <v>267</v>
      </c>
      <c r="O243" s="64" t="s">
        <v>268</v>
      </c>
    </row>
    <row r="244" spans="1:15" ht="16.5" customHeight="1" thickBot="1">
      <c r="A244" s="178"/>
      <c r="B244" s="180"/>
      <c r="C244" s="119">
        <f ca="1">SUM(C212:C242)</f>
        <v>24000000</v>
      </c>
      <c r="D244" s="123">
        <f ca="1">SUM(D212:D242)</f>
        <v>24151213.734180778</v>
      </c>
      <c r="E244" s="72">
        <f ca="1">IFERROR(F244 / (SUM($C212:$C242) / COUNT($C212:$C242)), 0)</f>
        <v>5.040457806025913E-2</v>
      </c>
      <c r="F244" s="121">
        <f ca="1">SUM(F212:F242)</f>
        <v>151213.73418077739</v>
      </c>
      <c r="G244" s="123">
        <f ca="1">SUM(G212:G242)</f>
        <v>24166635.905212935</v>
      </c>
      <c r="H244" s="72">
        <f ca="1">IFERROR(I244 / (SUM($C212:$C242) / COUNT($C212:$C242)), 0)</f>
        <v>5.5545301737644631E-2</v>
      </c>
      <c r="I244" s="121">
        <f ca="1">SUM(I212:I242)</f>
        <v>166635.9052129339</v>
      </c>
      <c r="J244" s="123">
        <f ca="1">SUM(J212:J242)</f>
        <v>24163281.487904266</v>
      </c>
      <c r="K244" s="72">
        <f ca="1">IFERROR(L244 / (SUM($C212:$C242) / COUNT($C212:$C242)), 0)</f>
        <v>5.4427162634755236E-2</v>
      </c>
      <c r="L244" s="121">
        <f ca="1">SUM(L212:L242)</f>
        <v>163281.4879042657</v>
      </c>
      <c r="M244" s="123">
        <f ca="1">SUM(M212:M242)</f>
        <v>24054609.521527559</v>
      </c>
      <c r="N244" s="72">
        <f ca="1">IFERROR(O244 / (SUM($C212:$C242) / COUNT($C212:$C242)), 0)</f>
        <v>1.8203173842519803E-2</v>
      </c>
      <c r="O244" s="121">
        <f ca="1">SUM(O212:O242)</f>
        <v>54609.521527559409</v>
      </c>
    </row>
    <row r="246" spans="1:15" ht="16.5" customHeight="1" thickBot="1"/>
    <row r="247" spans="1:15" ht="16.5" customHeight="1" thickBot="1">
      <c r="A247" s="157" t="str">
        <f>TEXT(투자전략!$G$1, "[$-ko-KR]yyyy년 mm월 ") &amp; "전일대비 상승률 Bottom20 월말결산"</f>
        <v>2023년 01월 전일대비 상승률 Bottom20 월말결산</v>
      </c>
      <c r="B247" s="158"/>
      <c r="C247" s="158"/>
      <c r="D247" s="158"/>
      <c r="E247" s="158"/>
      <c r="F247" s="158"/>
      <c r="G247" s="158"/>
      <c r="H247" s="158"/>
      <c r="I247" s="158"/>
      <c r="J247" s="158"/>
      <c r="K247" s="158"/>
      <c r="L247" s="158"/>
      <c r="M247" s="158"/>
      <c r="N247" s="158"/>
      <c r="O247" s="159"/>
    </row>
    <row r="248" spans="1:15" ht="16.5" customHeight="1" thickBot="1">
      <c r="A248" s="201" t="s">
        <v>271</v>
      </c>
      <c r="B248" s="178" t="s">
        <v>269</v>
      </c>
      <c r="C248" s="180"/>
      <c r="D248" s="178" t="s">
        <v>261</v>
      </c>
      <c r="E248" s="179"/>
      <c r="F248" s="180"/>
      <c r="G248" s="178" t="s">
        <v>262</v>
      </c>
      <c r="H248" s="179"/>
      <c r="I248" s="180"/>
      <c r="J248" s="178" t="s">
        <v>263</v>
      </c>
      <c r="K248" s="179"/>
      <c r="L248" s="180"/>
      <c r="M248" s="178" t="s">
        <v>264</v>
      </c>
      <c r="N248" s="179"/>
      <c r="O248" s="180"/>
    </row>
    <row r="249" spans="1:15" ht="16.5" customHeight="1" thickBot="1">
      <c r="A249" s="194"/>
      <c r="B249" s="46" t="s">
        <v>259</v>
      </c>
      <c r="C249" s="46" t="s">
        <v>42</v>
      </c>
      <c r="D249" s="105" t="s">
        <v>260</v>
      </c>
      <c r="E249" s="106" t="s">
        <v>40</v>
      </c>
      <c r="F249" s="81" t="s">
        <v>41</v>
      </c>
      <c r="G249" s="105" t="s">
        <v>260</v>
      </c>
      <c r="H249" s="106" t="s">
        <v>40</v>
      </c>
      <c r="I249" s="81" t="s">
        <v>41</v>
      </c>
      <c r="J249" s="105" t="s">
        <v>260</v>
      </c>
      <c r="K249" s="106" t="s">
        <v>40</v>
      </c>
      <c r="L249" s="81" t="s">
        <v>41</v>
      </c>
      <c r="M249" s="105" t="s">
        <v>260</v>
      </c>
      <c r="N249" s="106" t="s">
        <v>40</v>
      </c>
      <c r="O249" s="81" t="s">
        <v>41</v>
      </c>
    </row>
    <row r="250" spans="1:15" ht="16.5" customHeight="1">
      <c r="A250" s="46">
        <v>1</v>
      </c>
      <c r="B250" s="132" t="str">
        <f>HYPERLINK("#'" &amp; TEXT(투자전략!$G$1+0, "[$-ko-KR]yyyy.mm.dd") &amp; "'!A175:O199", TEXT(투자전략!$G$1+0, "[$-ko-KR]yyyy.mm.dd"))</f>
        <v>2023.01.01</v>
      </c>
      <c r="C250" s="117">
        <f ca="1">IFERROR(COUNTA(INDIRECT($B250&amp;"!A179:A198")) * INDIRECT($B250&amp;"!B199"), "")</f>
        <v>3000000</v>
      </c>
      <c r="D250" s="125">
        <f ca="1">IFERROR($C250 * (1 + E250), "")</f>
        <v>3009476.2449241634</v>
      </c>
      <c r="E250" s="69">
        <f ca="1">IFERROR(INDIRECT($B250&amp;"!E199"), "")</f>
        <v>3.1587483080544169E-3</v>
      </c>
      <c r="F250" s="124">
        <f ca="1">IFERROR(INDIRECT($B250&amp;"!F199"), "")</f>
        <v>9476.2449241632512</v>
      </c>
      <c r="G250" s="125">
        <f ca="1">IFERROR($C250 * (1 + H250), "")</f>
        <v>3024715.261108906</v>
      </c>
      <c r="H250" s="69">
        <f ca="1">IFERROR(INDIRECT($B250&amp;"!H199"), "")</f>
        <v>8.2384203696353638E-3</v>
      </c>
      <c r="I250" s="124">
        <f ca="1">IFERROR(INDIRECT($B250&amp;"!I199"), "")</f>
        <v>24715.261108906088</v>
      </c>
      <c r="J250" s="125">
        <f ca="1">IFERROR($C250 * (1 + K250), "")</f>
        <v>3024715.261108906</v>
      </c>
      <c r="K250" s="69">
        <f ca="1">IFERROR(INDIRECT($B250&amp;"!K199"), "")</f>
        <v>8.2384203696353638E-3</v>
      </c>
      <c r="L250" s="124">
        <f ca="1">IFERROR(INDIRECT($B250&amp;"!L199"), "")</f>
        <v>24715.261108906088</v>
      </c>
      <c r="M250" s="125">
        <f ca="1">IFERROR($C250 * (1 + N250), "")</f>
        <v>3019528.2942145844</v>
      </c>
      <c r="N250" s="69">
        <f ca="1">IFERROR(INDIRECT($B250&amp;"!N199"), "")</f>
        <v>6.5094314048615431E-3</v>
      </c>
      <c r="O250" s="124">
        <f ca="1">IFERROR(INDIRECT($B250&amp;"!O199"), "")</f>
        <v>19528.294214584628</v>
      </c>
    </row>
    <row r="251" spans="1:15" ht="16.5" customHeight="1">
      <c r="A251" s="47">
        <v>2</v>
      </c>
      <c r="B251" s="133" t="str">
        <f>HYPERLINK("#'" &amp; TEXT(투자전략!$G$1+1, "[$-ko-KR]yyyy.mm.dd") &amp; "'!A175:O199", TEXT(투자전략!$G$1+1, "[$-ko-KR]yyyy.mm.dd"))</f>
        <v>2023.01.02</v>
      </c>
      <c r="C251" s="118">
        <f t="shared" ref="C251:C280" ca="1" si="78">IFERROR(COUNTA(INDIRECT($B251&amp;"!A179:A198")) * INDIRECT($B251&amp;"!B199"), "")</f>
        <v>3000000</v>
      </c>
      <c r="D251" s="122">
        <f t="shared" ref="D251:D280" ca="1" si="79">IFERROR($C251 * (1 + E251), "")</f>
        <v>3008087.4014403075</v>
      </c>
      <c r="E251" s="70">
        <f t="shared" ref="E251:E280" ca="1" si="80">IFERROR(INDIRECT($B251&amp;"!E199"), "")</f>
        <v>2.6958004801025761E-3</v>
      </c>
      <c r="F251" s="120">
        <f t="shared" ref="F251:F280" ca="1" si="81">IFERROR(INDIRECT($B251&amp;"!F199"), "")</f>
        <v>8087.401440307729</v>
      </c>
      <c r="G251" s="122">
        <f t="shared" ref="G251:G280" ca="1" si="82">IFERROR($C251 * (1 + H251), "")</f>
        <v>3065643.2497017561</v>
      </c>
      <c r="H251" s="70">
        <f t="shared" ref="H251:H280" ca="1" si="83">IFERROR(INDIRECT($B251&amp;"!H199"), "")</f>
        <v>2.1881083233918679E-2</v>
      </c>
      <c r="I251" s="120">
        <f t="shared" ref="I251:I280" ca="1" si="84">IFERROR(INDIRECT($B251&amp;"!I199"), "")</f>
        <v>65643.249701756038</v>
      </c>
      <c r="J251" s="122">
        <f t="shared" ref="J251:J280" ca="1" si="85">IFERROR($C251 * (1 + K251), "")</f>
        <v>3060911.6252441267</v>
      </c>
      <c r="K251" s="70">
        <f t="shared" ref="K251:K280" ca="1" si="86">IFERROR(INDIRECT($B251&amp;"!K199"), "")</f>
        <v>2.0303875081375579E-2</v>
      </c>
      <c r="L251" s="120">
        <f t="shared" ref="L251:L280" ca="1" si="87">IFERROR(INDIRECT($B251&amp;"!L199"), "")</f>
        <v>60911.625244126742</v>
      </c>
      <c r="M251" s="122">
        <f t="shared" ref="M251:M280" ca="1" si="88">IFERROR($C251 * (1 + N251), "")</f>
        <v>3063514.6821479579</v>
      </c>
      <c r="N251" s="70">
        <f t="shared" ref="N251:N280" ca="1" si="89">IFERROR(INDIRECT($B251&amp;"!N199"), "")</f>
        <v>2.1171560715986016E-2</v>
      </c>
      <c r="O251" s="120">
        <f t="shared" ref="O251:O280" ca="1" si="90">IFERROR(INDIRECT($B251&amp;"!O199"), "")</f>
        <v>63514.682147958061</v>
      </c>
    </row>
    <row r="252" spans="1:15" ht="16.5" customHeight="1">
      <c r="A252" s="47">
        <v>3</v>
      </c>
      <c r="B252" s="133" t="str">
        <f>HYPERLINK("#'" &amp; TEXT(투자전략!$G$1+2, "[$-ko-KR]yyyy.mm.dd") &amp; "'!A175:O199", TEXT(투자전략!$G$1+2, "[$-ko-KR]yyyy.mm.dd"))</f>
        <v>2023.01.03</v>
      </c>
      <c r="C252" s="118">
        <f t="shared" ca="1" si="78"/>
        <v>3000000</v>
      </c>
      <c r="D252" s="122">
        <f t="shared" ca="1" si="79"/>
        <v>3006487.3726744028</v>
      </c>
      <c r="E252" s="70">
        <f t="shared" ca="1" si="80"/>
        <v>2.1624575581342615E-3</v>
      </c>
      <c r="F252" s="120">
        <f t="shared" ca="1" si="81"/>
        <v>6487.3726744027836</v>
      </c>
      <c r="G252" s="122">
        <f t="shared" ca="1" si="82"/>
        <v>3021089.9984394726</v>
      </c>
      <c r="H252" s="70">
        <f t="shared" ca="1" si="83"/>
        <v>7.0299994798241321E-3</v>
      </c>
      <c r="I252" s="120">
        <f t="shared" ca="1" si="84"/>
        <v>21089.998439472398</v>
      </c>
      <c r="J252" s="122">
        <f t="shared" ca="1" si="85"/>
        <v>3020831.7311024307</v>
      </c>
      <c r="K252" s="70">
        <f t="shared" ca="1" si="86"/>
        <v>6.9439103674769059E-3</v>
      </c>
      <c r="L252" s="120">
        <f t="shared" ca="1" si="87"/>
        <v>20831.73110243072</v>
      </c>
      <c r="M252" s="122">
        <f t="shared" ca="1" si="88"/>
        <v>3006233.2344712988</v>
      </c>
      <c r="N252" s="70">
        <f t="shared" ca="1" si="89"/>
        <v>2.0777448237663718E-3</v>
      </c>
      <c r="O252" s="120">
        <f t="shared" ca="1" si="90"/>
        <v>6233.2344712991153</v>
      </c>
    </row>
    <row r="253" spans="1:15" ht="16.5" customHeight="1">
      <c r="A253" s="47">
        <v>4</v>
      </c>
      <c r="B253" s="133" t="str">
        <f>HYPERLINK("#'" &amp; TEXT(투자전략!$G$1+3, "[$-ko-KR]yyyy.mm.dd") &amp; "'!A175:O199", TEXT(투자전략!$G$1+3, "[$-ko-KR]yyyy.mm.dd"))</f>
        <v>2023.01.04</v>
      </c>
      <c r="C253" s="118">
        <f t="shared" ca="1" si="78"/>
        <v>3000000</v>
      </c>
      <c r="D253" s="122">
        <f t="shared" ca="1" si="79"/>
        <v>3066741.8131958079</v>
      </c>
      <c r="E253" s="70">
        <f t="shared" ca="1" si="80"/>
        <v>2.2247271065269202E-2</v>
      </c>
      <c r="F253" s="120">
        <f t="shared" ca="1" si="81"/>
        <v>66741.813195807612</v>
      </c>
      <c r="G253" s="122">
        <f t="shared" ca="1" si="82"/>
        <v>3061360.6543043251</v>
      </c>
      <c r="H253" s="70">
        <f t="shared" ca="1" si="83"/>
        <v>2.0453551434774911E-2</v>
      </c>
      <c r="I253" s="120">
        <f t="shared" ca="1" si="84"/>
        <v>61360.654304324729</v>
      </c>
      <c r="J253" s="122">
        <f t="shared" ca="1" si="85"/>
        <v>3063878.1874723351</v>
      </c>
      <c r="K253" s="70">
        <f t="shared" ca="1" si="86"/>
        <v>2.1292729157445029E-2</v>
      </c>
      <c r="L253" s="120">
        <f t="shared" ca="1" si="87"/>
        <v>63878.187472335077</v>
      </c>
      <c r="M253" s="122">
        <f t="shared" ca="1" si="88"/>
        <v>3058300.7237851568</v>
      </c>
      <c r="N253" s="70">
        <f t="shared" ca="1" si="89"/>
        <v>1.943357459505226E-2</v>
      </c>
      <c r="O253" s="120">
        <f t="shared" ca="1" si="90"/>
        <v>58300.72378515677</v>
      </c>
    </row>
    <row r="254" spans="1:15" ht="16.5" customHeight="1">
      <c r="A254" s="47">
        <v>5</v>
      </c>
      <c r="B254" s="133" t="str">
        <f>HYPERLINK("#'" &amp; TEXT(투자전략!$G$1+4, "[$-ko-KR]yyyy.mm.dd") &amp; "'!A175:O199", TEXT(투자전략!$G$1+4, "[$-ko-KR]yyyy.mm.dd"))</f>
        <v>2023.01.05</v>
      </c>
      <c r="C254" s="118">
        <f t="shared" ca="1" si="78"/>
        <v>3000000</v>
      </c>
      <c r="D254" s="122">
        <f t="shared" ca="1" si="79"/>
        <v>2992497.6420076769</v>
      </c>
      <c r="E254" s="70">
        <f t="shared" ca="1" si="80"/>
        <v>-2.5007859974410301E-3</v>
      </c>
      <c r="F254" s="120">
        <f t="shared" ca="1" si="81"/>
        <v>-7502.3579923230909</v>
      </c>
      <c r="G254" s="122">
        <f t="shared" ca="1" si="82"/>
        <v>2941655.6871310021</v>
      </c>
      <c r="H254" s="70">
        <f t="shared" ca="1" si="83"/>
        <v>-1.9448104289666056E-2</v>
      </c>
      <c r="I254" s="120">
        <f t="shared" ca="1" si="84"/>
        <v>-58344.312868998168</v>
      </c>
      <c r="J254" s="122">
        <f t="shared" ca="1" si="85"/>
        <v>2968921.2583704437</v>
      </c>
      <c r="K254" s="70">
        <f t="shared" ca="1" si="86"/>
        <v>-1.0359580543185382E-2</v>
      </c>
      <c r="L254" s="120">
        <f t="shared" ca="1" si="87"/>
        <v>-31078.741629556149</v>
      </c>
      <c r="M254" s="122">
        <f t="shared" ca="1" si="88"/>
        <v>2962933.5928733009</v>
      </c>
      <c r="N254" s="70">
        <f t="shared" ca="1" si="89"/>
        <v>-1.2355469042233062E-2</v>
      </c>
      <c r="O254" s="120">
        <f t="shared" ca="1" si="90"/>
        <v>-37066.407126699181</v>
      </c>
    </row>
    <row r="255" spans="1:15" ht="16.5" customHeight="1">
      <c r="A255" s="47">
        <v>6</v>
      </c>
      <c r="B255" s="133" t="str">
        <f>HYPERLINK("#'" &amp; TEXT(투자전략!$G$1+5, "[$-ko-KR]yyyy.mm.dd") &amp; "'!A175:O199", TEXT(투자전략!$G$1+5, "[$-ko-KR]yyyy.mm.dd"))</f>
        <v>2023.01.06</v>
      </c>
      <c r="C255" s="118">
        <f t="shared" ca="1" si="78"/>
        <v>3000000</v>
      </c>
      <c r="D255" s="122">
        <f t="shared" ca="1" si="79"/>
        <v>2970823.6824337952</v>
      </c>
      <c r="E255" s="70">
        <f t="shared" ca="1" si="80"/>
        <v>-9.7254391887348808E-3</v>
      </c>
      <c r="F255" s="120">
        <f t="shared" ca="1" si="81"/>
        <v>-29176.317566204641</v>
      </c>
      <c r="G255" s="122">
        <f t="shared" ca="1" si="82"/>
        <v>2951180.2665171097</v>
      </c>
      <c r="H255" s="70">
        <f t="shared" ca="1" si="83"/>
        <v>-1.627324449429679E-2</v>
      </c>
      <c r="I255" s="120">
        <f t="shared" ca="1" si="84"/>
        <v>-48819.733482890355</v>
      </c>
      <c r="J255" s="122">
        <f t="shared" ca="1" si="85"/>
        <v>2934503.5118452185</v>
      </c>
      <c r="K255" s="70">
        <f t="shared" ca="1" si="86"/>
        <v>-2.1832162718260526E-2</v>
      </c>
      <c r="L255" s="120">
        <f t="shared" ca="1" si="87"/>
        <v>-65496.488154781582</v>
      </c>
      <c r="M255" s="122">
        <f t="shared" ca="1" si="88"/>
        <v>2942070.3363748458</v>
      </c>
      <c r="N255" s="70">
        <f t="shared" ca="1" si="89"/>
        <v>-1.9309887875051363E-2</v>
      </c>
      <c r="O255" s="120">
        <f t="shared" ca="1" si="90"/>
        <v>-57929.663625154084</v>
      </c>
    </row>
    <row r="256" spans="1:15" ht="16.5" customHeight="1" thickBot="1">
      <c r="A256" s="48">
        <v>7</v>
      </c>
      <c r="B256" s="134" t="str">
        <f>HYPERLINK("#'" &amp; TEXT(투자전략!$G$1+6, "[$-ko-KR]yyyy.mm.dd") &amp; "'!A175:O199", TEXT(투자전략!$G$1+6, "[$-ko-KR]yyyy.mm.dd"))</f>
        <v>2023.01.07</v>
      </c>
      <c r="C256" s="118">
        <f t="shared" ca="1" si="78"/>
        <v>3000000</v>
      </c>
      <c r="D256" s="122">
        <f t="shared" ca="1" si="79"/>
        <v>3126494.3012171872</v>
      </c>
      <c r="E256" s="70">
        <f t="shared" ca="1" si="80"/>
        <v>4.2164767072395762E-2</v>
      </c>
      <c r="F256" s="120">
        <f t="shared" ca="1" si="81"/>
        <v>126494.30121718727</v>
      </c>
      <c r="G256" s="122">
        <f t="shared" ca="1" si="82"/>
        <v>3130789.3223403045</v>
      </c>
      <c r="H256" s="70">
        <f t="shared" ca="1" si="83"/>
        <v>4.3596440780101463E-2</v>
      </c>
      <c r="I256" s="120">
        <f t="shared" ca="1" si="84"/>
        <v>130789.32234030437</v>
      </c>
      <c r="J256" s="122">
        <f t="shared" ca="1" si="85"/>
        <v>3142005.978853011</v>
      </c>
      <c r="K256" s="70">
        <f t="shared" ca="1" si="86"/>
        <v>4.7335326284337093E-2</v>
      </c>
      <c r="L256" s="120">
        <f t="shared" ca="1" si="87"/>
        <v>142005.97885301127</v>
      </c>
      <c r="M256" s="122">
        <f t="shared" ca="1" si="88"/>
        <v>3000000</v>
      </c>
      <c r="N256" s="70">
        <f t="shared" ca="1" si="89"/>
        <v>0</v>
      </c>
      <c r="O256" s="120">
        <f t="shared" ca="1" si="90"/>
        <v>0</v>
      </c>
    </row>
    <row r="257" spans="1:15" ht="16.5" customHeight="1">
      <c r="A257" s="46">
        <v>8</v>
      </c>
      <c r="B257" s="132" t="str">
        <f>HYPERLINK("#'" &amp; TEXT(투자전략!$G$1+7, "[$-ko-KR]yyyy.mm.dd") &amp; "'!A175:O199", TEXT(투자전략!$G$1+7, "[$-ko-KR]yyyy.mm.dd"))</f>
        <v>2023.01.08</v>
      </c>
      <c r="C257" s="117">
        <f t="shared" ca="1" si="78"/>
        <v>3000000</v>
      </c>
      <c r="D257" s="125">
        <f t="shared" ca="1" si="79"/>
        <v>3000000</v>
      </c>
      <c r="E257" s="69">
        <f t="shared" ca="1" si="80"/>
        <v>0</v>
      </c>
      <c r="F257" s="124">
        <f t="shared" ca="1" si="81"/>
        <v>0</v>
      </c>
      <c r="G257" s="125">
        <f t="shared" ca="1" si="82"/>
        <v>3000000</v>
      </c>
      <c r="H257" s="69">
        <f t="shared" ca="1" si="83"/>
        <v>0</v>
      </c>
      <c r="I257" s="124">
        <f t="shared" ca="1" si="84"/>
        <v>0</v>
      </c>
      <c r="J257" s="125">
        <f t="shared" ca="1" si="85"/>
        <v>3000000</v>
      </c>
      <c r="K257" s="69">
        <f t="shared" ca="1" si="86"/>
        <v>0</v>
      </c>
      <c r="L257" s="124">
        <f t="shared" ca="1" si="87"/>
        <v>0</v>
      </c>
      <c r="M257" s="125">
        <f t="shared" ca="1" si="88"/>
        <v>3000000</v>
      </c>
      <c r="N257" s="69">
        <f t="shared" ca="1" si="89"/>
        <v>0</v>
      </c>
      <c r="O257" s="124">
        <f t="shared" ca="1" si="90"/>
        <v>0</v>
      </c>
    </row>
    <row r="258" spans="1:15" ht="16.5" customHeight="1">
      <c r="A258" s="47">
        <v>9</v>
      </c>
      <c r="B258" s="133" t="str">
        <f>HYPERLINK("#'" &amp; TEXT(투자전략!$G$1+8, "[$-ko-KR]yyyy.mm.dd") &amp; "'!A175:O199", TEXT(투자전략!$G$1+8, "[$-ko-KR]yyyy.mm.dd"))</f>
        <v>2023.01.09</v>
      </c>
      <c r="C258" s="118" t="str">
        <f t="shared" ca="1" si="78"/>
        <v/>
      </c>
      <c r="D258" s="122" t="str">
        <f t="shared" ca="1" si="79"/>
        <v/>
      </c>
      <c r="E258" s="70" t="str">
        <f t="shared" ca="1" si="80"/>
        <v/>
      </c>
      <c r="F258" s="120" t="str">
        <f t="shared" ca="1" si="81"/>
        <v/>
      </c>
      <c r="G258" s="122" t="str">
        <f t="shared" ca="1" si="82"/>
        <v/>
      </c>
      <c r="H258" s="70" t="str">
        <f t="shared" ca="1" si="83"/>
        <v/>
      </c>
      <c r="I258" s="120" t="str">
        <f t="shared" ca="1" si="84"/>
        <v/>
      </c>
      <c r="J258" s="122" t="str">
        <f t="shared" ca="1" si="85"/>
        <v/>
      </c>
      <c r="K258" s="70" t="str">
        <f t="shared" ca="1" si="86"/>
        <v/>
      </c>
      <c r="L258" s="120" t="str">
        <f t="shared" ca="1" si="87"/>
        <v/>
      </c>
      <c r="M258" s="122" t="str">
        <f t="shared" ca="1" si="88"/>
        <v/>
      </c>
      <c r="N258" s="70" t="str">
        <f t="shared" ca="1" si="89"/>
        <v/>
      </c>
      <c r="O258" s="120" t="str">
        <f t="shared" ca="1" si="90"/>
        <v/>
      </c>
    </row>
    <row r="259" spans="1:15" ht="16.5" customHeight="1">
      <c r="A259" s="47">
        <v>10</v>
      </c>
      <c r="B259" s="133" t="str">
        <f>HYPERLINK("#'" &amp; TEXT(투자전략!$G$1+9, "[$-ko-KR]yyyy.mm.dd") &amp; "'!A175:O199", TEXT(투자전략!$G$1+9, "[$-ko-KR]yyyy.mm.dd"))</f>
        <v>2023.01.10</v>
      </c>
      <c r="C259" s="118" t="str">
        <f t="shared" ca="1" si="78"/>
        <v/>
      </c>
      <c r="D259" s="122" t="str">
        <f t="shared" ca="1" si="79"/>
        <v/>
      </c>
      <c r="E259" s="70" t="str">
        <f t="shared" ca="1" si="80"/>
        <v/>
      </c>
      <c r="F259" s="120" t="str">
        <f t="shared" ca="1" si="81"/>
        <v/>
      </c>
      <c r="G259" s="122" t="str">
        <f t="shared" ca="1" si="82"/>
        <v/>
      </c>
      <c r="H259" s="70" t="str">
        <f t="shared" ca="1" si="83"/>
        <v/>
      </c>
      <c r="I259" s="120" t="str">
        <f t="shared" ca="1" si="84"/>
        <v/>
      </c>
      <c r="J259" s="122" t="str">
        <f t="shared" ca="1" si="85"/>
        <v/>
      </c>
      <c r="K259" s="70" t="str">
        <f t="shared" ca="1" si="86"/>
        <v/>
      </c>
      <c r="L259" s="120" t="str">
        <f t="shared" ca="1" si="87"/>
        <v/>
      </c>
      <c r="M259" s="122" t="str">
        <f t="shared" ca="1" si="88"/>
        <v/>
      </c>
      <c r="N259" s="70" t="str">
        <f t="shared" ca="1" si="89"/>
        <v/>
      </c>
      <c r="O259" s="120" t="str">
        <f t="shared" ca="1" si="90"/>
        <v/>
      </c>
    </row>
    <row r="260" spans="1:15" ht="16.5" customHeight="1">
      <c r="A260" s="47">
        <v>11</v>
      </c>
      <c r="B260" s="133" t="str">
        <f>HYPERLINK("#'" &amp; TEXT(투자전략!$G$1+10, "[$-ko-KR]yyyy.mm.dd") &amp; "'!A175:O199", TEXT(투자전략!$G$1+10, "[$-ko-KR]yyyy.mm.dd"))</f>
        <v>2023.01.11</v>
      </c>
      <c r="C260" s="118" t="str">
        <f t="shared" ca="1" si="78"/>
        <v/>
      </c>
      <c r="D260" s="122" t="str">
        <f t="shared" ca="1" si="79"/>
        <v/>
      </c>
      <c r="E260" s="70" t="str">
        <f t="shared" ca="1" si="80"/>
        <v/>
      </c>
      <c r="F260" s="120" t="str">
        <f t="shared" ca="1" si="81"/>
        <v/>
      </c>
      <c r="G260" s="122" t="str">
        <f t="shared" ca="1" si="82"/>
        <v/>
      </c>
      <c r="H260" s="70" t="str">
        <f t="shared" ca="1" si="83"/>
        <v/>
      </c>
      <c r="I260" s="120" t="str">
        <f t="shared" ca="1" si="84"/>
        <v/>
      </c>
      <c r="J260" s="122" t="str">
        <f t="shared" ca="1" si="85"/>
        <v/>
      </c>
      <c r="K260" s="70" t="str">
        <f t="shared" ca="1" si="86"/>
        <v/>
      </c>
      <c r="L260" s="120" t="str">
        <f t="shared" ca="1" si="87"/>
        <v/>
      </c>
      <c r="M260" s="122" t="str">
        <f t="shared" ca="1" si="88"/>
        <v/>
      </c>
      <c r="N260" s="70" t="str">
        <f t="shared" ca="1" si="89"/>
        <v/>
      </c>
      <c r="O260" s="120" t="str">
        <f t="shared" ca="1" si="90"/>
        <v/>
      </c>
    </row>
    <row r="261" spans="1:15" ht="16.5" customHeight="1">
      <c r="A261" s="47">
        <v>12</v>
      </c>
      <c r="B261" s="133" t="str">
        <f>HYPERLINK("#'" &amp; TEXT(투자전략!$G$1+11, "[$-ko-KR]yyyy.mm.dd") &amp; "'!A175:O199", TEXT(투자전략!$G$1+11, "[$-ko-KR]yyyy.mm.dd"))</f>
        <v>2023.01.12</v>
      </c>
      <c r="C261" s="118" t="str">
        <f t="shared" ca="1" si="78"/>
        <v/>
      </c>
      <c r="D261" s="122" t="str">
        <f t="shared" ca="1" si="79"/>
        <v/>
      </c>
      <c r="E261" s="70" t="str">
        <f t="shared" ca="1" si="80"/>
        <v/>
      </c>
      <c r="F261" s="120" t="str">
        <f t="shared" ca="1" si="81"/>
        <v/>
      </c>
      <c r="G261" s="122" t="str">
        <f t="shared" ca="1" si="82"/>
        <v/>
      </c>
      <c r="H261" s="70" t="str">
        <f t="shared" ca="1" si="83"/>
        <v/>
      </c>
      <c r="I261" s="120" t="str">
        <f t="shared" ca="1" si="84"/>
        <v/>
      </c>
      <c r="J261" s="122" t="str">
        <f t="shared" ca="1" si="85"/>
        <v/>
      </c>
      <c r="K261" s="70" t="str">
        <f t="shared" ca="1" si="86"/>
        <v/>
      </c>
      <c r="L261" s="120" t="str">
        <f t="shared" ca="1" si="87"/>
        <v/>
      </c>
      <c r="M261" s="122" t="str">
        <f t="shared" ca="1" si="88"/>
        <v/>
      </c>
      <c r="N261" s="70" t="str">
        <f t="shared" ca="1" si="89"/>
        <v/>
      </c>
      <c r="O261" s="120" t="str">
        <f t="shared" ca="1" si="90"/>
        <v/>
      </c>
    </row>
    <row r="262" spans="1:15" ht="16.5" customHeight="1">
      <c r="A262" s="47">
        <v>13</v>
      </c>
      <c r="B262" s="133" t="str">
        <f>HYPERLINK("#'" &amp; TEXT(투자전략!$G$1+12, "[$-ko-KR]yyyy.mm.dd") &amp; "'!A175:O199", TEXT(투자전략!$G$1+12, "[$-ko-KR]yyyy.mm.dd"))</f>
        <v>2023.01.13</v>
      </c>
      <c r="C262" s="118" t="str">
        <f t="shared" ca="1" si="78"/>
        <v/>
      </c>
      <c r="D262" s="122" t="str">
        <f t="shared" ca="1" si="79"/>
        <v/>
      </c>
      <c r="E262" s="70" t="str">
        <f t="shared" ca="1" si="80"/>
        <v/>
      </c>
      <c r="F262" s="120" t="str">
        <f t="shared" ca="1" si="81"/>
        <v/>
      </c>
      <c r="G262" s="122" t="str">
        <f t="shared" ca="1" si="82"/>
        <v/>
      </c>
      <c r="H262" s="70" t="str">
        <f t="shared" ca="1" si="83"/>
        <v/>
      </c>
      <c r="I262" s="120" t="str">
        <f t="shared" ca="1" si="84"/>
        <v/>
      </c>
      <c r="J262" s="122" t="str">
        <f t="shared" ca="1" si="85"/>
        <v/>
      </c>
      <c r="K262" s="70" t="str">
        <f t="shared" ca="1" si="86"/>
        <v/>
      </c>
      <c r="L262" s="120" t="str">
        <f t="shared" ca="1" si="87"/>
        <v/>
      </c>
      <c r="M262" s="122" t="str">
        <f t="shared" ca="1" si="88"/>
        <v/>
      </c>
      <c r="N262" s="70" t="str">
        <f t="shared" ca="1" si="89"/>
        <v/>
      </c>
      <c r="O262" s="120" t="str">
        <f t="shared" ca="1" si="90"/>
        <v/>
      </c>
    </row>
    <row r="263" spans="1:15" ht="16.5" customHeight="1" thickBot="1">
      <c r="A263" s="48">
        <v>14</v>
      </c>
      <c r="B263" s="134" t="str">
        <f>HYPERLINK("#'" &amp; TEXT(투자전략!$G$1+13, "[$-ko-KR]yyyy.mm.dd") &amp; "'!A175:O199", TEXT(투자전략!$G$1+13, "[$-ko-KR]yyyy.mm.dd"))</f>
        <v>2023.01.14</v>
      </c>
      <c r="C263" s="119" t="str">
        <f t="shared" ca="1" si="78"/>
        <v/>
      </c>
      <c r="D263" s="123" t="str">
        <f t="shared" ca="1" si="79"/>
        <v/>
      </c>
      <c r="E263" s="72" t="str">
        <f t="shared" ca="1" si="80"/>
        <v/>
      </c>
      <c r="F263" s="121" t="str">
        <f t="shared" ca="1" si="81"/>
        <v/>
      </c>
      <c r="G263" s="123" t="str">
        <f t="shared" ca="1" si="82"/>
        <v/>
      </c>
      <c r="H263" s="72" t="str">
        <f t="shared" ca="1" si="83"/>
        <v/>
      </c>
      <c r="I263" s="121" t="str">
        <f t="shared" ca="1" si="84"/>
        <v/>
      </c>
      <c r="J263" s="123" t="str">
        <f t="shared" ca="1" si="85"/>
        <v/>
      </c>
      <c r="K263" s="72" t="str">
        <f t="shared" ca="1" si="86"/>
        <v/>
      </c>
      <c r="L263" s="121" t="str">
        <f t="shared" ca="1" si="87"/>
        <v/>
      </c>
      <c r="M263" s="123" t="str">
        <f t="shared" ca="1" si="88"/>
        <v/>
      </c>
      <c r="N263" s="72" t="str">
        <f t="shared" ca="1" si="89"/>
        <v/>
      </c>
      <c r="O263" s="121" t="str">
        <f t="shared" ca="1" si="90"/>
        <v/>
      </c>
    </row>
    <row r="264" spans="1:15" ht="16.5" customHeight="1">
      <c r="A264" s="46">
        <v>15</v>
      </c>
      <c r="B264" s="132" t="str">
        <f>HYPERLINK("#'" &amp; TEXT(투자전략!$G$1+14, "[$-ko-KR]yyyy.mm.dd") &amp; "'!A175:O199", TEXT(투자전략!$G$1+14, "[$-ko-KR]yyyy.mm.dd"))</f>
        <v>2023.01.15</v>
      </c>
      <c r="C264" s="118" t="str">
        <f t="shared" ca="1" si="78"/>
        <v/>
      </c>
      <c r="D264" s="122" t="str">
        <f t="shared" ca="1" si="79"/>
        <v/>
      </c>
      <c r="E264" s="70" t="str">
        <f t="shared" ca="1" si="80"/>
        <v/>
      </c>
      <c r="F264" s="120" t="str">
        <f t="shared" ca="1" si="81"/>
        <v/>
      </c>
      <c r="G264" s="122" t="str">
        <f t="shared" ca="1" si="82"/>
        <v/>
      </c>
      <c r="H264" s="70" t="str">
        <f t="shared" ca="1" si="83"/>
        <v/>
      </c>
      <c r="I264" s="120" t="str">
        <f t="shared" ca="1" si="84"/>
        <v/>
      </c>
      <c r="J264" s="122" t="str">
        <f t="shared" ca="1" si="85"/>
        <v/>
      </c>
      <c r="K264" s="70" t="str">
        <f t="shared" ca="1" si="86"/>
        <v/>
      </c>
      <c r="L264" s="120" t="str">
        <f t="shared" ca="1" si="87"/>
        <v/>
      </c>
      <c r="M264" s="122" t="str">
        <f t="shared" ca="1" si="88"/>
        <v/>
      </c>
      <c r="N264" s="70" t="str">
        <f t="shared" ca="1" si="89"/>
        <v/>
      </c>
      <c r="O264" s="120" t="str">
        <f t="shared" ca="1" si="90"/>
        <v/>
      </c>
    </row>
    <row r="265" spans="1:15" ht="16.5" customHeight="1">
      <c r="A265" s="47">
        <v>16</v>
      </c>
      <c r="B265" s="133" t="str">
        <f>HYPERLINK("#'" &amp; TEXT(투자전략!$G$1+15, "[$-ko-KR]yyyy.mm.dd") &amp; "'!A175:O199", TEXT(투자전략!$G$1+15, "[$-ko-KR]yyyy.mm.dd"))</f>
        <v>2023.01.16</v>
      </c>
      <c r="C265" s="118" t="str">
        <f t="shared" ca="1" si="78"/>
        <v/>
      </c>
      <c r="D265" s="122" t="str">
        <f t="shared" ca="1" si="79"/>
        <v/>
      </c>
      <c r="E265" s="70" t="str">
        <f t="shared" ca="1" si="80"/>
        <v/>
      </c>
      <c r="F265" s="120" t="str">
        <f t="shared" ca="1" si="81"/>
        <v/>
      </c>
      <c r="G265" s="122" t="str">
        <f t="shared" ca="1" si="82"/>
        <v/>
      </c>
      <c r="H265" s="70" t="str">
        <f t="shared" ca="1" si="83"/>
        <v/>
      </c>
      <c r="I265" s="120" t="str">
        <f t="shared" ca="1" si="84"/>
        <v/>
      </c>
      <c r="J265" s="122" t="str">
        <f t="shared" ca="1" si="85"/>
        <v/>
      </c>
      <c r="K265" s="70" t="str">
        <f t="shared" ca="1" si="86"/>
        <v/>
      </c>
      <c r="L265" s="120" t="str">
        <f t="shared" ca="1" si="87"/>
        <v/>
      </c>
      <c r="M265" s="122" t="str">
        <f t="shared" ca="1" si="88"/>
        <v/>
      </c>
      <c r="N265" s="70" t="str">
        <f t="shared" ca="1" si="89"/>
        <v/>
      </c>
      <c r="O265" s="120" t="str">
        <f t="shared" ca="1" si="90"/>
        <v/>
      </c>
    </row>
    <row r="266" spans="1:15" ht="16.5" customHeight="1">
      <c r="A266" s="47">
        <v>17</v>
      </c>
      <c r="B266" s="133" t="str">
        <f>HYPERLINK("#'" &amp; TEXT(투자전략!$G$1+16, "[$-ko-KR]yyyy.mm.dd") &amp; "'!A175:O199", TEXT(투자전략!$G$1+16, "[$-ko-KR]yyyy.mm.dd"))</f>
        <v>2023.01.17</v>
      </c>
      <c r="C266" s="118" t="str">
        <f t="shared" ca="1" si="78"/>
        <v/>
      </c>
      <c r="D266" s="122" t="str">
        <f t="shared" ca="1" si="79"/>
        <v/>
      </c>
      <c r="E266" s="70" t="str">
        <f t="shared" ca="1" si="80"/>
        <v/>
      </c>
      <c r="F266" s="120" t="str">
        <f t="shared" ca="1" si="81"/>
        <v/>
      </c>
      <c r="G266" s="122" t="str">
        <f t="shared" ca="1" si="82"/>
        <v/>
      </c>
      <c r="H266" s="70" t="str">
        <f t="shared" ca="1" si="83"/>
        <v/>
      </c>
      <c r="I266" s="120" t="str">
        <f t="shared" ca="1" si="84"/>
        <v/>
      </c>
      <c r="J266" s="122" t="str">
        <f t="shared" ca="1" si="85"/>
        <v/>
      </c>
      <c r="K266" s="70" t="str">
        <f t="shared" ca="1" si="86"/>
        <v/>
      </c>
      <c r="L266" s="120" t="str">
        <f t="shared" ca="1" si="87"/>
        <v/>
      </c>
      <c r="M266" s="122" t="str">
        <f t="shared" ca="1" si="88"/>
        <v/>
      </c>
      <c r="N266" s="70" t="str">
        <f t="shared" ca="1" si="89"/>
        <v/>
      </c>
      <c r="O266" s="120" t="str">
        <f t="shared" ca="1" si="90"/>
        <v/>
      </c>
    </row>
    <row r="267" spans="1:15" ht="16.5" customHeight="1">
      <c r="A267" s="47">
        <v>18</v>
      </c>
      <c r="B267" s="133" t="str">
        <f>HYPERLINK("#'" &amp; TEXT(투자전략!$G$1+17, "[$-ko-KR]yyyy.mm.dd") &amp; "'!A175:O199", TEXT(투자전략!$G$1+17, "[$-ko-KR]yyyy.mm.dd"))</f>
        <v>2023.01.18</v>
      </c>
      <c r="C267" s="118" t="str">
        <f t="shared" ca="1" si="78"/>
        <v/>
      </c>
      <c r="D267" s="122" t="str">
        <f t="shared" ca="1" si="79"/>
        <v/>
      </c>
      <c r="E267" s="70" t="str">
        <f t="shared" ca="1" si="80"/>
        <v/>
      </c>
      <c r="F267" s="120" t="str">
        <f t="shared" ca="1" si="81"/>
        <v/>
      </c>
      <c r="G267" s="122" t="str">
        <f t="shared" ca="1" si="82"/>
        <v/>
      </c>
      <c r="H267" s="70" t="str">
        <f t="shared" ca="1" si="83"/>
        <v/>
      </c>
      <c r="I267" s="120" t="str">
        <f t="shared" ca="1" si="84"/>
        <v/>
      </c>
      <c r="J267" s="122" t="str">
        <f t="shared" ca="1" si="85"/>
        <v/>
      </c>
      <c r="K267" s="70" t="str">
        <f t="shared" ca="1" si="86"/>
        <v/>
      </c>
      <c r="L267" s="120" t="str">
        <f t="shared" ca="1" si="87"/>
        <v/>
      </c>
      <c r="M267" s="122" t="str">
        <f t="shared" ca="1" si="88"/>
        <v/>
      </c>
      <c r="N267" s="70" t="str">
        <f t="shared" ca="1" si="89"/>
        <v/>
      </c>
      <c r="O267" s="120" t="str">
        <f t="shared" ca="1" si="90"/>
        <v/>
      </c>
    </row>
    <row r="268" spans="1:15" ht="16.5" customHeight="1">
      <c r="A268" s="47">
        <v>19</v>
      </c>
      <c r="B268" s="133" t="str">
        <f>HYPERLINK("#'" &amp; TEXT(투자전략!$G$1+18, "[$-ko-KR]yyyy.mm.dd") &amp; "'!A175:O199", TEXT(투자전략!$G$1+18, "[$-ko-KR]yyyy.mm.dd"))</f>
        <v>2023.01.19</v>
      </c>
      <c r="C268" s="118" t="str">
        <f t="shared" ca="1" si="78"/>
        <v/>
      </c>
      <c r="D268" s="122" t="str">
        <f t="shared" ca="1" si="79"/>
        <v/>
      </c>
      <c r="E268" s="70" t="str">
        <f t="shared" ca="1" si="80"/>
        <v/>
      </c>
      <c r="F268" s="120" t="str">
        <f t="shared" ca="1" si="81"/>
        <v/>
      </c>
      <c r="G268" s="122" t="str">
        <f t="shared" ca="1" si="82"/>
        <v/>
      </c>
      <c r="H268" s="70" t="str">
        <f t="shared" ca="1" si="83"/>
        <v/>
      </c>
      <c r="I268" s="120" t="str">
        <f t="shared" ca="1" si="84"/>
        <v/>
      </c>
      <c r="J268" s="122" t="str">
        <f t="shared" ca="1" si="85"/>
        <v/>
      </c>
      <c r="K268" s="70" t="str">
        <f t="shared" ca="1" si="86"/>
        <v/>
      </c>
      <c r="L268" s="120" t="str">
        <f t="shared" ca="1" si="87"/>
        <v/>
      </c>
      <c r="M268" s="122" t="str">
        <f t="shared" ca="1" si="88"/>
        <v/>
      </c>
      <c r="N268" s="70" t="str">
        <f t="shared" ca="1" si="89"/>
        <v/>
      </c>
      <c r="O268" s="120" t="str">
        <f t="shared" ca="1" si="90"/>
        <v/>
      </c>
    </row>
    <row r="269" spans="1:15" ht="16.5" customHeight="1">
      <c r="A269" s="47">
        <v>20</v>
      </c>
      <c r="B269" s="133" t="str">
        <f>HYPERLINK("#'" &amp; TEXT(투자전략!$G$1+19, "[$-ko-KR]yyyy.mm.dd") &amp; "'!A175:O199", TEXT(투자전략!$G$1+19, "[$-ko-KR]yyyy.mm.dd"))</f>
        <v>2023.01.20</v>
      </c>
      <c r="C269" s="118" t="str">
        <f t="shared" ca="1" si="78"/>
        <v/>
      </c>
      <c r="D269" s="122" t="str">
        <f t="shared" ca="1" si="79"/>
        <v/>
      </c>
      <c r="E269" s="70" t="str">
        <f t="shared" ca="1" si="80"/>
        <v/>
      </c>
      <c r="F269" s="120" t="str">
        <f t="shared" ca="1" si="81"/>
        <v/>
      </c>
      <c r="G269" s="122" t="str">
        <f t="shared" ca="1" si="82"/>
        <v/>
      </c>
      <c r="H269" s="70" t="str">
        <f t="shared" ca="1" si="83"/>
        <v/>
      </c>
      <c r="I269" s="120" t="str">
        <f t="shared" ca="1" si="84"/>
        <v/>
      </c>
      <c r="J269" s="122" t="str">
        <f t="shared" ca="1" si="85"/>
        <v/>
      </c>
      <c r="K269" s="70" t="str">
        <f t="shared" ca="1" si="86"/>
        <v/>
      </c>
      <c r="L269" s="120" t="str">
        <f t="shared" ca="1" si="87"/>
        <v/>
      </c>
      <c r="M269" s="122" t="str">
        <f t="shared" ca="1" si="88"/>
        <v/>
      </c>
      <c r="N269" s="70" t="str">
        <f t="shared" ca="1" si="89"/>
        <v/>
      </c>
      <c r="O269" s="120" t="str">
        <f t="shared" ca="1" si="90"/>
        <v/>
      </c>
    </row>
    <row r="270" spans="1:15" ht="16.5" customHeight="1" thickBot="1">
      <c r="A270" s="48">
        <v>21</v>
      </c>
      <c r="B270" s="134" t="str">
        <f>HYPERLINK("#'" &amp; TEXT(투자전략!$G$1+20, "[$-ko-KR]yyyy.mm.dd") &amp; "'!A175:O199", TEXT(투자전략!$G$1+20, "[$-ko-KR]yyyy.mm.dd"))</f>
        <v>2023.01.21</v>
      </c>
      <c r="C270" s="118" t="str">
        <f t="shared" ca="1" si="78"/>
        <v/>
      </c>
      <c r="D270" s="122" t="str">
        <f t="shared" ca="1" si="79"/>
        <v/>
      </c>
      <c r="E270" s="70" t="str">
        <f t="shared" ca="1" si="80"/>
        <v/>
      </c>
      <c r="F270" s="120" t="str">
        <f t="shared" ca="1" si="81"/>
        <v/>
      </c>
      <c r="G270" s="122" t="str">
        <f t="shared" ca="1" si="82"/>
        <v/>
      </c>
      <c r="H270" s="70" t="str">
        <f t="shared" ca="1" si="83"/>
        <v/>
      </c>
      <c r="I270" s="120" t="str">
        <f t="shared" ca="1" si="84"/>
        <v/>
      </c>
      <c r="J270" s="122" t="str">
        <f t="shared" ca="1" si="85"/>
        <v/>
      </c>
      <c r="K270" s="70" t="str">
        <f t="shared" ca="1" si="86"/>
        <v/>
      </c>
      <c r="L270" s="120" t="str">
        <f t="shared" ca="1" si="87"/>
        <v/>
      </c>
      <c r="M270" s="122" t="str">
        <f t="shared" ca="1" si="88"/>
        <v/>
      </c>
      <c r="N270" s="70" t="str">
        <f t="shared" ca="1" si="89"/>
        <v/>
      </c>
      <c r="O270" s="120" t="str">
        <f t="shared" ca="1" si="90"/>
        <v/>
      </c>
    </row>
    <row r="271" spans="1:15" ht="16.5" customHeight="1">
      <c r="A271" s="46">
        <v>22</v>
      </c>
      <c r="B271" s="132" t="str">
        <f>HYPERLINK("#'" &amp; TEXT(투자전략!$G$1+21, "[$-ko-KR]yyyy.mm.dd") &amp; "'!A175:O199", TEXT(투자전략!$G$1+21, "[$-ko-KR]yyyy.mm.dd"))</f>
        <v>2023.01.22</v>
      </c>
      <c r="C271" s="117" t="str">
        <f t="shared" ca="1" si="78"/>
        <v/>
      </c>
      <c r="D271" s="125" t="str">
        <f t="shared" ca="1" si="79"/>
        <v/>
      </c>
      <c r="E271" s="69" t="str">
        <f t="shared" ca="1" si="80"/>
        <v/>
      </c>
      <c r="F271" s="124" t="str">
        <f t="shared" ca="1" si="81"/>
        <v/>
      </c>
      <c r="G271" s="125" t="str">
        <f t="shared" ca="1" si="82"/>
        <v/>
      </c>
      <c r="H271" s="69" t="str">
        <f t="shared" ca="1" si="83"/>
        <v/>
      </c>
      <c r="I271" s="124" t="str">
        <f t="shared" ca="1" si="84"/>
        <v/>
      </c>
      <c r="J271" s="125" t="str">
        <f t="shared" ca="1" si="85"/>
        <v/>
      </c>
      <c r="K271" s="69" t="str">
        <f t="shared" ca="1" si="86"/>
        <v/>
      </c>
      <c r="L271" s="124" t="str">
        <f t="shared" ca="1" si="87"/>
        <v/>
      </c>
      <c r="M271" s="125" t="str">
        <f t="shared" ca="1" si="88"/>
        <v/>
      </c>
      <c r="N271" s="69" t="str">
        <f t="shared" ca="1" si="89"/>
        <v/>
      </c>
      <c r="O271" s="124" t="str">
        <f t="shared" ca="1" si="90"/>
        <v/>
      </c>
    </row>
    <row r="272" spans="1:15" ht="16.5" customHeight="1">
      <c r="A272" s="47">
        <v>23</v>
      </c>
      <c r="B272" s="133" t="str">
        <f>HYPERLINK("#'" &amp; TEXT(투자전략!$G$1+22, "[$-ko-KR]yyyy.mm.dd") &amp; "'!A175:O199", TEXT(투자전략!$G$1+22, "[$-ko-KR]yyyy.mm.dd"))</f>
        <v>2023.01.23</v>
      </c>
      <c r="C272" s="118" t="str">
        <f t="shared" ca="1" si="78"/>
        <v/>
      </c>
      <c r="D272" s="122" t="str">
        <f t="shared" ca="1" si="79"/>
        <v/>
      </c>
      <c r="E272" s="70" t="str">
        <f t="shared" ca="1" si="80"/>
        <v/>
      </c>
      <c r="F272" s="120" t="str">
        <f t="shared" ca="1" si="81"/>
        <v/>
      </c>
      <c r="G272" s="122" t="str">
        <f t="shared" ca="1" si="82"/>
        <v/>
      </c>
      <c r="H272" s="70" t="str">
        <f t="shared" ca="1" si="83"/>
        <v/>
      </c>
      <c r="I272" s="120" t="str">
        <f t="shared" ca="1" si="84"/>
        <v/>
      </c>
      <c r="J272" s="122" t="str">
        <f t="shared" ca="1" si="85"/>
        <v/>
      </c>
      <c r="K272" s="70" t="str">
        <f t="shared" ca="1" si="86"/>
        <v/>
      </c>
      <c r="L272" s="120" t="str">
        <f t="shared" ca="1" si="87"/>
        <v/>
      </c>
      <c r="M272" s="122" t="str">
        <f t="shared" ca="1" si="88"/>
        <v/>
      </c>
      <c r="N272" s="70" t="str">
        <f t="shared" ca="1" si="89"/>
        <v/>
      </c>
      <c r="O272" s="120" t="str">
        <f t="shared" ca="1" si="90"/>
        <v/>
      </c>
    </row>
    <row r="273" spans="1:15" ht="16.5" customHeight="1">
      <c r="A273" s="47">
        <v>24</v>
      </c>
      <c r="B273" s="133" t="str">
        <f>HYPERLINK("#'" &amp; TEXT(투자전략!$G$1+23, "[$-ko-KR]yyyy.mm.dd") &amp; "'!A175:O199", TEXT(투자전략!$G$1+23, "[$-ko-KR]yyyy.mm.dd"))</f>
        <v>2023.01.24</v>
      </c>
      <c r="C273" s="118" t="str">
        <f t="shared" ca="1" si="78"/>
        <v/>
      </c>
      <c r="D273" s="122" t="str">
        <f t="shared" ca="1" si="79"/>
        <v/>
      </c>
      <c r="E273" s="70" t="str">
        <f t="shared" ca="1" si="80"/>
        <v/>
      </c>
      <c r="F273" s="120" t="str">
        <f t="shared" ca="1" si="81"/>
        <v/>
      </c>
      <c r="G273" s="122" t="str">
        <f t="shared" ca="1" si="82"/>
        <v/>
      </c>
      <c r="H273" s="70" t="str">
        <f t="shared" ca="1" si="83"/>
        <v/>
      </c>
      <c r="I273" s="120" t="str">
        <f t="shared" ca="1" si="84"/>
        <v/>
      </c>
      <c r="J273" s="122" t="str">
        <f t="shared" ca="1" si="85"/>
        <v/>
      </c>
      <c r="K273" s="70" t="str">
        <f t="shared" ca="1" si="86"/>
        <v/>
      </c>
      <c r="L273" s="120" t="str">
        <f t="shared" ca="1" si="87"/>
        <v/>
      </c>
      <c r="M273" s="122" t="str">
        <f t="shared" ca="1" si="88"/>
        <v/>
      </c>
      <c r="N273" s="70" t="str">
        <f t="shared" ca="1" si="89"/>
        <v/>
      </c>
      <c r="O273" s="120" t="str">
        <f t="shared" ca="1" si="90"/>
        <v/>
      </c>
    </row>
    <row r="274" spans="1:15" ht="16.5" customHeight="1">
      <c r="A274" s="47">
        <v>25</v>
      </c>
      <c r="B274" s="133" t="str">
        <f>HYPERLINK("#'" &amp; TEXT(투자전략!$G$1+24, "[$-ko-KR]yyyy.mm.dd") &amp; "'!A175:O199", TEXT(투자전략!$G$1+24, "[$-ko-KR]yyyy.mm.dd"))</f>
        <v>2023.01.25</v>
      </c>
      <c r="C274" s="118" t="str">
        <f t="shared" ca="1" si="78"/>
        <v/>
      </c>
      <c r="D274" s="122" t="str">
        <f t="shared" ca="1" si="79"/>
        <v/>
      </c>
      <c r="E274" s="70" t="str">
        <f t="shared" ca="1" si="80"/>
        <v/>
      </c>
      <c r="F274" s="120" t="str">
        <f t="shared" ca="1" si="81"/>
        <v/>
      </c>
      <c r="G274" s="122" t="str">
        <f t="shared" ca="1" si="82"/>
        <v/>
      </c>
      <c r="H274" s="70" t="str">
        <f t="shared" ca="1" si="83"/>
        <v/>
      </c>
      <c r="I274" s="120" t="str">
        <f t="shared" ca="1" si="84"/>
        <v/>
      </c>
      <c r="J274" s="122" t="str">
        <f t="shared" ca="1" si="85"/>
        <v/>
      </c>
      <c r="K274" s="70" t="str">
        <f t="shared" ca="1" si="86"/>
        <v/>
      </c>
      <c r="L274" s="120" t="str">
        <f t="shared" ca="1" si="87"/>
        <v/>
      </c>
      <c r="M274" s="122" t="str">
        <f t="shared" ca="1" si="88"/>
        <v/>
      </c>
      <c r="N274" s="70" t="str">
        <f t="shared" ca="1" si="89"/>
        <v/>
      </c>
      <c r="O274" s="120" t="str">
        <f t="shared" ca="1" si="90"/>
        <v/>
      </c>
    </row>
    <row r="275" spans="1:15" ht="16.5" customHeight="1">
      <c r="A275" s="47">
        <v>26</v>
      </c>
      <c r="B275" s="133" t="str">
        <f>HYPERLINK("#'" &amp; TEXT(투자전략!$G$1+25, "[$-ko-KR]yyyy.mm.dd") &amp; "'!A175:O199", TEXT(투자전략!$G$1+25, "[$-ko-KR]yyyy.mm.dd"))</f>
        <v>2023.01.26</v>
      </c>
      <c r="C275" s="118" t="str">
        <f t="shared" ca="1" si="78"/>
        <v/>
      </c>
      <c r="D275" s="122" t="str">
        <f t="shared" ca="1" si="79"/>
        <v/>
      </c>
      <c r="E275" s="70" t="str">
        <f t="shared" ca="1" si="80"/>
        <v/>
      </c>
      <c r="F275" s="120" t="str">
        <f t="shared" ca="1" si="81"/>
        <v/>
      </c>
      <c r="G275" s="122" t="str">
        <f t="shared" ca="1" si="82"/>
        <v/>
      </c>
      <c r="H275" s="70" t="str">
        <f t="shared" ca="1" si="83"/>
        <v/>
      </c>
      <c r="I275" s="120" t="str">
        <f t="shared" ca="1" si="84"/>
        <v/>
      </c>
      <c r="J275" s="122" t="str">
        <f t="shared" ca="1" si="85"/>
        <v/>
      </c>
      <c r="K275" s="70" t="str">
        <f t="shared" ca="1" si="86"/>
        <v/>
      </c>
      <c r="L275" s="120" t="str">
        <f t="shared" ca="1" si="87"/>
        <v/>
      </c>
      <c r="M275" s="122" t="str">
        <f t="shared" ca="1" si="88"/>
        <v/>
      </c>
      <c r="N275" s="70" t="str">
        <f t="shared" ca="1" si="89"/>
        <v/>
      </c>
      <c r="O275" s="120" t="str">
        <f t="shared" ca="1" si="90"/>
        <v/>
      </c>
    </row>
    <row r="276" spans="1:15" ht="16.5" customHeight="1">
      <c r="A276" s="47">
        <v>27</v>
      </c>
      <c r="B276" s="133" t="str">
        <f>HYPERLINK("#'" &amp; TEXT(투자전략!$G$1+26, "[$-ko-KR]yyyy.mm.dd") &amp; "'!A175:O199", TEXT(투자전략!$G$1+26, "[$-ko-KR]yyyy.mm.dd"))</f>
        <v>2023.01.27</v>
      </c>
      <c r="C276" s="118" t="str">
        <f t="shared" ca="1" si="78"/>
        <v/>
      </c>
      <c r="D276" s="122" t="str">
        <f t="shared" ca="1" si="79"/>
        <v/>
      </c>
      <c r="E276" s="70" t="str">
        <f t="shared" ca="1" si="80"/>
        <v/>
      </c>
      <c r="F276" s="120" t="str">
        <f t="shared" ca="1" si="81"/>
        <v/>
      </c>
      <c r="G276" s="122" t="str">
        <f t="shared" ca="1" si="82"/>
        <v/>
      </c>
      <c r="H276" s="70" t="str">
        <f t="shared" ca="1" si="83"/>
        <v/>
      </c>
      <c r="I276" s="120" t="str">
        <f t="shared" ca="1" si="84"/>
        <v/>
      </c>
      <c r="J276" s="122" t="str">
        <f t="shared" ca="1" si="85"/>
        <v/>
      </c>
      <c r="K276" s="70" t="str">
        <f t="shared" ca="1" si="86"/>
        <v/>
      </c>
      <c r="L276" s="120" t="str">
        <f t="shared" ca="1" si="87"/>
        <v/>
      </c>
      <c r="M276" s="122" t="str">
        <f t="shared" ca="1" si="88"/>
        <v/>
      </c>
      <c r="N276" s="70" t="str">
        <f t="shared" ca="1" si="89"/>
        <v/>
      </c>
      <c r="O276" s="120" t="str">
        <f t="shared" ca="1" si="90"/>
        <v/>
      </c>
    </row>
    <row r="277" spans="1:15" ht="16.5" customHeight="1" thickBot="1">
      <c r="A277" s="48">
        <v>28</v>
      </c>
      <c r="B277" s="134" t="str">
        <f>HYPERLINK("#'" &amp; TEXT(투자전략!$G$1+27, "[$-ko-KR]yyyy.mm.dd") &amp; "'!A175:O199", TEXT(투자전략!$G$1+27, "[$-ko-KR]yyyy.mm.dd"))</f>
        <v>2023.01.28</v>
      </c>
      <c r="C277" s="119" t="str">
        <f t="shared" ca="1" si="78"/>
        <v/>
      </c>
      <c r="D277" s="123" t="str">
        <f t="shared" ca="1" si="79"/>
        <v/>
      </c>
      <c r="E277" s="72" t="str">
        <f t="shared" ca="1" si="80"/>
        <v/>
      </c>
      <c r="F277" s="121" t="str">
        <f t="shared" ca="1" si="81"/>
        <v/>
      </c>
      <c r="G277" s="123" t="str">
        <f t="shared" ca="1" si="82"/>
        <v/>
      </c>
      <c r="H277" s="72" t="str">
        <f t="shared" ca="1" si="83"/>
        <v/>
      </c>
      <c r="I277" s="121" t="str">
        <f t="shared" ca="1" si="84"/>
        <v/>
      </c>
      <c r="J277" s="123" t="str">
        <f t="shared" ca="1" si="85"/>
        <v/>
      </c>
      <c r="K277" s="72" t="str">
        <f t="shared" ca="1" si="86"/>
        <v/>
      </c>
      <c r="L277" s="121" t="str">
        <f t="shared" ca="1" si="87"/>
        <v/>
      </c>
      <c r="M277" s="123" t="str">
        <f t="shared" ca="1" si="88"/>
        <v/>
      </c>
      <c r="N277" s="72" t="str">
        <f t="shared" ca="1" si="89"/>
        <v/>
      </c>
      <c r="O277" s="121" t="str">
        <f t="shared" ca="1" si="90"/>
        <v/>
      </c>
    </row>
    <row r="278" spans="1:15" ht="16.5" customHeight="1">
      <c r="A278" s="105">
        <v>29</v>
      </c>
      <c r="B278" s="132" t="str">
        <f>HYPERLINK("#'" &amp; TEXT(투자전략!$G$1+28, "[$-ko-KR]yyyy.mm.dd") &amp; "'!A175:O199", TEXT(투자전략!$G$1+28, "[$-ko-KR]yyyy.mm.dd"))</f>
        <v>2023.01.29</v>
      </c>
      <c r="C278" s="118" t="str">
        <f t="shared" ca="1" si="78"/>
        <v/>
      </c>
      <c r="D278" s="122" t="str">
        <f t="shared" ca="1" si="79"/>
        <v/>
      </c>
      <c r="E278" s="70" t="str">
        <f t="shared" ca="1" si="80"/>
        <v/>
      </c>
      <c r="F278" s="120" t="str">
        <f t="shared" ca="1" si="81"/>
        <v/>
      </c>
      <c r="G278" s="122" t="str">
        <f t="shared" ca="1" si="82"/>
        <v/>
      </c>
      <c r="H278" s="70" t="str">
        <f t="shared" ca="1" si="83"/>
        <v/>
      </c>
      <c r="I278" s="120" t="str">
        <f t="shared" ca="1" si="84"/>
        <v/>
      </c>
      <c r="J278" s="122" t="str">
        <f t="shared" ca="1" si="85"/>
        <v/>
      </c>
      <c r="K278" s="70" t="str">
        <f t="shared" ca="1" si="86"/>
        <v/>
      </c>
      <c r="L278" s="120" t="str">
        <f t="shared" ca="1" si="87"/>
        <v/>
      </c>
      <c r="M278" s="122" t="str">
        <f t="shared" ca="1" si="88"/>
        <v/>
      </c>
      <c r="N278" s="70" t="str">
        <f t="shared" ca="1" si="89"/>
        <v/>
      </c>
      <c r="O278" s="120" t="str">
        <f t="shared" ca="1" si="90"/>
        <v/>
      </c>
    </row>
    <row r="279" spans="1:15" ht="16.5" customHeight="1">
      <c r="A279" s="105">
        <v>30</v>
      </c>
      <c r="B279" s="133" t="str">
        <f>HYPERLINK("#'" &amp; TEXT(투자전략!$G$1+29, "[$-ko-KR]yyyy.mm.dd") &amp; "'!A175:O199", TEXT(투자전략!$G$1+29, "[$-ko-KR]yyyy.mm.dd"))</f>
        <v>2023.01.30</v>
      </c>
      <c r="C279" s="118" t="str">
        <f t="shared" ca="1" si="78"/>
        <v/>
      </c>
      <c r="D279" s="122" t="str">
        <f t="shared" ca="1" si="79"/>
        <v/>
      </c>
      <c r="E279" s="70" t="str">
        <f t="shared" ca="1" si="80"/>
        <v/>
      </c>
      <c r="F279" s="120" t="str">
        <f t="shared" ca="1" si="81"/>
        <v/>
      </c>
      <c r="G279" s="122" t="str">
        <f t="shared" ca="1" si="82"/>
        <v/>
      </c>
      <c r="H279" s="70" t="str">
        <f t="shared" ca="1" si="83"/>
        <v/>
      </c>
      <c r="I279" s="120" t="str">
        <f t="shared" ca="1" si="84"/>
        <v/>
      </c>
      <c r="J279" s="122" t="str">
        <f t="shared" ca="1" si="85"/>
        <v/>
      </c>
      <c r="K279" s="70" t="str">
        <f t="shared" ca="1" si="86"/>
        <v/>
      </c>
      <c r="L279" s="120" t="str">
        <f t="shared" ca="1" si="87"/>
        <v/>
      </c>
      <c r="M279" s="122" t="str">
        <f t="shared" ca="1" si="88"/>
        <v/>
      </c>
      <c r="N279" s="70" t="str">
        <f t="shared" ca="1" si="89"/>
        <v/>
      </c>
      <c r="O279" s="120" t="str">
        <f t="shared" ca="1" si="90"/>
        <v/>
      </c>
    </row>
    <row r="280" spans="1:15" ht="16.5" customHeight="1" thickBot="1">
      <c r="A280" s="105">
        <v>31</v>
      </c>
      <c r="B280" s="133" t="str">
        <f>HYPERLINK("#'" &amp; TEXT(투자전략!$G$1+30, "[$-ko-KR]yyyy.mm.dd") &amp; "'!A175:O199", TEXT(투자전략!$G$1+30, "[$-ko-KR]yyyy.mm.dd"))</f>
        <v>2023.01.31</v>
      </c>
      <c r="C280" s="119" t="str">
        <f t="shared" ca="1" si="78"/>
        <v/>
      </c>
      <c r="D280" s="123" t="str">
        <f t="shared" ca="1" si="79"/>
        <v/>
      </c>
      <c r="E280" s="72" t="str">
        <f t="shared" ca="1" si="80"/>
        <v/>
      </c>
      <c r="F280" s="121" t="str">
        <f t="shared" ca="1" si="81"/>
        <v/>
      </c>
      <c r="G280" s="123" t="str">
        <f t="shared" ca="1" si="82"/>
        <v/>
      </c>
      <c r="H280" s="72" t="str">
        <f t="shared" ca="1" si="83"/>
        <v/>
      </c>
      <c r="I280" s="121" t="str">
        <f t="shared" ca="1" si="84"/>
        <v/>
      </c>
      <c r="J280" s="123" t="str">
        <f t="shared" ca="1" si="85"/>
        <v/>
      </c>
      <c r="K280" s="72" t="str">
        <f t="shared" ca="1" si="86"/>
        <v/>
      </c>
      <c r="L280" s="121" t="str">
        <f t="shared" ca="1" si="87"/>
        <v/>
      </c>
      <c r="M280" s="123" t="str">
        <f t="shared" ca="1" si="88"/>
        <v/>
      </c>
      <c r="N280" s="72" t="str">
        <f t="shared" ca="1" si="89"/>
        <v/>
      </c>
      <c r="O280" s="121" t="str">
        <f t="shared" ca="1" si="90"/>
        <v/>
      </c>
    </row>
    <row r="281" spans="1:15" ht="16.5" customHeight="1" thickBot="1">
      <c r="A281" s="185" t="s">
        <v>270</v>
      </c>
      <c r="B281" s="187"/>
      <c r="C281" s="116" t="s">
        <v>265</v>
      </c>
      <c r="D281" s="9" t="s">
        <v>266</v>
      </c>
      <c r="E281" s="63" t="s">
        <v>267</v>
      </c>
      <c r="F281" s="64" t="s">
        <v>268</v>
      </c>
      <c r="G281" s="9" t="s">
        <v>266</v>
      </c>
      <c r="H281" s="63" t="s">
        <v>267</v>
      </c>
      <c r="I281" s="64" t="s">
        <v>268</v>
      </c>
      <c r="J281" s="9" t="s">
        <v>266</v>
      </c>
      <c r="K281" s="63" t="s">
        <v>267</v>
      </c>
      <c r="L281" s="64" t="s">
        <v>268</v>
      </c>
      <c r="M281" s="9" t="s">
        <v>266</v>
      </c>
      <c r="N281" s="63" t="s">
        <v>267</v>
      </c>
      <c r="O281" s="64" t="s">
        <v>268</v>
      </c>
    </row>
    <row r="282" spans="1:15" ht="16.5" customHeight="1" thickBot="1">
      <c r="A282" s="178"/>
      <c r="B282" s="180"/>
      <c r="C282" s="119">
        <f ca="1">SUM(C250:C280)</f>
        <v>24000000</v>
      </c>
      <c r="D282" s="123">
        <f ca="1">SUM(D250:D280)</f>
        <v>24180608.457893342</v>
      </c>
      <c r="E282" s="72">
        <f ca="1">IFERROR(F282 / (SUM($C250:$C280) / COUNT($C250:$C280)), 0)</f>
        <v>6.0202819297780305E-2</v>
      </c>
      <c r="F282" s="121">
        <f ca="1">SUM(F250:F280)</f>
        <v>180608.45789334091</v>
      </c>
      <c r="G282" s="123">
        <f ca="1">SUM(G250:G280)</f>
        <v>24196434.439542878</v>
      </c>
      <c r="H282" s="72">
        <f ca="1">IFERROR(I282 / (SUM($C250:$C280) / COUNT($C250:$C280)), 0)</f>
        <v>6.5478146514291694E-2</v>
      </c>
      <c r="I282" s="121">
        <f ca="1">SUM(I250:I280)</f>
        <v>196434.4395428751</v>
      </c>
      <c r="J282" s="123">
        <f ca="1">SUM(J250:J280)</f>
        <v>24215767.553996474</v>
      </c>
      <c r="K282" s="72">
        <f ca="1">IFERROR(L282 / (SUM($C250:$C280) / COUNT($C250:$C280)), 0)</f>
        <v>7.1922517998824056E-2</v>
      </c>
      <c r="L282" s="121">
        <f ca="1">SUM(L250:L280)</f>
        <v>215767.55399647218</v>
      </c>
      <c r="M282" s="123">
        <f ca="1">SUM(M250:M280)</f>
        <v>24052580.863867145</v>
      </c>
      <c r="N282" s="72">
        <f ca="1">IFERROR(O282 / (SUM($C250:$C280) / COUNT($C250:$C280)), 0)</f>
        <v>1.7526954622381772E-2</v>
      </c>
      <c r="O282" s="121">
        <f ca="1">SUM(O250:O280)</f>
        <v>52580.863867145315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675" priority="323">
      <formula>$E$54 &gt; 0</formula>
    </cfRule>
    <cfRule type="expression" dxfId="1674" priority="324">
      <formula>$E$54 = 0</formula>
    </cfRule>
    <cfRule type="expression" dxfId="1673" priority="325">
      <formula>$E$54 &lt; 0</formula>
    </cfRule>
  </conditionalFormatting>
  <conditionalFormatting sqref="G20:I21 H54:I54">
    <cfRule type="expression" dxfId="1672" priority="320">
      <formula>$H$54 &gt; 0</formula>
    </cfRule>
    <cfRule type="expression" dxfId="1671" priority="321">
      <formula>$H$54 = 0</formula>
    </cfRule>
    <cfRule type="expression" dxfId="1670" priority="322">
      <formula>$H$54 &lt; 0</formula>
    </cfRule>
  </conditionalFormatting>
  <conditionalFormatting sqref="J20:L21 K54:L54">
    <cfRule type="expression" dxfId="1669" priority="317">
      <formula>$K$54 &gt; 0</formula>
    </cfRule>
    <cfRule type="expression" dxfId="1668" priority="318">
      <formula>$K$54 = 0</formula>
    </cfRule>
    <cfRule type="expression" dxfId="1667" priority="319">
      <formula>$K$54 &lt; 0</formula>
    </cfRule>
  </conditionalFormatting>
  <conditionalFormatting sqref="M20:O21 N54:O54">
    <cfRule type="expression" dxfId="1666" priority="314">
      <formula>$N$54 &gt; 0</formula>
    </cfRule>
    <cfRule type="expression" dxfId="1665" priority="315">
      <formula>$N$54 = 0</formula>
    </cfRule>
    <cfRule type="expression" dxfId="1664" priority="316">
      <formula>$N$54 &lt; 0</formula>
    </cfRule>
  </conditionalFormatting>
  <conditionalFormatting sqref="D22:F52">
    <cfRule type="expression" dxfId="1663" priority="299">
      <formula>AND($E22 &gt; 0, ISNUMBER($E22))</formula>
    </cfRule>
    <cfRule type="expression" dxfId="1662" priority="300">
      <formula>AND($E22 = 0, ISNUMBER($E22))</formula>
    </cfRule>
    <cfRule type="expression" dxfId="1661" priority="301">
      <formula>AND($E22 &lt; 0, ISNUMBER($E22))</formula>
    </cfRule>
  </conditionalFormatting>
  <conditionalFormatting sqref="G22:I52">
    <cfRule type="expression" dxfId="1660" priority="296">
      <formula>AND($H22 &gt; 0, ISNUMBER($H22))</formula>
    </cfRule>
    <cfRule type="expression" dxfId="1659" priority="297">
      <formula>AND($H22 = 0, ISNUMBER($H22))</formula>
    </cfRule>
    <cfRule type="expression" dxfId="1658" priority="298">
      <formula>AND($H22 &lt; 0, ISNUMBER($H22))</formula>
    </cfRule>
  </conditionalFormatting>
  <conditionalFormatting sqref="J22:L52">
    <cfRule type="expression" dxfId="1657" priority="293">
      <formula>AND($K22 &gt; 0, ISNUMBER($K22))</formula>
    </cfRule>
    <cfRule type="expression" dxfId="1656" priority="294">
      <formula>AND($K22 = 0, ISNUMBER($K22))</formula>
    </cfRule>
    <cfRule type="expression" dxfId="1655" priority="295">
      <formula>AND($K22 &lt; 0, ISNUMBER($K22))</formula>
    </cfRule>
  </conditionalFormatting>
  <conditionalFormatting sqref="M22:O52">
    <cfRule type="expression" dxfId="1654" priority="290">
      <formula>AND($N22 &gt; 0, ISNUMBER($N22))</formula>
    </cfRule>
    <cfRule type="expression" dxfId="1653" priority="291">
      <formula>AND($N22 = 0, ISNUMBER($N22))</formula>
    </cfRule>
    <cfRule type="expression" dxfId="1652" priority="292">
      <formula>AND($N22 &lt; 0, ISNUMBER($N22))</formula>
    </cfRule>
  </conditionalFormatting>
  <conditionalFormatting sqref="D58:F59 E92:F92">
    <cfRule type="expression" dxfId="1651" priority="287">
      <formula>$E$92 &gt; 0</formula>
    </cfRule>
    <cfRule type="expression" dxfId="1650" priority="288">
      <formula>$E$92 = 0</formula>
    </cfRule>
    <cfRule type="expression" dxfId="1649" priority="289">
      <formula>$E$92 &lt; 0</formula>
    </cfRule>
  </conditionalFormatting>
  <conditionalFormatting sqref="G58:I59 H92:I92">
    <cfRule type="expression" dxfId="1648" priority="284">
      <formula>$H$92 &gt; 0</formula>
    </cfRule>
    <cfRule type="expression" dxfId="1647" priority="285">
      <formula>$H$92 = 0</formula>
    </cfRule>
    <cfRule type="expression" dxfId="1646" priority="286">
      <formula>$H$92 &lt; 0</formula>
    </cfRule>
  </conditionalFormatting>
  <conditionalFormatting sqref="J58:L59 K92:L92">
    <cfRule type="expression" dxfId="1645" priority="281">
      <formula>$K$92 &gt; 0</formula>
    </cfRule>
    <cfRule type="expression" dxfId="1644" priority="282">
      <formula>$K$92 = 0</formula>
    </cfRule>
    <cfRule type="expression" dxfId="1643" priority="283">
      <formula>$K$92 &lt; 0</formula>
    </cfRule>
  </conditionalFormatting>
  <conditionalFormatting sqref="M58:O59 N92:O92">
    <cfRule type="expression" dxfId="1642" priority="278">
      <formula>$N$92 &gt; 0</formula>
    </cfRule>
    <cfRule type="expression" dxfId="1641" priority="279">
      <formula>$N$92 = 0</formula>
    </cfRule>
    <cfRule type="expression" dxfId="1640" priority="280">
      <formula>$N$92 &lt; 0</formula>
    </cfRule>
  </conditionalFormatting>
  <conditionalFormatting sqref="D60:F90">
    <cfRule type="expression" dxfId="1639" priority="275">
      <formula>AND($E60 &gt; 0, ISNUMBER($E60))</formula>
    </cfRule>
    <cfRule type="expression" dxfId="1638" priority="276">
      <formula>AND($E60 = 0, ISNUMBER($E60))</formula>
    </cfRule>
    <cfRule type="expression" dxfId="1637" priority="277">
      <formula>AND($E60 &lt; 0, ISNUMBER($E60))</formula>
    </cfRule>
  </conditionalFormatting>
  <conditionalFormatting sqref="G60:I90">
    <cfRule type="expression" dxfId="1636" priority="272">
      <formula>AND($H60 &gt; 0, ISNUMBER($H60))</formula>
    </cfRule>
    <cfRule type="expression" dxfId="1635" priority="273">
      <formula>AND($H60 = 0, ISNUMBER($H60))</formula>
    </cfRule>
    <cfRule type="expression" dxfId="1634" priority="274">
      <formula>AND($H60 &lt; 0, ISNUMBER($H60))</formula>
    </cfRule>
  </conditionalFormatting>
  <conditionalFormatting sqref="J60:L90">
    <cfRule type="expression" dxfId="1633" priority="269">
      <formula>AND($K60 &gt; 0, ISNUMBER($K60))</formula>
    </cfRule>
    <cfRule type="expression" dxfId="1632" priority="270">
      <formula>AND($K60 = 0, ISNUMBER($K60))</formula>
    </cfRule>
    <cfRule type="expression" dxfId="1631" priority="271">
      <formula>AND($K60 &lt; 0, ISNUMBER($K60))</formula>
    </cfRule>
  </conditionalFormatting>
  <conditionalFormatting sqref="M60:O90">
    <cfRule type="expression" dxfId="1630" priority="266">
      <formula>AND($N60 &gt; 0, ISNUMBER($N60))</formula>
    </cfRule>
    <cfRule type="expression" dxfId="1629" priority="267">
      <formula>AND($N60 = 0, ISNUMBER($N60))</formula>
    </cfRule>
    <cfRule type="expression" dxfId="1628" priority="268">
      <formula>AND($N60 &lt; 0, ISNUMBER($N60))</formula>
    </cfRule>
  </conditionalFormatting>
  <conditionalFormatting sqref="D96:F97 E130:F130">
    <cfRule type="expression" dxfId="1627" priority="263">
      <formula>$E$130 &gt; 0</formula>
    </cfRule>
    <cfRule type="expression" dxfId="1626" priority="264">
      <formula>$E$130 = 0</formula>
    </cfRule>
    <cfRule type="expression" dxfId="1625" priority="265">
      <formula>$E$130 &lt; 0</formula>
    </cfRule>
  </conditionalFormatting>
  <conditionalFormatting sqref="G96:I97 H130:I130">
    <cfRule type="expression" dxfId="1624" priority="260">
      <formula>$H$130 &gt; 0</formula>
    </cfRule>
    <cfRule type="expression" dxfId="1623" priority="261">
      <formula>$H$130 = 0</formula>
    </cfRule>
    <cfRule type="expression" dxfId="1622" priority="262">
      <formula>$H$130 &lt; 0</formula>
    </cfRule>
  </conditionalFormatting>
  <conditionalFormatting sqref="J96:L97 K130:L130">
    <cfRule type="expression" dxfId="1621" priority="257">
      <formula>$K$130 &gt; 0</formula>
    </cfRule>
    <cfRule type="expression" dxfId="1620" priority="258">
      <formula>$K$130 = 0</formula>
    </cfRule>
    <cfRule type="expression" dxfId="1619" priority="259">
      <formula>$K$130 &lt; 0</formula>
    </cfRule>
  </conditionalFormatting>
  <conditionalFormatting sqref="M96:O97 N130:O130">
    <cfRule type="expression" dxfId="1618" priority="254">
      <formula>$N$130 &gt; 0</formula>
    </cfRule>
    <cfRule type="expression" dxfId="1617" priority="255">
      <formula>$N$130 = 0</formula>
    </cfRule>
    <cfRule type="expression" dxfId="1616" priority="256">
      <formula>$N$130 &lt; 0</formula>
    </cfRule>
  </conditionalFormatting>
  <conditionalFormatting sqref="D98:F128">
    <cfRule type="expression" dxfId="1615" priority="251">
      <formula>AND($E98 &gt; 0, ISNUMBER($E98))</formula>
    </cfRule>
    <cfRule type="expression" dxfId="1614" priority="252">
      <formula>AND($E98 = 0, ISNUMBER($E98))</formula>
    </cfRule>
    <cfRule type="expression" dxfId="1613" priority="253">
      <formula>AND($E98 &lt; 0, ISNUMBER($E98))</formula>
    </cfRule>
  </conditionalFormatting>
  <conditionalFormatting sqref="G98:I128">
    <cfRule type="expression" dxfId="1612" priority="248">
      <formula>AND($H98 &gt; 0, ISNUMBER($H98))</formula>
    </cfRule>
    <cfRule type="expression" dxfId="1611" priority="249">
      <formula>AND($H98 = 0, ISNUMBER($H98))</formula>
    </cfRule>
    <cfRule type="expression" dxfId="1610" priority="250">
      <formula>AND($H98 &lt; 0, ISNUMBER($H98))</formula>
    </cfRule>
  </conditionalFormatting>
  <conditionalFormatting sqref="J98:L128">
    <cfRule type="expression" dxfId="1609" priority="245">
      <formula>AND($K98 &gt; 0, ISNUMBER($K98))</formula>
    </cfRule>
    <cfRule type="expression" dxfId="1608" priority="246">
      <formula>AND($K98 = 0, ISNUMBER($K98))</formula>
    </cfRule>
    <cfRule type="expression" dxfId="1607" priority="247">
      <formula>AND($K98 &lt; 0, ISNUMBER($K98))</formula>
    </cfRule>
  </conditionalFormatting>
  <conditionalFormatting sqref="M98:O128">
    <cfRule type="expression" dxfId="1606" priority="242">
      <formula>AND($N98 &gt; 0, ISNUMBER($N98))</formula>
    </cfRule>
    <cfRule type="expression" dxfId="1605" priority="243">
      <formula>AND($N98 = 0, ISNUMBER($N98))</formula>
    </cfRule>
    <cfRule type="expression" dxfId="1604" priority="244">
      <formula>AND($N98 &lt; 0, ISNUMBER($N98))</formula>
    </cfRule>
  </conditionalFormatting>
  <conditionalFormatting sqref="D134:F135 E168:F168">
    <cfRule type="expression" dxfId="1603" priority="239">
      <formula>$E$168 &gt; 0</formula>
    </cfRule>
    <cfRule type="expression" dxfId="1602" priority="240">
      <formula>$E$168 = 0</formula>
    </cfRule>
    <cfRule type="expression" dxfId="1601" priority="241">
      <formula>$E$168 &lt; 0</formula>
    </cfRule>
  </conditionalFormatting>
  <conditionalFormatting sqref="G134:I135 H168:I168">
    <cfRule type="expression" dxfId="1600" priority="236">
      <formula>$H$168 &gt; 0</formula>
    </cfRule>
    <cfRule type="expression" dxfId="1599" priority="237">
      <formula>$H$168 = 0</formula>
    </cfRule>
    <cfRule type="expression" dxfId="1598" priority="238">
      <formula>$H$168 &lt; 0</formula>
    </cfRule>
  </conditionalFormatting>
  <conditionalFormatting sqref="J134:L135 K168:L168">
    <cfRule type="expression" dxfId="1597" priority="233">
      <formula>$K$168 &gt; 0</formula>
    </cfRule>
    <cfRule type="expression" dxfId="1596" priority="234">
      <formula>$K$168 = 0</formula>
    </cfRule>
    <cfRule type="expression" dxfId="1595" priority="235">
      <formula>$K$168 &lt; 0</formula>
    </cfRule>
  </conditionalFormatting>
  <conditionalFormatting sqref="M134:O135 N168:O168">
    <cfRule type="expression" dxfId="1594" priority="230">
      <formula>$N$168 &gt; 0</formula>
    </cfRule>
    <cfRule type="expression" dxfId="1593" priority="231">
      <formula>$N$168 = 0</formula>
    </cfRule>
    <cfRule type="expression" dxfId="1592" priority="232">
      <formula>$N$168 &lt; 0</formula>
    </cfRule>
  </conditionalFormatting>
  <conditionalFormatting sqref="D136:F166">
    <cfRule type="expression" dxfId="1591" priority="227">
      <formula>AND($E136 &gt; 0, ISNUMBER($E136))</formula>
    </cfRule>
    <cfRule type="expression" dxfId="1590" priority="228">
      <formula>AND($E136 = 0, ISNUMBER($E136))</formula>
    </cfRule>
    <cfRule type="expression" dxfId="1589" priority="229">
      <formula>AND($E136 &lt; 0, ISNUMBER($E136))</formula>
    </cfRule>
  </conditionalFormatting>
  <conditionalFormatting sqref="G136:I166">
    <cfRule type="expression" dxfId="1588" priority="224">
      <formula>AND($H136 &gt; 0, ISNUMBER($H136))</formula>
    </cfRule>
    <cfRule type="expression" dxfId="1587" priority="225">
      <formula>AND($H136 = 0, ISNUMBER($H136))</formula>
    </cfRule>
    <cfRule type="expression" dxfId="1586" priority="226">
      <formula>AND($H136 &lt; 0, ISNUMBER($H136))</formula>
    </cfRule>
  </conditionalFormatting>
  <conditionalFormatting sqref="J136:L166">
    <cfRule type="expression" dxfId="1585" priority="221">
      <formula>AND($K136 &gt; 0, ISNUMBER($K136))</formula>
    </cfRule>
    <cfRule type="expression" dxfId="1584" priority="222">
      <formula>AND($K136 = 0, ISNUMBER($K136))</formula>
    </cfRule>
    <cfRule type="expression" dxfId="1583" priority="223">
      <formula>AND($K136 &lt; 0, ISNUMBER($K136))</formula>
    </cfRule>
  </conditionalFormatting>
  <conditionalFormatting sqref="M136:O166">
    <cfRule type="expression" dxfId="1582" priority="218">
      <formula>AND($N136 &gt; 0, ISNUMBER($N136))</formula>
    </cfRule>
    <cfRule type="expression" dxfId="1581" priority="219">
      <formula>AND($N136 = 0, ISNUMBER($N136))</formula>
    </cfRule>
    <cfRule type="expression" dxfId="1580" priority="220">
      <formula>AND($N136 &lt; 0, ISNUMBER($N136))</formula>
    </cfRule>
  </conditionalFormatting>
  <conditionalFormatting sqref="D172:F173 E206:F206">
    <cfRule type="expression" dxfId="1579" priority="215">
      <formula>$E$206 &gt; 0</formula>
    </cfRule>
    <cfRule type="expression" dxfId="1578" priority="216">
      <formula>$E$206 = 0</formula>
    </cfRule>
    <cfRule type="expression" dxfId="1577" priority="217">
      <formula>$E$206 &lt; 0</formula>
    </cfRule>
  </conditionalFormatting>
  <conditionalFormatting sqref="G172:I173 H206:I206">
    <cfRule type="expression" dxfId="1576" priority="212">
      <formula>$H$206 &gt; 0</formula>
    </cfRule>
    <cfRule type="expression" dxfId="1575" priority="213">
      <formula>$H$206 = 0</formula>
    </cfRule>
    <cfRule type="expression" dxfId="1574" priority="214">
      <formula>$H$206 &lt; 0</formula>
    </cfRule>
  </conditionalFormatting>
  <conditionalFormatting sqref="J172:L173 K206:L206">
    <cfRule type="expression" dxfId="1573" priority="209">
      <formula>$K$206 &gt; 0</formula>
    </cfRule>
    <cfRule type="expression" dxfId="1572" priority="210">
      <formula>$K$206 = 0</formula>
    </cfRule>
    <cfRule type="expression" dxfId="1571" priority="211">
      <formula>$K$206 &lt; 0</formula>
    </cfRule>
  </conditionalFormatting>
  <conditionalFormatting sqref="M172:O173 N206:O206">
    <cfRule type="expression" dxfId="1570" priority="206">
      <formula>$N$206 &gt; 0</formula>
    </cfRule>
    <cfRule type="expression" dxfId="1569" priority="207">
      <formula>$N$206 = 0</formula>
    </cfRule>
    <cfRule type="expression" dxfId="1568" priority="208">
      <formula>$N$206 &lt; 0</formula>
    </cfRule>
  </conditionalFormatting>
  <conditionalFormatting sqref="D174:F204">
    <cfRule type="expression" dxfId="1567" priority="203">
      <formula>AND($E174 &gt; 0, ISNUMBER($E174))</formula>
    </cfRule>
    <cfRule type="expression" dxfId="1566" priority="204">
      <formula>AND($E174 = 0, ISNUMBER($E174))</formula>
    </cfRule>
    <cfRule type="expression" dxfId="1565" priority="205">
      <formula>AND($E174 &lt; 0, ISNUMBER($E174))</formula>
    </cfRule>
  </conditionalFormatting>
  <conditionalFormatting sqref="G174:I204">
    <cfRule type="expression" dxfId="1564" priority="200">
      <formula>AND($H174 &gt; 0, ISNUMBER($H174))</formula>
    </cfRule>
    <cfRule type="expression" dxfId="1563" priority="201">
      <formula>AND($H174 = 0, ISNUMBER($H174))</formula>
    </cfRule>
    <cfRule type="expression" dxfId="1562" priority="202">
      <formula>AND($H174 &lt; 0, ISNUMBER($H174))</formula>
    </cfRule>
  </conditionalFormatting>
  <conditionalFormatting sqref="J174:L204">
    <cfRule type="expression" dxfId="1561" priority="197">
      <formula>AND($K174 &gt; 0, ISNUMBER($K174))</formula>
    </cfRule>
    <cfRule type="expression" dxfId="1560" priority="198">
      <formula>AND($K174 = 0, ISNUMBER($K174))</formula>
    </cfRule>
    <cfRule type="expression" dxfId="1559" priority="199">
      <formula>AND($K174 &lt; 0, ISNUMBER($K174))</formula>
    </cfRule>
  </conditionalFormatting>
  <conditionalFormatting sqref="M174:O204">
    <cfRule type="expression" dxfId="1558" priority="194">
      <formula>AND($N174 &gt; 0, ISNUMBER($N174))</formula>
    </cfRule>
    <cfRule type="expression" dxfId="1557" priority="195">
      <formula>AND($N174 = 0, ISNUMBER($N174))</formula>
    </cfRule>
    <cfRule type="expression" dxfId="1556" priority="196">
      <formula>AND($N174 &lt; 0, ISNUMBER($N174))</formula>
    </cfRule>
  </conditionalFormatting>
  <conditionalFormatting sqref="D210:F211 E244:F244">
    <cfRule type="expression" dxfId="1555" priority="191">
      <formula>$E$244 &gt; 0</formula>
    </cfRule>
    <cfRule type="expression" dxfId="1554" priority="192">
      <formula>$E$244 = 0</formula>
    </cfRule>
    <cfRule type="expression" dxfId="1553" priority="193">
      <formula>$E$244 &lt; 0</formula>
    </cfRule>
  </conditionalFormatting>
  <conditionalFormatting sqref="G210:I211 H244:I244">
    <cfRule type="expression" dxfId="1552" priority="188">
      <formula>$H$244 &gt; 0</formula>
    </cfRule>
    <cfRule type="expression" dxfId="1551" priority="189">
      <formula>$H$244 = 0</formula>
    </cfRule>
    <cfRule type="expression" dxfId="1550" priority="190">
      <formula>$H$244 &lt; 0</formula>
    </cfRule>
  </conditionalFormatting>
  <conditionalFormatting sqref="J210:L211 K244:L244">
    <cfRule type="expression" dxfId="1549" priority="185">
      <formula>$K$244 &gt; 0</formula>
    </cfRule>
    <cfRule type="expression" dxfId="1548" priority="186">
      <formula>$K$244 = 0</formula>
    </cfRule>
    <cfRule type="expression" dxfId="1547" priority="187">
      <formula>$K$244 &lt; 0</formula>
    </cfRule>
  </conditionalFormatting>
  <conditionalFormatting sqref="M210:O211 N244:O244">
    <cfRule type="expression" dxfId="1546" priority="182">
      <formula>$N$244 &gt; 0</formula>
    </cfRule>
    <cfRule type="expression" dxfId="1545" priority="183">
      <formula>$N$244 = 0</formula>
    </cfRule>
    <cfRule type="expression" dxfId="1544" priority="184">
      <formula>$N$244 &lt; 0</formula>
    </cfRule>
  </conditionalFormatting>
  <conditionalFormatting sqref="D212:F242">
    <cfRule type="expression" dxfId="1543" priority="179">
      <formula>AND($E212 &gt; 0, ISNUMBER($E212))</formula>
    </cfRule>
    <cfRule type="expression" dxfId="1542" priority="180">
      <formula>AND($E212 = 0, ISNUMBER($E212))</formula>
    </cfRule>
    <cfRule type="expression" dxfId="1541" priority="181">
      <formula>AND($E212 &lt; 0, ISNUMBER($E212))</formula>
    </cfRule>
  </conditionalFormatting>
  <conditionalFormatting sqref="G212:I242">
    <cfRule type="expression" dxfId="1540" priority="176">
      <formula>AND($H212 &gt; 0, ISNUMBER($H212))</formula>
    </cfRule>
    <cfRule type="expression" dxfId="1539" priority="177">
      <formula>AND($H212 = 0, ISNUMBER($H212))</formula>
    </cfRule>
    <cfRule type="expression" dxfId="1538" priority="178">
      <formula>AND($H212 &lt; 0, ISNUMBER($H212))</formula>
    </cfRule>
  </conditionalFormatting>
  <conditionalFormatting sqref="J212:L242">
    <cfRule type="expression" dxfId="1537" priority="173">
      <formula>AND($K212 &gt; 0, ISNUMBER($K212))</formula>
    </cfRule>
    <cfRule type="expression" dxfId="1536" priority="174">
      <formula>AND($K212 = 0, ISNUMBER($K212))</formula>
    </cfRule>
    <cfRule type="expression" dxfId="1535" priority="175">
      <formula>AND($K212 &lt; 0, ISNUMBER($K212))</formula>
    </cfRule>
  </conditionalFormatting>
  <conditionalFormatting sqref="M212:O242">
    <cfRule type="expression" dxfId="1534" priority="170">
      <formula>AND($N212 &gt; 0, ISNUMBER($N212))</formula>
    </cfRule>
    <cfRule type="expression" dxfId="1533" priority="171">
      <formula>AND($N212 = 0, ISNUMBER($N212))</formula>
    </cfRule>
    <cfRule type="expression" dxfId="1532" priority="172">
      <formula>AND($N212 &lt; 0, ISNUMBER($N212))</formula>
    </cfRule>
  </conditionalFormatting>
  <conditionalFormatting sqref="D248:F249 E282:F282">
    <cfRule type="expression" dxfId="1531" priority="167">
      <formula>$E$282 &gt; 0</formula>
    </cfRule>
    <cfRule type="expression" dxfId="1530" priority="168">
      <formula>$E$282 = 0</formula>
    </cfRule>
    <cfRule type="expression" dxfId="1529" priority="169">
      <formula>$E$282 &lt; 0</formula>
    </cfRule>
  </conditionalFormatting>
  <conditionalFormatting sqref="G248:I249 H282:I282">
    <cfRule type="expression" dxfId="1528" priority="164">
      <formula>$H$282 &gt; 0</formula>
    </cfRule>
    <cfRule type="expression" dxfId="1527" priority="165">
      <formula>$H$282 = 0</formula>
    </cfRule>
    <cfRule type="expression" dxfId="1526" priority="166">
      <formula>$H$282 &lt; 0</formula>
    </cfRule>
  </conditionalFormatting>
  <conditionalFormatting sqref="J248:L249 K282:L282">
    <cfRule type="expression" dxfId="1525" priority="161">
      <formula>$K$282 &gt; 0</formula>
    </cfRule>
    <cfRule type="expression" dxfId="1524" priority="162">
      <formula>$K$282 = 0</formula>
    </cfRule>
    <cfRule type="expression" dxfId="1523" priority="163">
      <formula>$K$282 &lt; 0</formula>
    </cfRule>
  </conditionalFormatting>
  <conditionalFormatting sqref="M248:O249 N282:O282">
    <cfRule type="expression" dxfId="1522" priority="158">
      <formula>$N$282 &gt; 0</formula>
    </cfRule>
    <cfRule type="expression" dxfId="1521" priority="159">
      <formula>$N$282 = 0</formula>
    </cfRule>
    <cfRule type="expression" dxfId="1520" priority="160">
      <formula>$N$282 &lt; 0</formula>
    </cfRule>
  </conditionalFormatting>
  <conditionalFormatting sqref="D250:F280">
    <cfRule type="expression" dxfId="1519" priority="155">
      <formula>AND($E250 &gt; 0, ISNUMBER($E250))</formula>
    </cfRule>
    <cfRule type="expression" dxfId="1518" priority="156">
      <formula>AND($E250 = 0, ISNUMBER($E250))</formula>
    </cfRule>
    <cfRule type="expression" dxfId="1517" priority="157">
      <formula>AND($E250 &lt; 0, ISNUMBER($E250))</formula>
    </cfRule>
  </conditionalFormatting>
  <conditionalFormatting sqref="G250:I280">
    <cfRule type="expression" dxfId="1516" priority="152">
      <formula>AND($H250 &gt; 0, ISNUMBER($H250))</formula>
    </cfRule>
    <cfRule type="expression" dxfId="1515" priority="153">
      <formula>AND($H250 = 0, ISNUMBER($H250))</formula>
    </cfRule>
    <cfRule type="expression" dxfId="1514" priority="154">
      <formula>AND($H250 &lt; 0, ISNUMBER($H250))</formula>
    </cfRule>
  </conditionalFormatting>
  <conditionalFormatting sqref="J250:L280">
    <cfRule type="expression" dxfId="1513" priority="149">
      <formula>AND($K250 &gt; 0, ISNUMBER($K250))</formula>
    </cfRule>
    <cfRule type="expression" dxfId="1512" priority="150">
      <formula>AND($K250 = 0, ISNUMBER($K250))</formula>
    </cfRule>
    <cfRule type="expression" dxfId="1511" priority="151">
      <formula>AND($K250 &lt; 0, ISNUMBER($K250))</formula>
    </cfRule>
  </conditionalFormatting>
  <conditionalFormatting sqref="M250:O280">
    <cfRule type="expression" dxfId="1510" priority="146">
      <formula>AND($N250 &gt; 0, ISNUMBER($N250))</formula>
    </cfRule>
    <cfRule type="expression" dxfId="1509" priority="147">
      <formula>AND($N250 = 0, ISNUMBER($N250))</formula>
    </cfRule>
    <cfRule type="expression" dxfId="1508" priority="148">
      <formula>AND($N250 &lt; 0, ISNUMBER($N250))</formula>
    </cfRule>
  </conditionalFormatting>
  <conditionalFormatting sqref="D5:F6">
    <cfRule type="expression" dxfId="1507" priority="143">
      <formula>$F$130 &gt; 0</formula>
    </cfRule>
    <cfRule type="expression" dxfId="1506" priority="144">
      <formula>$F$130 = 0</formula>
    </cfRule>
    <cfRule type="expression" dxfId="1505" priority="145">
      <formula>$F$130 &lt; 0</formula>
    </cfRule>
  </conditionalFormatting>
  <conditionalFormatting sqref="D7:F8">
    <cfRule type="expression" dxfId="1504" priority="140">
      <formula>$F$206 &gt; 0</formula>
    </cfRule>
    <cfRule type="expression" dxfId="1503" priority="141">
      <formula>$F$206 = 0</formula>
    </cfRule>
    <cfRule type="expression" dxfId="1502" priority="142">
      <formula>$F$206 &lt; 0</formula>
    </cfRule>
  </conditionalFormatting>
  <conditionalFormatting sqref="D9:F10">
    <cfRule type="expression" dxfId="1501" priority="137">
      <formula>$F$244 &gt; 0</formula>
    </cfRule>
    <cfRule type="expression" dxfId="1500" priority="138">
      <formula>$F$244 = 0</formula>
    </cfRule>
    <cfRule type="expression" dxfId="1499" priority="139">
      <formula>$F$244 &lt; 0</formula>
    </cfRule>
  </conditionalFormatting>
  <conditionalFormatting sqref="D11:F12">
    <cfRule type="expression" dxfId="1498" priority="134">
      <formula>$F$168 &gt; 0</formula>
    </cfRule>
    <cfRule type="expression" dxfId="1497" priority="135">
      <formula>$F$168 = 0</formula>
    </cfRule>
    <cfRule type="expression" dxfId="1496" priority="136">
      <formula>$F$168 &lt; 0</formula>
    </cfRule>
  </conditionalFormatting>
  <conditionalFormatting sqref="D13:F14">
    <cfRule type="expression" dxfId="1495" priority="92">
      <formula>$F$282 &gt; 0</formula>
    </cfRule>
    <cfRule type="expression" dxfId="1494" priority="93">
      <formula>$F$282 = 0</formula>
    </cfRule>
    <cfRule type="expression" dxfId="1493" priority="94">
      <formula>$F$282 &lt; 0</formula>
    </cfRule>
  </conditionalFormatting>
  <conditionalFormatting sqref="D15:F16">
    <cfRule type="expression" dxfId="1492" priority="77">
      <formula>$F$54 &gt; 0</formula>
    </cfRule>
    <cfRule type="expression" dxfId="1491" priority="78">
      <formula>$F$54 = 0</formula>
    </cfRule>
    <cfRule type="expression" dxfId="1490" priority="79">
      <formula>$F$54 &lt; 0</formula>
    </cfRule>
  </conditionalFormatting>
  <conditionalFormatting sqref="G5:I6">
    <cfRule type="expression" dxfId="1489" priority="65">
      <formula>$I$130 &gt; 0</formula>
    </cfRule>
    <cfRule type="expression" dxfId="1488" priority="66">
      <formula>$I$130 = 0</formula>
    </cfRule>
    <cfRule type="expression" dxfId="1487" priority="67">
      <formula>$I$130 &lt; 0</formula>
    </cfRule>
  </conditionalFormatting>
  <conditionalFormatting sqref="G7:I8">
    <cfRule type="expression" dxfId="1486" priority="62">
      <formula>$I$206 &gt; 0</formula>
    </cfRule>
    <cfRule type="expression" dxfId="1485" priority="63">
      <formula>$I$206 = 0</formula>
    </cfRule>
    <cfRule type="expression" dxfId="1484" priority="64">
      <formula>$I$206 &lt; 0</formula>
    </cfRule>
  </conditionalFormatting>
  <conditionalFormatting sqref="G9:I10">
    <cfRule type="expression" dxfId="1483" priority="59">
      <formula>$I$244 &gt; 0</formula>
    </cfRule>
    <cfRule type="expression" dxfId="1482" priority="60">
      <formula>$I$244 = 0</formula>
    </cfRule>
    <cfRule type="expression" dxfId="1481" priority="61">
      <formula>$I$244 &lt; 0</formula>
    </cfRule>
  </conditionalFormatting>
  <conditionalFormatting sqref="G11:I12">
    <cfRule type="expression" dxfId="1480" priority="56">
      <formula>$I$168 &gt; 0</formula>
    </cfRule>
    <cfRule type="expression" dxfId="1479" priority="57">
      <formula>$I$168 = 0</formula>
    </cfRule>
    <cfRule type="expression" dxfId="1478" priority="58">
      <formula>$I$168 &lt; 0</formula>
    </cfRule>
  </conditionalFormatting>
  <conditionalFormatting sqref="G13:I14">
    <cfRule type="expression" dxfId="1477" priority="53">
      <formula>$I$282 &gt; 0</formula>
    </cfRule>
    <cfRule type="expression" dxfId="1476" priority="54">
      <formula>$I$282 = 0</formula>
    </cfRule>
    <cfRule type="expression" dxfId="1475" priority="55">
      <formula>$I$282 &lt; 0</formula>
    </cfRule>
  </conditionalFormatting>
  <conditionalFormatting sqref="G15:I16">
    <cfRule type="expression" dxfId="1474" priority="50">
      <formula>$I$54 &gt; 0</formula>
    </cfRule>
    <cfRule type="expression" dxfId="1473" priority="51">
      <formula>$I$54 = 0</formula>
    </cfRule>
    <cfRule type="expression" dxfId="1472" priority="52">
      <formula>$I$54 &lt; 0</formula>
    </cfRule>
  </conditionalFormatting>
  <conditionalFormatting sqref="J5:L6">
    <cfRule type="expression" dxfId="1471" priority="47">
      <formula>$L$130 &gt; 0</formula>
    </cfRule>
    <cfRule type="expression" dxfId="1470" priority="48">
      <formula>$L$130 = 0</formula>
    </cfRule>
    <cfRule type="expression" dxfId="1469" priority="49">
      <formula>$L$130 &lt; 0</formula>
    </cfRule>
  </conditionalFormatting>
  <conditionalFormatting sqref="J7:L8">
    <cfRule type="expression" dxfId="1468" priority="44">
      <formula>$L$206 &gt; 0</formula>
    </cfRule>
    <cfRule type="expression" dxfId="1467" priority="45">
      <formula>$L$206 = 0</formula>
    </cfRule>
    <cfRule type="expression" dxfId="1466" priority="46">
      <formula>$L$206 &lt; 0</formula>
    </cfRule>
  </conditionalFormatting>
  <conditionalFormatting sqref="J9:L10">
    <cfRule type="expression" dxfId="1465" priority="41">
      <formula>$L$244 &gt; 0</formula>
    </cfRule>
    <cfRule type="expression" dxfId="1464" priority="42">
      <formula>$L$244 = 0</formula>
    </cfRule>
    <cfRule type="expression" dxfId="1463" priority="43">
      <formula>$L$244 &lt; 0</formula>
    </cfRule>
  </conditionalFormatting>
  <conditionalFormatting sqref="J11:L12">
    <cfRule type="expression" dxfId="1462" priority="38">
      <formula>$L$168 &gt; 0</formula>
    </cfRule>
    <cfRule type="expression" dxfId="1461" priority="39">
      <formula>$L$168 = 0</formula>
    </cfRule>
    <cfRule type="expression" dxfId="1460" priority="40">
      <formula>$L$168 &lt; 0</formula>
    </cfRule>
  </conditionalFormatting>
  <conditionalFormatting sqref="J13:L14">
    <cfRule type="expression" dxfId="1459" priority="35">
      <formula>$L$282 &gt; 0</formula>
    </cfRule>
    <cfRule type="expression" dxfId="1458" priority="36">
      <formula>$L$282 = 0</formula>
    </cfRule>
    <cfRule type="expression" dxfId="1457" priority="37">
      <formula>$L$282 &lt; 0</formula>
    </cfRule>
  </conditionalFormatting>
  <conditionalFormatting sqref="J15:L16">
    <cfRule type="expression" dxfId="1456" priority="32">
      <formula>$L$54 &gt; 0</formula>
    </cfRule>
    <cfRule type="expression" dxfId="1455" priority="33">
      <formula>$L$54 = 0</formula>
    </cfRule>
    <cfRule type="expression" dxfId="1454" priority="34">
      <formula>$L$54 &lt; 0</formula>
    </cfRule>
  </conditionalFormatting>
  <conditionalFormatting sqref="M5:O6">
    <cfRule type="expression" dxfId="1453" priority="29">
      <formula>$O$130 &gt; 0</formula>
    </cfRule>
    <cfRule type="expression" dxfId="1452" priority="30">
      <formula>$O$130 = 0</formula>
    </cfRule>
    <cfRule type="expression" dxfId="1451" priority="31">
      <formula>$O$130 &lt; 0</formula>
    </cfRule>
  </conditionalFormatting>
  <conditionalFormatting sqref="M7:O8">
    <cfRule type="expression" dxfId="1450" priority="26">
      <formula>$O$206 &gt; 0</formula>
    </cfRule>
    <cfRule type="expression" dxfId="1449" priority="27">
      <formula>$O$206 = 0</formula>
    </cfRule>
    <cfRule type="expression" dxfId="1448" priority="28">
      <formula>$O$206 &lt; 0</formula>
    </cfRule>
  </conditionalFormatting>
  <conditionalFormatting sqref="M9:O10">
    <cfRule type="expression" dxfId="1447" priority="23">
      <formula>$O$244 &gt; 0</formula>
    </cfRule>
    <cfRule type="expression" dxfId="1446" priority="24">
      <formula>$O$244 = 0</formula>
    </cfRule>
    <cfRule type="expression" dxfId="1445" priority="25">
      <formula>$O$244 &lt; 0</formula>
    </cfRule>
  </conditionalFormatting>
  <conditionalFormatting sqref="M11:O12">
    <cfRule type="expression" dxfId="1444" priority="20">
      <formula>$O$168 &gt; 0</formula>
    </cfRule>
    <cfRule type="expression" dxfId="1443" priority="21">
      <formula>$O$168 = 0</formula>
    </cfRule>
    <cfRule type="expression" dxfId="1442" priority="22">
      <formula>$O$168 &lt; 0</formula>
    </cfRule>
  </conditionalFormatting>
  <conditionalFormatting sqref="M13:O14">
    <cfRule type="expression" dxfId="1441" priority="17">
      <formula>$O$282 &gt; 0</formula>
    </cfRule>
    <cfRule type="expression" dxfId="1440" priority="18">
      <formula>$O$282 = 0</formula>
    </cfRule>
    <cfRule type="expression" dxfId="1439" priority="19">
      <formula>$O$282 &lt; 0</formula>
    </cfRule>
  </conditionalFormatting>
  <conditionalFormatting sqref="M15:O16">
    <cfRule type="expression" dxfId="1438" priority="14">
      <formula>$O$54 &gt; 0</formula>
    </cfRule>
    <cfRule type="expression" dxfId="1437" priority="15">
      <formula>$O$54 = 0</formula>
    </cfRule>
    <cfRule type="expression" dxfId="1436" priority="16">
      <formula>$O$54 &lt; 0</formula>
    </cfRule>
  </conditionalFormatting>
  <conditionalFormatting sqref="D3:F4">
    <cfRule type="expression" dxfId="1435" priority="13">
      <formula>$F$92 &lt; 0</formula>
    </cfRule>
    <cfRule type="expression" dxfId="1434" priority="12">
      <formula>$F$92 = 0</formula>
    </cfRule>
    <cfRule type="expression" dxfId="1433" priority="11">
      <formula>$F$92 &gt; 0</formula>
    </cfRule>
  </conditionalFormatting>
  <conditionalFormatting sqref="G3:I4">
    <cfRule type="expression" dxfId="1432" priority="10">
      <formula>$I$92 &lt; 0</formula>
    </cfRule>
    <cfRule type="expression" dxfId="1431" priority="9">
      <formula>$I$92 = 0</formula>
    </cfRule>
    <cfRule type="expression" dxfId="1430" priority="8">
      <formula>$I$92 &gt; 0</formula>
    </cfRule>
  </conditionalFormatting>
  <conditionalFormatting sqref="J3:L4">
    <cfRule type="expression" dxfId="1429" priority="5">
      <formula>$L$92 &gt; 0</formula>
    </cfRule>
    <cfRule type="expression" dxfId="1428" priority="6">
      <formula>$L$92 = 0</formula>
    </cfRule>
    <cfRule type="expression" dxfId="1427" priority="7">
      <formula>$L$92 &lt; 0</formula>
    </cfRule>
  </conditionalFormatting>
  <conditionalFormatting sqref="M3:O4">
    <cfRule type="expression" dxfId="1426" priority="2">
      <formula>$O$92 &gt; 0</formula>
    </cfRule>
    <cfRule type="expression" dxfId="1425" priority="3">
      <formula>$O$92 = 0</formula>
    </cfRule>
    <cfRule type="expression" dxfId="142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16D62-8F7F-4774-8136-9E04F3DBE41C}">
  <sheetPr codeName="Sheet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44927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-6,664 KRW (-0.22%)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9,465 KRW (0.32%)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-4,978 KRW (-0.17%)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19,528 KRW (0.65%)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21539000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1.0224474E-3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2023-01-01(일) 오전 00:00</v>
      </c>
      <c r="C15" s="196"/>
      <c r="D15" s="170" t="str">
        <f>TEXT($G$1, "[$-ko-KR]yyyy-mm-dd(ddd) ") &amp; "오후 14:00"</f>
        <v>2023-01-01(일) 오후 14:00</v>
      </c>
      <c r="E15" s="171"/>
      <c r="F15" s="172"/>
      <c r="G15" s="170" t="str">
        <f>TEXT($G$1, "[$-ko-KR]yyyy-mm-dd(ddd) ") &amp; "오후 19:00"</f>
        <v>2023-01-01(일) 오후 19:00</v>
      </c>
      <c r="H15" s="171"/>
      <c r="I15" s="172"/>
      <c r="J15" s="170" t="str">
        <f>TEXT($G$1, "[$-ko-KR]yyyy-mm-dd(ddd) ") &amp; "오후 21:00"</f>
        <v>2023-01-01(일) 오후 21:00</v>
      </c>
      <c r="K15" s="171"/>
      <c r="L15" s="172"/>
      <c r="M15" s="170" t="str">
        <f>TEXT($G$1+1, "[$-ko-KR]yyyy-mm-dd(ddd) ") &amp; "오전 00:00"</f>
        <v>2023-01-02(월)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21539000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1.0224474E-3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2023-01-01(일) 오전 00:00</v>
      </c>
      <c r="C42" s="198"/>
      <c r="D42" s="170" t="str">
        <f>TEXT($G$1, "[$-ko-KR]yyyy-mm-dd(ddd) ") &amp; "오후 14:00"</f>
        <v>2023-01-01(일) 오후 14:00</v>
      </c>
      <c r="E42" s="171"/>
      <c r="F42" s="172"/>
      <c r="G42" s="170" t="str">
        <f>TEXT($G$1, "[$-ko-KR]yyyy-mm-dd(ddd) ") &amp; "오후 19:00"</f>
        <v>2023-01-01(일) 오후 19:00</v>
      </c>
      <c r="H42" s="171"/>
      <c r="I42" s="172"/>
      <c r="J42" s="170" t="str">
        <f>TEXT($G$1, "[$-ko-KR]yyyy-mm-dd(ddd) ") &amp; "오후 21:00"</f>
        <v>2023-01-01(일) 오후 21:00</v>
      </c>
      <c r="K42" s="171"/>
      <c r="L42" s="172"/>
      <c r="M42" s="170" t="str">
        <f>TEXT($G$1+1, "[$-ko-KR]yyyy-mm-dd(ddd) ") &amp; "오전 00:00"</f>
        <v>2023-01-02(월)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205</v>
      </c>
      <c r="B44" s="108">
        <v>92</v>
      </c>
      <c r="C44" s="69">
        <v>4.5454545499999999E-2</v>
      </c>
      <c r="D44" s="13">
        <v>92.3</v>
      </c>
      <c r="E44" s="14">
        <f>IF(ISNUMBER(D44), (D44 - $B44) / $B44, "")</f>
        <v>3.2608695652173603E-3</v>
      </c>
      <c r="F44" s="16">
        <f>IF(ISNUMBER(D44), $B64 * E44, "")</f>
        <v>489.13043478260403</v>
      </c>
      <c r="G44" s="29">
        <v>92.7</v>
      </c>
      <c r="H44" s="14">
        <f>IF(ISNUMBER(G44), (G44 - $B44) / $B44, "")</f>
        <v>7.6086956521739437E-3</v>
      </c>
      <c r="I44" s="90">
        <f>IF(ISNUMBER(G44), $B64 * H44, "")</f>
        <v>1141.3043478260915</v>
      </c>
      <c r="J44" s="13">
        <v>92.7</v>
      </c>
      <c r="K44" s="14">
        <f>IF(ISNUMBER(J44), (J44 - $B44) / $B44, "")</f>
        <v>7.6086956521739437E-3</v>
      </c>
      <c r="L44" s="16">
        <f>IF(ISNUMBER(J44), $B64 * K44, "")</f>
        <v>1141.3043478260915</v>
      </c>
      <c r="M44" s="29">
        <v>90.3</v>
      </c>
      <c r="N44" s="14">
        <f>IF(ISNUMBER(M44), (M44 - $B44) / $B44, "")</f>
        <v>-1.8478260869565249E-2</v>
      </c>
      <c r="O44" s="16">
        <f>IF(ISNUMBER(M44), $B64 * N44, "")</f>
        <v>-2771.7391304347875</v>
      </c>
      <c r="Q44" s="156"/>
      <c r="R44" s="156"/>
      <c r="S44" s="156"/>
    </row>
    <row r="45" spans="1:19" ht="17.25" customHeight="1" thickBot="1">
      <c r="A45" s="109" t="s">
        <v>191</v>
      </c>
      <c r="B45" s="110">
        <v>47.2</v>
      </c>
      <c r="C45" s="70">
        <v>4.4247787599999998E-2</v>
      </c>
      <c r="D45" s="15">
        <v>47</v>
      </c>
      <c r="E45" s="32">
        <f t="shared" ref="E45:E48" si="14">IF(ISNUMBER(D45), (D45 - $B45) / $B45, "")</f>
        <v>-4.2372881355932802E-3</v>
      </c>
      <c r="F45" s="18">
        <f>IF(ISNUMBER(D45), $B64 * E45, "")</f>
        <v>-635.59322033899207</v>
      </c>
      <c r="G45" s="31">
        <v>50.7</v>
      </c>
      <c r="H45" s="32">
        <f t="shared" ref="H45:H48" si="15">IF(ISNUMBER(G45), (G45 - $B45) / $B45, "")</f>
        <v>7.4152542372881353E-2</v>
      </c>
      <c r="I45" s="91">
        <f>IF(ISNUMBER(G45), $B64 * H45, "")</f>
        <v>11122.881355932202</v>
      </c>
      <c r="J45" s="15">
        <v>50.7</v>
      </c>
      <c r="K45" s="32">
        <f t="shared" ref="K45:K48" si="16">IF(ISNUMBER(J45), (J45 - $B45) / $B45, "")</f>
        <v>7.4152542372881353E-2</v>
      </c>
      <c r="L45" s="18">
        <f>IF(ISNUMBER(J45), $B64 * K45, "")</f>
        <v>11122.881355932202</v>
      </c>
      <c r="M45" s="31">
        <v>48.9</v>
      </c>
      <c r="N45" s="32">
        <f t="shared" ref="N45:N48" si="17">IF(ISNUMBER(M45), (M45 - $B45) / $B45, "")</f>
        <v>3.6016949152542284E-2</v>
      </c>
      <c r="O45" s="18">
        <f>IF(ISNUMBER(M45), $B64 * N45, "")</f>
        <v>5402.542372881343</v>
      </c>
      <c r="Q45" s="156"/>
      <c r="R45" s="156"/>
      <c r="S45" s="156"/>
    </row>
    <row r="46" spans="1:19" ht="17.25" customHeight="1" thickBot="1">
      <c r="A46" s="109" t="s">
        <v>241</v>
      </c>
      <c r="B46" s="110">
        <v>87.9</v>
      </c>
      <c r="C46" s="70">
        <v>3.6556603799999997E-2</v>
      </c>
      <c r="D46" s="15">
        <v>87.5</v>
      </c>
      <c r="E46" s="32">
        <f t="shared" si="14"/>
        <v>-4.5506257110353313E-3</v>
      </c>
      <c r="F46" s="18">
        <f>IF(ISNUMBER(D46), $B64 * E46, "")</f>
        <v>-682.59385665529965</v>
      </c>
      <c r="G46" s="31">
        <v>87.5</v>
      </c>
      <c r="H46" s="32">
        <f t="shared" si="15"/>
        <v>-4.5506257110353313E-3</v>
      </c>
      <c r="I46" s="91">
        <f>IF(ISNUMBER(G46), $B64 * H46, "")</f>
        <v>-682.59385665529965</v>
      </c>
      <c r="J46" s="15">
        <v>87.5</v>
      </c>
      <c r="K46" s="32">
        <f t="shared" si="16"/>
        <v>-4.5506257110353313E-3</v>
      </c>
      <c r="L46" s="18">
        <f>IF(ISNUMBER(J46), $B64 * K46, "")</f>
        <v>-682.59385665529965</v>
      </c>
      <c r="M46" s="31">
        <v>86.9</v>
      </c>
      <c r="N46" s="32">
        <f t="shared" si="17"/>
        <v>-1.1376564277588168E-2</v>
      </c>
      <c r="O46" s="18">
        <f>IF(ISNUMBER(M46), $B64 * N46, "")</f>
        <v>-1706.4846416382252</v>
      </c>
      <c r="Q46" s="146"/>
      <c r="R46" s="146"/>
      <c r="S46" s="146"/>
    </row>
    <row r="47" spans="1:19" ht="17.25" customHeight="1" thickBot="1">
      <c r="A47" s="109" t="s">
        <v>71</v>
      </c>
      <c r="B47" s="110">
        <v>9.64</v>
      </c>
      <c r="C47" s="70">
        <v>2.22693531E-2</v>
      </c>
      <c r="D47" s="15">
        <v>9.86</v>
      </c>
      <c r="E47" s="32">
        <f t="shared" si="14"/>
        <v>2.2821576763485358E-2</v>
      </c>
      <c r="F47" s="18">
        <f>IF(ISNUMBER(D47), $B64 * E47, "")</f>
        <v>3423.2365145228036</v>
      </c>
      <c r="G47" s="31">
        <v>9.93</v>
      </c>
      <c r="H47" s="32">
        <f t="shared" si="15"/>
        <v>3.008298755186713E-2</v>
      </c>
      <c r="I47" s="91">
        <f>IF(ISNUMBER(G47), $B64 * H47, "")</f>
        <v>4512.4481327800695</v>
      </c>
      <c r="J47" s="15">
        <v>9.93</v>
      </c>
      <c r="K47" s="32">
        <f t="shared" si="16"/>
        <v>3.008298755186713E-2</v>
      </c>
      <c r="L47" s="18">
        <f>IF(ISNUMBER(J47), $B64 * K47, "")</f>
        <v>4512.4481327800695</v>
      </c>
      <c r="M47" s="31">
        <v>9.81</v>
      </c>
      <c r="N47" s="32">
        <f t="shared" si="17"/>
        <v>1.7634854771784225E-2</v>
      </c>
      <c r="O47" s="18">
        <f>IF(ISNUMBER(M47), $B64 * N47, "")</f>
        <v>2645.2282157676336</v>
      </c>
      <c r="Q47" s="146"/>
      <c r="R47" s="146"/>
      <c r="S47" s="146"/>
    </row>
    <row r="48" spans="1:19" ht="17.25" customHeight="1" thickBot="1">
      <c r="A48" s="111" t="s">
        <v>225</v>
      </c>
      <c r="B48" s="112">
        <v>51.7</v>
      </c>
      <c r="C48" s="71">
        <v>2.1739130400000001E-2</v>
      </c>
      <c r="D48" s="20">
        <v>51.5</v>
      </c>
      <c r="E48" s="21">
        <f t="shared" si="14"/>
        <v>-3.8684719535783912E-3</v>
      </c>
      <c r="F48" s="22">
        <f>IF(ISNUMBER(D48), $B64 * E48, "")</f>
        <v>-580.27079303675873</v>
      </c>
      <c r="G48" s="30">
        <v>52.1</v>
      </c>
      <c r="H48" s="21">
        <f t="shared" si="15"/>
        <v>7.7369439071566454E-3</v>
      </c>
      <c r="I48" s="95">
        <f>IF(ISNUMBER(G48), $B64 * H48, "")</f>
        <v>1160.5415860734968</v>
      </c>
      <c r="J48" s="20">
        <v>52.1</v>
      </c>
      <c r="K48" s="21">
        <f t="shared" si="16"/>
        <v>7.7369439071566454E-3</v>
      </c>
      <c r="L48" s="22">
        <f>IF(ISNUMBER(J48), $B64 * K48, "")</f>
        <v>1160.5415860734968</v>
      </c>
      <c r="M48" s="30">
        <v>51.2</v>
      </c>
      <c r="N48" s="21">
        <f t="shared" si="17"/>
        <v>-9.6711798839458404E-3</v>
      </c>
      <c r="O48" s="22">
        <f>IF(ISNUMBER(M48), $B64 * N48, "")</f>
        <v>-1450.6769825918761</v>
      </c>
      <c r="Q48" s="146"/>
      <c r="R48" s="146"/>
      <c r="S48" s="146"/>
    </row>
    <row r="49" spans="1:19" ht="17.25" customHeight="1" thickBot="1">
      <c r="A49" s="109" t="s">
        <v>138</v>
      </c>
      <c r="B49" s="113">
        <v>19.7</v>
      </c>
      <c r="C49" s="73">
        <v>5.1020407999999998E-3</v>
      </c>
      <c r="D49" s="96">
        <v>19.7</v>
      </c>
      <c r="E49" s="97">
        <f>IF(ISNUMBER(D49), (D49 - $B49) / $B49, "")</f>
        <v>0</v>
      </c>
      <c r="F49" s="98">
        <f>IF(ISNUMBER(D49), $B64 * E49, "")</f>
        <v>0</v>
      </c>
      <c r="G49" s="99">
        <v>19.7</v>
      </c>
      <c r="H49" s="97">
        <f>IF(ISNUMBER(G49), (G49 - $B49) / $B49, "")</f>
        <v>0</v>
      </c>
      <c r="I49" s="100">
        <f>IF(ISNUMBER(G49), $B64 * H49, "")</f>
        <v>0</v>
      </c>
      <c r="J49" s="96">
        <v>19.7</v>
      </c>
      <c r="K49" s="97">
        <f>IF(ISNUMBER(J49), (J49 - $B49) / $B49, "")</f>
        <v>0</v>
      </c>
      <c r="L49" s="98">
        <f>IF(ISNUMBER(J49), $B64 * K49, "")</f>
        <v>0</v>
      </c>
      <c r="M49" s="99">
        <v>19.8</v>
      </c>
      <c r="N49" s="97">
        <f>IF(ISNUMBER(M49), (M49 - $B49) / $B49, "")</f>
        <v>5.0761421319797679E-3</v>
      </c>
      <c r="O49" s="98">
        <f>IF(ISNUMBER(M49), $B64 * N49, "")</f>
        <v>761.42131979696524</v>
      </c>
      <c r="Q49" s="146"/>
      <c r="R49" s="146"/>
      <c r="S49" s="146"/>
    </row>
    <row r="50" spans="1:19" ht="17.25" customHeight="1" thickBot="1">
      <c r="A50" s="109" t="s">
        <v>145</v>
      </c>
      <c r="B50" s="110">
        <v>69.8</v>
      </c>
      <c r="C50" s="70">
        <v>4.3165468000000004E-3</v>
      </c>
      <c r="D50" s="15">
        <v>69.7</v>
      </c>
      <c r="E50" s="32">
        <f t="shared" ref="E50:E53" si="18">IF(ISNUMBER(D50), (D50 - $B50) / $B50, "")</f>
        <v>-1.43266475644691E-3</v>
      </c>
      <c r="F50" s="18">
        <f>IF(ISNUMBER(D50), $B64 * E50, "")</f>
        <v>-214.89971346703652</v>
      </c>
      <c r="G50" s="31">
        <v>69.599999999999994</v>
      </c>
      <c r="H50" s="32">
        <f t="shared" ref="H50:H53" si="19">IF(ISNUMBER(G50), (G50 - $B50) / $B50, "")</f>
        <v>-2.8653295128940235E-3</v>
      </c>
      <c r="I50" s="91">
        <f>IF(ISNUMBER(G50), $B64 * H50, "")</f>
        <v>-429.79942693410351</v>
      </c>
      <c r="J50" s="15">
        <v>69.599999999999994</v>
      </c>
      <c r="K50" s="32">
        <f t="shared" ref="K50:K53" si="20">IF(ISNUMBER(J50), (J50 - $B50) / $B50, "")</f>
        <v>-2.8653295128940235E-3</v>
      </c>
      <c r="L50" s="18">
        <f>IF(ISNUMBER(J50), $B64 * K50, "")</f>
        <v>-429.79942693410351</v>
      </c>
      <c r="M50" s="31">
        <v>69.7</v>
      </c>
      <c r="N50" s="32">
        <f t="shared" ref="N50:N53" si="21">IF(ISNUMBER(M50), (M50 - $B50) / $B50, "")</f>
        <v>-1.43266475644691E-3</v>
      </c>
      <c r="O50" s="18">
        <f>IF(ISNUMBER(M50), $B64 * N50, "")</f>
        <v>-214.89971346703652</v>
      </c>
      <c r="Q50" s="146"/>
      <c r="R50" s="146"/>
      <c r="S50" s="146"/>
    </row>
    <row r="51" spans="1:19" ht="17.25" customHeight="1" thickBot="1">
      <c r="A51" s="109" t="s">
        <v>155</v>
      </c>
      <c r="B51" s="110">
        <v>23.9</v>
      </c>
      <c r="C51" s="70">
        <v>4.2016807E-3</v>
      </c>
      <c r="D51" s="15">
        <v>23.7</v>
      </c>
      <c r="E51" s="32">
        <f t="shared" si="18"/>
        <v>-8.3682008368200552E-3</v>
      </c>
      <c r="F51" s="18">
        <f>IF(ISNUMBER(D51), $B64 * E51, "")</f>
        <v>-1255.2301255230084</v>
      </c>
      <c r="G51" s="31">
        <v>23.9</v>
      </c>
      <c r="H51" s="32">
        <f t="shared" si="19"/>
        <v>0</v>
      </c>
      <c r="I51" s="91">
        <f>IF(ISNUMBER(G51), $B64 * H51, "")</f>
        <v>0</v>
      </c>
      <c r="J51" s="15">
        <v>23.9</v>
      </c>
      <c r="K51" s="32">
        <f t="shared" si="20"/>
        <v>0</v>
      </c>
      <c r="L51" s="18">
        <f>IF(ISNUMBER(J51), $B64 * K51, "")</f>
        <v>0</v>
      </c>
      <c r="M51" s="31">
        <v>23.9</v>
      </c>
      <c r="N51" s="32">
        <f t="shared" si="21"/>
        <v>0</v>
      </c>
      <c r="O51" s="18">
        <f>IF(ISNUMBER(M51), $B64 * N51, "")</f>
        <v>0</v>
      </c>
      <c r="Q51" s="146"/>
      <c r="R51" s="146"/>
      <c r="S51" s="146"/>
    </row>
    <row r="52" spans="1:19" ht="17.25" customHeight="1" thickBot="1">
      <c r="A52" s="109" t="s">
        <v>323</v>
      </c>
      <c r="B52" s="110">
        <v>2.7799999999999998E-2</v>
      </c>
      <c r="C52" s="70">
        <v>3.6101083E-3</v>
      </c>
      <c r="D52" s="15">
        <v>2.8000000000000001E-2</v>
      </c>
      <c r="E52" s="32">
        <f t="shared" si="18"/>
        <v>7.1942446043166287E-3</v>
      </c>
      <c r="F52" s="18">
        <f>IF(ISNUMBER(D52), $B64 * E52, "")</f>
        <v>1079.1366906474943</v>
      </c>
      <c r="G52" s="31">
        <v>2.7799999999999998E-2</v>
      </c>
      <c r="H52" s="32">
        <f t="shared" si="19"/>
        <v>0</v>
      </c>
      <c r="I52" s="91">
        <f>IF(ISNUMBER(G52), $B64 * H52, "")</f>
        <v>0</v>
      </c>
      <c r="J52" s="15">
        <v>2.7799999999999998E-2</v>
      </c>
      <c r="K52" s="32">
        <f t="shared" si="20"/>
        <v>0</v>
      </c>
      <c r="L52" s="18">
        <f>IF(ISNUMBER(J52), $B64 * K52, "")</f>
        <v>0</v>
      </c>
      <c r="M52" s="31">
        <v>2.81E-2</v>
      </c>
      <c r="N52" s="32">
        <f t="shared" si="21"/>
        <v>1.079136690647488E-2</v>
      </c>
      <c r="O52" s="18">
        <f>IF(ISNUMBER(M52), $B64 * N52, "")</f>
        <v>1618.7050359712321</v>
      </c>
      <c r="Q52" s="33"/>
      <c r="R52" s="33"/>
    </row>
    <row r="53" spans="1:19" ht="17.25" customHeight="1" thickBot="1">
      <c r="A53" s="114" t="s">
        <v>207</v>
      </c>
      <c r="B53" s="115">
        <v>58.6</v>
      </c>
      <c r="C53" s="72">
        <v>1.7094017E-3</v>
      </c>
      <c r="D53" s="24">
        <v>58.7</v>
      </c>
      <c r="E53" s="25">
        <f t="shared" si="18"/>
        <v>1.7064846416382496E-3</v>
      </c>
      <c r="F53" s="94">
        <f>IF(ISNUMBER(D53), $B64 * E53, "")</f>
        <v>255.97269624573744</v>
      </c>
      <c r="G53" s="92">
        <v>59.5</v>
      </c>
      <c r="H53" s="25">
        <f t="shared" si="19"/>
        <v>1.5358361774744003E-2</v>
      </c>
      <c r="I53" s="93">
        <f>IF(ISNUMBER(G53), $B64 * H53, "")</f>
        <v>2303.7542662116002</v>
      </c>
      <c r="J53" s="24">
        <v>59.5</v>
      </c>
      <c r="K53" s="25">
        <f t="shared" si="20"/>
        <v>1.5358361774744003E-2</v>
      </c>
      <c r="L53" s="94">
        <f>IF(ISNUMBER(J53), $B64 * K53, "")</f>
        <v>2303.7542662116002</v>
      </c>
      <c r="M53" s="92">
        <v>58.4</v>
      </c>
      <c r="N53" s="25">
        <f t="shared" si="21"/>
        <v>-3.4129692832764991E-3</v>
      </c>
      <c r="O53" s="94">
        <f>IF(ISNUMBER(M53), $B64 * N53, "")</f>
        <v>-511.94539249147488</v>
      </c>
      <c r="Q53" s="147"/>
      <c r="R53" s="148"/>
      <c r="S53" s="149"/>
    </row>
    <row r="54" spans="1:19" ht="17.25" customHeight="1">
      <c r="A54" s="107" t="s">
        <v>324</v>
      </c>
      <c r="B54" s="108">
        <v>71.3</v>
      </c>
      <c r="C54" s="69">
        <v>1.4044944E-3</v>
      </c>
      <c r="D54" s="13">
        <v>71.400000000000006</v>
      </c>
      <c r="E54" s="14">
        <f>IF(ISNUMBER(D54), (D54 - $B54) / $B54, "")</f>
        <v>1.4025245441796428E-3</v>
      </c>
      <c r="F54" s="16">
        <f>IF(ISNUMBER(D54), $B64 * E54, "")</f>
        <v>210.37868162694642</v>
      </c>
      <c r="G54" s="29">
        <v>71.7</v>
      </c>
      <c r="H54" s="14">
        <f>IF(ISNUMBER(G54), (G54 - $B54) / $B54, "")</f>
        <v>5.6100981767181722E-3</v>
      </c>
      <c r="I54" s="90">
        <f>IF(ISNUMBER(G54), $B64 * H54, "")</f>
        <v>841.51472650772587</v>
      </c>
      <c r="J54" s="13">
        <v>71.7</v>
      </c>
      <c r="K54" s="14">
        <f>IF(ISNUMBER(J54), (J54 - $B54) / $B54, "")</f>
        <v>5.6100981767181722E-3</v>
      </c>
      <c r="L54" s="16">
        <f>IF(ISNUMBER(J54), $B64 * K54, "")</f>
        <v>841.51472650772587</v>
      </c>
      <c r="M54" s="29">
        <v>72.400000000000006</v>
      </c>
      <c r="N54" s="14">
        <f>IF(ISNUMBER(M54), (M54 - $B54) / $B54, "")</f>
        <v>1.5427769985974876E-2</v>
      </c>
      <c r="O54" s="16">
        <f>IF(ISNUMBER(M54), $B64 * N54, "")</f>
        <v>2314.1654978962315</v>
      </c>
      <c r="Q54" s="150"/>
      <c r="R54" s="151"/>
      <c r="S54" s="152"/>
    </row>
    <row r="55" spans="1:19" ht="17.25" customHeight="1" thickBot="1">
      <c r="A55" s="109" t="s">
        <v>97</v>
      </c>
      <c r="B55" s="110">
        <v>8.0000000000000004E-4</v>
      </c>
      <c r="C55" s="70">
        <v>0</v>
      </c>
      <c r="D55" s="15">
        <v>8.0000000000000004E-4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8.0000000000000004E-4</v>
      </c>
      <c r="H55" s="32">
        <f t="shared" ref="H55:H58" si="23">IF(ISNUMBER(G55), (G55 - $B55) / $B55, "")</f>
        <v>0</v>
      </c>
      <c r="I55" s="91">
        <f>IF(ISNUMBER(G55), $B64 * H55, "")</f>
        <v>0</v>
      </c>
      <c r="J55" s="15">
        <v>8.0000000000000004E-4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8.0000000000000004E-4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153"/>
      <c r="R55" s="154"/>
      <c r="S55" s="155"/>
    </row>
    <row r="56" spans="1:19" ht="17.25" customHeight="1" thickBot="1">
      <c r="A56" s="109" t="s">
        <v>329</v>
      </c>
      <c r="B56" s="110">
        <v>46.6</v>
      </c>
      <c r="C56" s="70">
        <v>0</v>
      </c>
      <c r="D56" s="15">
        <v>46.6</v>
      </c>
      <c r="E56" s="32">
        <f t="shared" si="22"/>
        <v>0</v>
      </c>
      <c r="F56" s="18">
        <f>IF(ISNUMBER(D56), $B64 * E56, "")</f>
        <v>0</v>
      </c>
      <c r="G56" s="31">
        <v>46.6</v>
      </c>
      <c r="H56" s="32">
        <f t="shared" si="23"/>
        <v>0</v>
      </c>
      <c r="I56" s="91">
        <f>IF(ISNUMBER(G56), $B64 * H56, "")</f>
        <v>0</v>
      </c>
      <c r="J56" s="15">
        <v>46.6</v>
      </c>
      <c r="K56" s="32">
        <f t="shared" si="24"/>
        <v>0</v>
      </c>
      <c r="L56" s="18">
        <f>IF(ISNUMBER(J56), $B64 * K56, "")</f>
        <v>0</v>
      </c>
      <c r="M56" s="31">
        <v>47</v>
      </c>
      <c r="N56" s="32">
        <f t="shared" si="25"/>
        <v>8.5836909871244323E-3</v>
      </c>
      <c r="O56" s="18">
        <f>IF(ISNUMBER(M56), $B64 * N56, "")</f>
        <v>1287.5536480686649</v>
      </c>
      <c r="Q56" s="146"/>
      <c r="R56" s="146"/>
      <c r="S56" s="146"/>
    </row>
    <row r="57" spans="1:19" ht="17.25" customHeight="1" thickBot="1">
      <c r="A57" s="109" t="s">
        <v>185</v>
      </c>
      <c r="B57" s="110">
        <v>22.3</v>
      </c>
      <c r="C57" s="70">
        <v>0</v>
      </c>
      <c r="D57" s="15">
        <v>22.2</v>
      </c>
      <c r="E57" s="32">
        <f t="shared" si="22"/>
        <v>-4.4843049327354893E-3</v>
      </c>
      <c r="F57" s="18">
        <f>IF(ISNUMBER(D57), $B64 * E57, "")</f>
        <v>-672.64573991032341</v>
      </c>
      <c r="G57" s="31">
        <v>22.5</v>
      </c>
      <c r="H57" s="32">
        <f t="shared" si="23"/>
        <v>8.9686098654708207E-3</v>
      </c>
      <c r="I57" s="91">
        <f>IF(ISNUMBER(G57), $B64 * H57, "")</f>
        <v>1345.2914798206232</v>
      </c>
      <c r="J57" s="15">
        <v>22.5</v>
      </c>
      <c r="K57" s="32">
        <f t="shared" si="24"/>
        <v>8.9686098654708207E-3</v>
      </c>
      <c r="L57" s="18">
        <f>IF(ISNUMBER(J57), $B64 * K57, "")</f>
        <v>1345.2914798206232</v>
      </c>
      <c r="M57" s="31">
        <v>22.4</v>
      </c>
      <c r="N57" s="32">
        <f t="shared" si="25"/>
        <v>4.4843049327353305E-3</v>
      </c>
      <c r="O57" s="18">
        <f>IF(ISNUMBER(M57), $B64 * N57, "")</f>
        <v>672.64573991029954</v>
      </c>
      <c r="Q57" s="156"/>
      <c r="R57" s="156"/>
      <c r="S57" s="156"/>
    </row>
    <row r="58" spans="1:19" ht="17.25" customHeight="1" thickBot="1">
      <c r="A58" s="111" t="s">
        <v>195</v>
      </c>
      <c r="B58" s="112">
        <v>5.47</v>
      </c>
      <c r="C58" s="71">
        <v>0</v>
      </c>
      <c r="D58" s="20">
        <v>5.45</v>
      </c>
      <c r="E58" s="21">
        <f t="shared" si="22"/>
        <v>-3.6563071297988255E-3</v>
      </c>
      <c r="F58" s="22">
        <f>IF(ISNUMBER(D58), $B64 * E58, "")</f>
        <v>-548.44606946982378</v>
      </c>
      <c r="G58" s="30">
        <v>5.45</v>
      </c>
      <c r="H58" s="21">
        <f t="shared" si="23"/>
        <v>-3.6563071297988255E-3</v>
      </c>
      <c r="I58" s="95">
        <f>IF(ISNUMBER(G58), $B64 * H58, "")</f>
        <v>-548.44606946982378</v>
      </c>
      <c r="J58" s="20">
        <v>5.45</v>
      </c>
      <c r="K58" s="21">
        <f t="shared" si="24"/>
        <v>-3.6563071297988255E-3</v>
      </c>
      <c r="L58" s="22">
        <f>IF(ISNUMBER(J58), $B64 * K58, "")</f>
        <v>-548.44606946982378</v>
      </c>
      <c r="M58" s="30">
        <v>5.46</v>
      </c>
      <c r="N58" s="21">
        <f t="shared" si="25"/>
        <v>-1.8281535648994127E-3</v>
      </c>
      <c r="O58" s="22">
        <f>IF(ISNUMBER(M58), $B64 * N58, "")</f>
        <v>-274.22303473491189</v>
      </c>
      <c r="Q58" s="156"/>
      <c r="R58" s="156"/>
      <c r="S58" s="156"/>
    </row>
    <row r="59" spans="1:19" ht="17.25" customHeight="1" thickBot="1">
      <c r="A59" s="109" t="s">
        <v>141</v>
      </c>
      <c r="B59" s="113">
        <v>2.88</v>
      </c>
      <c r="C59" s="73">
        <v>0</v>
      </c>
      <c r="D59" s="96">
        <v>2.89</v>
      </c>
      <c r="E59" s="97">
        <f>IF(ISNUMBER(D59), (D59 - $B59) / $B59, "")</f>
        <v>3.4722222222223027E-3</v>
      </c>
      <c r="F59" s="98">
        <f>IF(ISNUMBER(D59), $B64 * E59, "")</f>
        <v>520.83333333334542</v>
      </c>
      <c r="G59" s="99">
        <v>2.88</v>
      </c>
      <c r="H59" s="97">
        <f>IF(ISNUMBER(G59), (G59 - $B59) / $B59, "")</f>
        <v>0</v>
      </c>
      <c r="I59" s="100">
        <f>IF(ISNUMBER(G59), $B64 * H59, "")</f>
        <v>0</v>
      </c>
      <c r="J59" s="96">
        <v>2.88</v>
      </c>
      <c r="K59" s="97">
        <f>IF(ISNUMBER(J59), (J59 - $B59) / $B59, "")</f>
        <v>0</v>
      </c>
      <c r="L59" s="98">
        <f>IF(ISNUMBER(J59), $B64 * K59, "")</f>
        <v>0</v>
      </c>
      <c r="M59" s="99">
        <v>2.87</v>
      </c>
      <c r="N59" s="97">
        <f>IF(ISNUMBER(M59), (M59 - $B59) / $B59, "")</f>
        <v>-3.4722222222221483E-3</v>
      </c>
      <c r="O59" s="98">
        <f>IF(ISNUMBER(M59), $B64 * N59, "")</f>
        <v>-520.83333333332223</v>
      </c>
      <c r="Q59" s="146"/>
      <c r="R59" s="146"/>
      <c r="S59" s="146"/>
    </row>
    <row r="60" spans="1:19" ht="17.25" customHeight="1" thickBot="1">
      <c r="A60" s="109" t="s">
        <v>118</v>
      </c>
      <c r="B60" s="110">
        <v>4.5</v>
      </c>
      <c r="C60" s="70">
        <v>0</v>
      </c>
      <c r="D60" s="15">
        <v>4.53</v>
      </c>
      <c r="E60" s="32">
        <f t="shared" ref="E60:E63" si="26">IF(ISNUMBER(D60), (D60 - $B60) / $B60, "")</f>
        <v>6.6666666666667217E-3</v>
      </c>
      <c r="F60" s="18">
        <f>IF(ISNUMBER(D60), $B64 * E60, "")</f>
        <v>1000.0000000000083</v>
      </c>
      <c r="G60" s="31">
        <v>4.5199999999999996</v>
      </c>
      <c r="H60" s="32">
        <f t="shared" ref="H60:H63" si="27">IF(ISNUMBER(G60), (G60 - $B60) / $B60, "")</f>
        <v>4.4444444444443499E-3</v>
      </c>
      <c r="I60" s="91">
        <f>IF(ISNUMBER(G60), $B64 * H60, "")</f>
        <v>666.66666666665253</v>
      </c>
      <c r="J60" s="15">
        <v>4.5199999999999996</v>
      </c>
      <c r="K60" s="32">
        <f t="shared" ref="K60:K63" si="28">IF(ISNUMBER(J60), (J60 - $B60) / $B60, "")</f>
        <v>4.4444444444443499E-3</v>
      </c>
      <c r="L60" s="18">
        <f>IF(ISNUMBER(J60), $B64 * K60, "")</f>
        <v>666.66666666665253</v>
      </c>
      <c r="M60" s="31">
        <v>4.5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46"/>
      <c r="R60" s="146"/>
      <c r="S60" s="146"/>
    </row>
    <row r="61" spans="1:19" ht="17.25" customHeight="1" thickBot="1">
      <c r="A61" s="109" t="s">
        <v>132</v>
      </c>
      <c r="B61" s="110">
        <v>40.200000000000003</v>
      </c>
      <c r="C61" s="70">
        <v>0</v>
      </c>
      <c r="D61" s="15">
        <v>40.200000000000003</v>
      </c>
      <c r="E61" s="32">
        <f t="shared" si="26"/>
        <v>0</v>
      </c>
      <c r="F61" s="18">
        <f>IF(ISNUMBER(D61), $B64 * E61, "")</f>
        <v>0</v>
      </c>
      <c r="G61" s="31">
        <v>40.200000000000003</v>
      </c>
      <c r="H61" s="32">
        <f t="shared" si="27"/>
        <v>0</v>
      </c>
      <c r="I61" s="91">
        <f>IF(ISNUMBER(G61), $B64 * H61, "")</f>
        <v>0</v>
      </c>
      <c r="J61" s="15">
        <v>40.200000000000003</v>
      </c>
      <c r="K61" s="32">
        <f t="shared" si="28"/>
        <v>0</v>
      </c>
      <c r="L61" s="18">
        <f>IF(ISNUMBER(J61), $B64 * K61, "")</f>
        <v>0</v>
      </c>
      <c r="M61" s="31">
        <v>40</v>
      </c>
      <c r="N61" s="32">
        <f t="shared" si="29"/>
        <v>-4.9751243781095229E-3</v>
      </c>
      <c r="O61" s="18">
        <f>IF(ISNUMBER(M61), $B64 * N61, "")</f>
        <v>-746.26865671642838</v>
      </c>
      <c r="Q61" s="146"/>
      <c r="R61" s="146"/>
      <c r="S61" s="146"/>
    </row>
    <row r="62" spans="1:19" ht="17.25" customHeight="1">
      <c r="A62" s="109" t="s">
        <v>209</v>
      </c>
      <c r="B62" s="110">
        <v>68.900000000000006</v>
      </c>
      <c r="C62" s="70">
        <v>-1.4492754E-3</v>
      </c>
      <c r="D62" s="15">
        <v>69</v>
      </c>
      <c r="E62" s="32">
        <f t="shared" si="26"/>
        <v>1.4513788098692933E-3</v>
      </c>
      <c r="F62" s="18">
        <f>IF(ISNUMBER(D62), $B64 * E62, "")</f>
        <v>217.70682148039398</v>
      </c>
      <c r="G62" s="31">
        <v>70.3</v>
      </c>
      <c r="H62" s="32">
        <f t="shared" si="27"/>
        <v>2.0319303338171137E-2</v>
      </c>
      <c r="I62" s="91">
        <f>IF(ISNUMBER(G62), $B64 * H62, "")</f>
        <v>3047.8955007256704</v>
      </c>
      <c r="J62" s="15">
        <v>70.3</v>
      </c>
      <c r="K62" s="32">
        <f t="shared" si="28"/>
        <v>2.0319303338171137E-2</v>
      </c>
      <c r="L62" s="18">
        <f>IF(ISNUMBER(J62), $B64 * K62, "")</f>
        <v>3047.8955007256704</v>
      </c>
      <c r="M62" s="31">
        <v>70</v>
      </c>
      <c r="N62" s="32">
        <f t="shared" si="29"/>
        <v>1.5965166908563051E-2</v>
      </c>
      <c r="O62" s="18">
        <f>IF(ISNUMBER(M62), $B64 * N62, "")</f>
        <v>2394.7750362844577</v>
      </c>
      <c r="Q62" s="135"/>
      <c r="R62" s="136"/>
      <c r="S62" s="137"/>
    </row>
    <row r="63" spans="1:19" ht="17.25" customHeight="1" thickBot="1">
      <c r="A63" s="114" t="s">
        <v>217</v>
      </c>
      <c r="B63" s="115">
        <v>53.1</v>
      </c>
      <c r="C63" s="72">
        <v>-1.8796991999999999E-3</v>
      </c>
      <c r="D63" s="24">
        <v>53</v>
      </c>
      <c r="E63" s="25">
        <f t="shared" si="26"/>
        <v>-1.8832391713747914E-3</v>
      </c>
      <c r="F63" s="94">
        <f>IF(ISNUMBER(D63), $B64 * E63, "")</f>
        <v>-282.48587570621874</v>
      </c>
      <c r="G63" s="92">
        <v>53.2</v>
      </c>
      <c r="H63" s="25">
        <f t="shared" si="27"/>
        <v>1.8832391713747914E-3</v>
      </c>
      <c r="I63" s="93">
        <f>IF(ISNUMBER(G63), $B64 * H63, "")</f>
        <v>282.48587570621874</v>
      </c>
      <c r="J63" s="24">
        <v>53.2</v>
      </c>
      <c r="K63" s="25">
        <f t="shared" si="28"/>
        <v>1.8832391713747914E-3</v>
      </c>
      <c r="L63" s="94">
        <f>IF(ISNUMBER(J63), $B64 * K63, "")</f>
        <v>282.48587570621874</v>
      </c>
      <c r="M63" s="92">
        <v>53.3</v>
      </c>
      <c r="N63" s="25">
        <f t="shared" si="29"/>
        <v>3.7664783427494488E-3</v>
      </c>
      <c r="O63" s="94">
        <f>IF(ISNUMBER(M63), $B64 * N63, "")</f>
        <v>564.97175141241735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7.7474325951062408E-4</v>
      </c>
      <c r="F64" s="28">
        <f>SUM(F44:F63)</f>
        <v>2324.2297785318719</v>
      </c>
      <c r="G64" s="26" t="s">
        <v>258</v>
      </c>
      <c r="H64" s="27">
        <f>IF(COUNT(H44:H63), SUM(H44:H63) / COUNT(H44:H63), 0)</f>
        <v>8.2546481950637081E-3</v>
      </c>
      <c r="I64" s="28">
        <f>SUM(I44:I63)</f>
        <v>24763.944585191119</v>
      </c>
      <c r="J64" s="26" t="s">
        <v>258</v>
      </c>
      <c r="K64" s="27">
        <f>IF(COUNT(K44:K63), SUM(K44:K63) / COUNT(K44:K63), 0)</f>
        <v>8.2546481950637081E-3</v>
      </c>
      <c r="L64" s="28">
        <f>SUM(L44:L63)</f>
        <v>24763.944585191119</v>
      </c>
      <c r="M64" s="26" t="s">
        <v>258</v>
      </c>
      <c r="N64" s="27">
        <f>IF(COUNT(N44:N63), SUM(N44:N63) / COUNT(N44:N63), 0)</f>
        <v>3.1549792441937273E-3</v>
      </c>
      <c r="O64" s="28">
        <f>SUM(O44:O63)</f>
        <v>9464.9377325811802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21539000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1.0224474E-3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2023-01-01(일) 오전 00:00</v>
      </c>
      <c r="C69" s="198"/>
      <c r="D69" s="170" t="str">
        <f>TEXT($G$1, "[$-ko-KR]yyyy-mm-dd(ddd) ") &amp; "오후 14:00"</f>
        <v>2023-01-01(일) 오후 14:00</v>
      </c>
      <c r="E69" s="171"/>
      <c r="F69" s="172"/>
      <c r="G69" s="170" t="str">
        <f>TEXT($G$1, "[$-ko-KR]yyyy-mm-dd(ddd) ") &amp; "오후 19:00"</f>
        <v>2023-01-01(일) 오후 19:00</v>
      </c>
      <c r="H69" s="171"/>
      <c r="I69" s="172"/>
      <c r="J69" s="170" t="str">
        <f>TEXT($G$1, "[$-ko-KR]yyyy-mm-dd(ddd) ") &amp; "오후 21:00"</f>
        <v>2023-01-01(일) 오후 21:00</v>
      </c>
      <c r="K69" s="171"/>
      <c r="L69" s="172"/>
      <c r="M69" s="170" t="str">
        <f>TEXT($G$1+1, "[$-ko-KR]yyyy-mm-dd(ddd) ") &amp; "오전 00:00"</f>
        <v>2023-01-02(월)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120</v>
      </c>
      <c r="B71" s="108">
        <v>109</v>
      </c>
      <c r="C71" s="69">
        <v>0.1413612565</v>
      </c>
      <c r="D71" s="13">
        <v>108</v>
      </c>
      <c r="E71" s="14">
        <f>IF(ISNUMBER(D71), (D71 - $B71) / $B71, "")</f>
        <v>-9.1743119266055051E-3</v>
      </c>
      <c r="F71" s="16">
        <f>IF(ISNUMBER(D71), $B91 * E71, "")</f>
        <v>-1376.1467889908258</v>
      </c>
      <c r="G71" s="29">
        <v>102</v>
      </c>
      <c r="H71" s="14">
        <f>IF(ISNUMBER(G71), (G71 - $B71) / $B71, "")</f>
        <v>-6.4220183486238536E-2</v>
      </c>
      <c r="I71" s="90">
        <f>IF(ISNUMBER(G71), $B91 * H71, "")</f>
        <v>-9633.0275229357812</v>
      </c>
      <c r="J71" s="13">
        <v>102</v>
      </c>
      <c r="K71" s="14">
        <f>IF(ISNUMBER(J71), (J71 - $B71) / $B71, "")</f>
        <v>-6.4220183486238536E-2</v>
      </c>
      <c r="L71" s="16">
        <f>IF(ISNUMBER(J71), $B91 * K71, "")</f>
        <v>-9633.0275229357812</v>
      </c>
      <c r="M71" s="29">
        <v>101</v>
      </c>
      <c r="N71" s="14">
        <f>IF(ISNUMBER(M71), (M71 - $B71) / $B71, "")</f>
        <v>-7.3394495412844041E-2</v>
      </c>
      <c r="O71" s="16">
        <f>IF(ISNUMBER(M71), $B91 * N71, "")</f>
        <v>-11009.174311926607</v>
      </c>
      <c r="Q71" s="156"/>
      <c r="R71" s="156"/>
      <c r="S71" s="156"/>
    </row>
    <row r="72" spans="1:19" ht="17.25" thickBot="1">
      <c r="A72" s="109" t="s">
        <v>101</v>
      </c>
      <c r="B72" s="110">
        <v>195</v>
      </c>
      <c r="C72" s="70">
        <v>1.5625E-2</v>
      </c>
      <c r="D72" s="15">
        <v>195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192</v>
      </c>
      <c r="H72" s="32">
        <f t="shared" ref="H72:H75" si="31">IF(ISNUMBER(G72), (G72 - $B72) / $B72, "")</f>
        <v>-1.5384615384615385E-2</v>
      </c>
      <c r="I72" s="91">
        <f>IF(ISNUMBER(G72), $B91 * H72, "")</f>
        <v>-2307.6923076923076</v>
      </c>
      <c r="J72" s="15">
        <v>192</v>
      </c>
      <c r="K72" s="32">
        <f t="shared" ref="K72:K75" si="32">IF(ISNUMBER(J72), (J72 - $B72) / $B72, "")</f>
        <v>-1.5384615384615385E-2</v>
      </c>
      <c r="L72" s="18">
        <f>IF(ISNUMBER(J72), $B91 * K72, "")</f>
        <v>-2307.6923076923076</v>
      </c>
      <c r="M72" s="31">
        <v>195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56"/>
      <c r="R72" s="156"/>
      <c r="S72" s="156"/>
    </row>
    <row r="73" spans="1:19" ht="17.25" thickBot="1">
      <c r="A73" s="109" t="s">
        <v>317</v>
      </c>
      <c r="B73" s="110">
        <v>576</v>
      </c>
      <c r="C73" s="70">
        <v>1.4084507E-2</v>
      </c>
      <c r="D73" s="15">
        <v>575</v>
      </c>
      <c r="E73" s="32">
        <f t="shared" si="30"/>
        <v>-1.736111111111111E-3</v>
      </c>
      <c r="F73" s="18">
        <f>IF(ISNUMBER(D73), $B91 * E73, "")</f>
        <v>-260.41666666666663</v>
      </c>
      <c r="G73" s="31">
        <v>574</v>
      </c>
      <c r="H73" s="32">
        <f t="shared" si="31"/>
        <v>-3.472222222222222E-3</v>
      </c>
      <c r="I73" s="91">
        <f>IF(ISNUMBER(G73), $B91 * H73, "")</f>
        <v>-520.83333333333326</v>
      </c>
      <c r="J73" s="15">
        <v>574</v>
      </c>
      <c r="K73" s="32">
        <f t="shared" si="32"/>
        <v>-3.472222222222222E-3</v>
      </c>
      <c r="L73" s="18">
        <f>IF(ISNUMBER(J73), $B91 * K73, "")</f>
        <v>-520.83333333333326</v>
      </c>
      <c r="M73" s="31">
        <v>571</v>
      </c>
      <c r="N73" s="32">
        <f t="shared" si="33"/>
        <v>-8.6805555555555559E-3</v>
      </c>
      <c r="O73" s="18">
        <f>IF(ISNUMBER(M73), $B91 * N73, "")</f>
        <v>-1302.0833333333335</v>
      </c>
      <c r="Q73" s="146"/>
      <c r="R73" s="146"/>
      <c r="S73" s="146"/>
    </row>
    <row r="74" spans="1:19" ht="17.25" thickBot="1">
      <c r="A74" s="109" t="s">
        <v>319</v>
      </c>
      <c r="B74" s="110">
        <v>295</v>
      </c>
      <c r="C74" s="70">
        <v>1.02739726E-2</v>
      </c>
      <c r="D74" s="15">
        <v>295</v>
      </c>
      <c r="E74" s="32">
        <f t="shared" si="30"/>
        <v>0</v>
      </c>
      <c r="F74" s="18">
        <f>IF(ISNUMBER(D74), $B91 * E74, "")</f>
        <v>0</v>
      </c>
      <c r="G74" s="31">
        <v>293</v>
      </c>
      <c r="H74" s="32">
        <f t="shared" si="31"/>
        <v>-6.7796610169491523E-3</v>
      </c>
      <c r="I74" s="91">
        <f>IF(ISNUMBER(G74), $B91 * H74, "")</f>
        <v>-1016.9491525423729</v>
      </c>
      <c r="J74" s="15">
        <v>293</v>
      </c>
      <c r="K74" s="32">
        <f t="shared" si="32"/>
        <v>-6.7796610169491523E-3</v>
      </c>
      <c r="L74" s="18">
        <f>IF(ISNUMBER(J74), $B91 * K74, "")</f>
        <v>-1016.9491525423729</v>
      </c>
      <c r="M74" s="31">
        <v>292</v>
      </c>
      <c r="N74" s="32">
        <f t="shared" si="33"/>
        <v>-1.0169491525423728E-2</v>
      </c>
      <c r="O74" s="18">
        <f>IF(ISNUMBER(M74), $B91 * N74, "")</f>
        <v>-1525.4237288135591</v>
      </c>
      <c r="Q74" s="146"/>
      <c r="R74" s="146"/>
      <c r="S74" s="146"/>
    </row>
    <row r="75" spans="1:19" ht="17.25" thickBot="1">
      <c r="A75" s="111" t="s">
        <v>183</v>
      </c>
      <c r="B75" s="112">
        <v>114</v>
      </c>
      <c r="C75" s="71">
        <v>8.8495575000000007E-3</v>
      </c>
      <c r="D75" s="20">
        <v>115</v>
      </c>
      <c r="E75" s="21">
        <f t="shared" si="30"/>
        <v>8.771929824561403E-3</v>
      </c>
      <c r="F75" s="22">
        <f>IF(ISNUMBER(D75), $B91 * E75, "")</f>
        <v>1315.7894736842104</v>
      </c>
      <c r="G75" s="30">
        <v>114</v>
      </c>
      <c r="H75" s="21">
        <f t="shared" si="31"/>
        <v>0</v>
      </c>
      <c r="I75" s="95">
        <f>IF(ISNUMBER(G75), $B91 * H75, "")</f>
        <v>0</v>
      </c>
      <c r="J75" s="20">
        <v>114</v>
      </c>
      <c r="K75" s="21">
        <f t="shared" si="32"/>
        <v>0</v>
      </c>
      <c r="L75" s="22">
        <f>IF(ISNUMBER(J75), $B91 * K75, "")</f>
        <v>0</v>
      </c>
      <c r="M75" s="30">
        <v>114</v>
      </c>
      <c r="N75" s="21">
        <f t="shared" si="33"/>
        <v>0</v>
      </c>
      <c r="O75" s="22">
        <f>IF(ISNUMBER(M75), $B91 * N75, "")</f>
        <v>0</v>
      </c>
      <c r="Q75" s="146"/>
      <c r="R75" s="146"/>
      <c r="S75" s="146"/>
    </row>
    <row r="76" spans="1:19" ht="17.25" thickBot="1">
      <c r="A76" s="109" t="s">
        <v>321</v>
      </c>
      <c r="B76" s="113">
        <v>150</v>
      </c>
      <c r="C76" s="73">
        <v>6.7114093999999999E-3</v>
      </c>
      <c r="D76" s="96">
        <v>151</v>
      </c>
      <c r="E76" s="97">
        <f>IF(ISNUMBER(D76), (D76 - $B76) / $B76, "")</f>
        <v>6.6666666666666671E-3</v>
      </c>
      <c r="F76" s="98">
        <f>IF(ISNUMBER(D76), $B91 * E76, "")</f>
        <v>1000.0000000000001</v>
      </c>
      <c r="G76" s="99">
        <v>151</v>
      </c>
      <c r="H76" s="97">
        <f>IF(ISNUMBER(G76), (G76 - $B76) / $B76, "")</f>
        <v>6.6666666666666671E-3</v>
      </c>
      <c r="I76" s="100">
        <f>IF(ISNUMBER(G76), $B91 * H76, "")</f>
        <v>1000.0000000000001</v>
      </c>
      <c r="J76" s="96">
        <v>151</v>
      </c>
      <c r="K76" s="97">
        <f>IF(ISNUMBER(J76), (J76 - $B76) / $B76, "")</f>
        <v>6.6666666666666671E-3</v>
      </c>
      <c r="L76" s="98">
        <f>IF(ISNUMBER(J76), $B91 * K76, "")</f>
        <v>1000.0000000000001</v>
      </c>
      <c r="M76" s="99">
        <v>150</v>
      </c>
      <c r="N76" s="97">
        <f>IF(ISNUMBER(M76), (M76 - $B76) / $B76, "")</f>
        <v>0</v>
      </c>
      <c r="O76" s="98">
        <f>IF(ISNUMBER(M76), $B91 * N76, "")</f>
        <v>0</v>
      </c>
      <c r="Q76" s="146"/>
      <c r="R76" s="146"/>
      <c r="S76" s="146"/>
    </row>
    <row r="77" spans="1:19" ht="17.25" thickBot="1">
      <c r="A77" s="109" t="s">
        <v>103</v>
      </c>
      <c r="B77" s="110">
        <v>190</v>
      </c>
      <c r="C77" s="70">
        <v>5.2910053000000002E-3</v>
      </c>
      <c r="D77" s="15">
        <v>189</v>
      </c>
      <c r="E77" s="32">
        <f t="shared" ref="E77:E80" si="34">IF(ISNUMBER(D77), (D77 - $B77) / $B77, "")</f>
        <v>-5.263157894736842E-3</v>
      </c>
      <c r="F77" s="18">
        <f>IF(ISNUMBER(D77), $B91 * E77, "")</f>
        <v>-789.47368421052624</v>
      </c>
      <c r="G77" s="31">
        <v>190</v>
      </c>
      <c r="H77" s="32">
        <f t="shared" ref="H77:H80" si="35">IF(ISNUMBER(G77), (G77 - $B77) / $B77, "")</f>
        <v>0</v>
      </c>
      <c r="I77" s="91">
        <f>IF(ISNUMBER(G77), $B91 * H77, "")</f>
        <v>0</v>
      </c>
      <c r="J77" s="15">
        <v>190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190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146"/>
      <c r="R77" s="146"/>
      <c r="S77" s="146"/>
    </row>
    <row r="78" spans="1:19" ht="17.25" thickBot="1">
      <c r="A78" s="109" t="s">
        <v>213</v>
      </c>
      <c r="B78" s="110">
        <v>400</v>
      </c>
      <c r="C78" s="70">
        <v>5.0251256000000003E-3</v>
      </c>
      <c r="D78" s="15">
        <v>404</v>
      </c>
      <c r="E78" s="32">
        <f t="shared" si="34"/>
        <v>0.01</v>
      </c>
      <c r="F78" s="18">
        <f>IF(ISNUMBER(D78), $B91 * E78, "")</f>
        <v>1500</v>
      </c>
      <c r="G78" s="31">
        <v>404</v>
      </c>
      <c r="H78" s="32">
        <f t="shared" si="35"/>
        <v>0.01</v>
      </c>
      <c r="I78" s="91">
        <f>IF(ISNUMBER(G78), $B91 * H78, "")</f>
        <v>1500</v>
      </c>
      <c r="J78" s="15">
        <v>404</v>
      </c>
      <c r="K78" s="32">
        <f t="shared" si="36"/>
        <v>0.01</v>
      </c>
      <c r="L78" s="18">
        <f>IF(ISNUMBER(J78), $B91 * K78, "")</f>
        <v>1500</v>
      </c>
      <c r="M78" s="31">
        <v>404</v>
      </c>
      <c r="N78" s="32">
        <f t="shared" si="37"/>
        <v>0.01</v>
      </c>
      <c r="O78" s="18">
        <f>IF(ISNUMBER(M78), $B91 * N78, "")</f>
        <v>1500</v>
      </c>
      <c r="Q78" s="146"/>
      <c r="R78" s="146"/>
      <c r="S78" s="146"/>
    </row>
    <row r="79" spans="1:19" ht="17.25" thickBot="1">
      <c r="A79" s="109" t="s">
        <v>239</v>
      </c>
      <c r="B79" s="110">
        <v>408</v>
      </c>
      <c r="C79" s="70">
        <v>4.9261084000000004E-3</v>
      </c>
      <c r="D79" s="15">
        <v>406</v>
      </c>
      <c r="E79" s="32">
        <f t="shared" si="34"/>
        <v>-4.9019607843137254E-3</v>
      </c>
      <c r="F79" s="18">
        <f>IF(ISNUMBER(D79), $B91 * E79, "")</f>
        <v>-735.29411764705878</v>
      </c>
      <c r="G79" s="31">
        <v>409</v>
      </c>
      <c r="H79" s="32">
        <f t="shared" si="35"/>
        <v>2.4509803921568627E-3</v>
      </c>
      <c r="I79" s="91">
        <f>IF(ISNUMBER(G79), $B91 * H79, "")</f>
        <v>367.64705882352939</v>
      </c>
      <c r="J79" s="15">
        <v>409</v>
      </c>
      <c r="K79" s="32">
        <f t="shared" si="36"/>
        <v>2.4509803921568627E-3</v>
      </c>
      <c r="L79" s="18">
        <f>IF(ISNUMBER(J79), $B91 * K79, "")</f>
        <v>367.64705882352939</v>
      </c>
      <c r="M79" s="31">
        <v>408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14" t="s">
        <v>169</v>
      </c>
      <c r="B80" s="115">
        <v>216</v>
      </c>
      <c r="C80" s="72">
        <v>4.6511627999999998E-3</v>
      </c>
      <c r="D80" s="24">
        <v>217</v>
      </c>
      <c r="E80" s="25">
        <f t="shared" si="34"/>
        <v>4.6296296296296294E-3</v>
      </c>
      <c r="F80" s="94">
        <f>IF(ISNUMBER(D80), $B91 * E80, "")</f>
        <v>694.44444444444446</v>
      </c>
      <c r="G80" s="92">
        <v>216</v>
      </c>
      <c r="H80" s="25">
        <f t="shared" si="35"/>
        <v>0</v>
      </c>
      <c r="I80" s="93">
        <f>IF(ISNUMBER(G80), $B91 * H80, "")</f>
        <v>0</v>
      </c>
      <c r="J80" s="24">
        <v>216</v>
      </c>
      <c r="K80" s="25">
        <f t="shared" si="36"/>
        <v>0</v>
      </c>
      <c r="L80" s="94">
        <f>IF(ISNUMBER(J80), $B91 * K80, "")</f>
        <v>0</v>
      </c>
      <c r="M80" s="92">
        <v>218</v>
      </c>
      <c r="N80" s="25">
        <f t="shared" si="37"/>
        <v>9.2592592592592587E-3</v>
      </c>
      <c r="O80" s="94">
        <f>IF(ISNUMBER(M80), $B91 * N80, "")</f>
        <v>1388.8888888888889</v>
      </c>
      <c r="Q80" s="147"/>
      <c r="R80" s="148"/>
      <c r="S80" s="149"/>
    </row>
    <row r="81" spans="1:19">
      <c r="A81" s="107" t="s">
        <v>231</v>
      </c>
      <c r="B81" s="108">
        <v>302</v>
      </c>
      <c r="C81" s="69">
        <v>3.3222591000000002E-3</v>
      </c>
      <c r="D81" s="13">
        <v>302</v>
      </c>
      <c r="E81" s="14">
        <f>IF(ISNUMBER(D81), (D81 - $B81) / $B81, "")</f>
        <v>0</v>
      </c>
      <c r="F81" s="16">
        <f>IF(ISNUMBER(D81), $B91 * E81, "")</f>
        <v>0</v>
      </c>
      <c r="G81" s="29">
        <v>301</v>
      </c>
      <c r="H81" s="14">
        <f>IF(ISNUMBER(G81), (G81 - $B81) / $B81, "")</f>
        <v>-3.3112582781456954E-3</v>
      </c>
      <c r="I81" s="90">
        <f>IF(ISNUMBER(G81), $B91 * H81, "")</f>
        <v>-496.68874172185429</v>
      </c>
      <c r="J81" s="13">
        <v>301</v>
      </c>
      <c r="K81" s="14">
        <f>IF(ISNUMBER(J81), (J81 - $B81) / $B81, "")</f>
        <v>-3.3112582781456954E-3</v>
      </c>
      <c r="L81" s="16">
        <f>IF(ISNUMBER(J81), $B91 * K81, "")</f>
        <v>-496.68874172185429</v>
      </c>
      <c r="M81" s="29">
        <v>303</v>
      </c>
      <c r="N81" s="14">
        <f>IF(ISNUMBER(M81), (M81 - $B81) / $B81, "")</f>
        <v>3.3112582781456954E-3</v>
      </c>
      <c r="O81" s="16">
        <f>IF(ISNUMBER(M81), $B91 * N81, "")</f>
        <v>496.68874172185429</v>
      </c>
      <c r="Q81" s="150"/>
      <c r="R81" s="151"/>
      <c r="S81" s="152"/>
    </row>
    <row r="82" spans="1:19" ht="17.25" thickBot="1">
      <c r="A82" s="109" t="s">
        <v>81</v>
      </c>
      <c r="B82" s="110">
        <v>313</v>
      </c>
      <c r="C82" s="70">
        <v>0</v>
      </c>
      <c r="D82" s="15">
        <v>312</v>
      </c>
      <c r="E82" s="32">
        <f t="shared" ref="E82:E85" si="38">IF(ISNUMBER(D82), (D82 - $B82) / $B82, "")</f>
        <v>-3.1948881789137379E-3</v>
      </c>
      <c r="F82" s="18">
        <f>IF(ISNUMBER(D82), $B91 * E82, "")</f>
        <v>-479.23322683706067</v>
      </c>
      <c r="G82" s="31">
        <v>313</v>
      </c>
      <c r="H82" s="32">
        <f t="shared" ref="H82:H85" si="39">IF(ISNUMBER(G82), (G82 - $B82) / $B82, "")</f>
        <v>0</v>
      </c>
      <c r="I82" s="91">
        <f>IF(ISNUMBER(G82), $B91 * H82, "")</f>
        <v>0</v>
      </c>
      <c r="J82" s="15">
        <v>313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314</v>
      </c>
      <c r="N82" s="32">
        <f t="shared" ref="N82:N85" si="41">IF(ISNUMBER(M82), (M82 - $B82) / $B82, "")</f>
        <v>3.1948881789137379E-3</v>
      </c>
      <c r="O82" s="18">
        <f>IF(ISNUMBER(M82), $B91 * N82, "")</f>
        <v>479.23322683706067</v>
      </c>
      <c r="Q82" s="153"/>
      <c r="R82" s="154"/>
      <c r="S82" s="155"/>
    </row>
    <row r="83" spans="1:19" ht="17.25" thickBot="1">
      <c r="A83" s="109" t="s">
        <v>326</v>
      </c>
      <c r="B83" s="110">
        <v>219</v>
      </c>
      <c r="C83" s="70">
        <v>0</v>
      </c>
      <c r="D83" s="15">
        <v>220</v>
      </c>
      <c r="E83" s="32">
        <f t="shared" si="38"/>
        <v>4.5662100456621002E-3</v>
      </c>
      <c r="F83" s="18">
        <f>IF(ISNUMBER(D83), $B91 * E83, "")</f>
        <v>684.93150684931504</v>
      </c>
      <c r="G83" s="31">
        <v>220</v>
      </c>
      <c r="H83" s="32">
        <f t="shared" si="39"/>
        <v>4.5662100456621002E-3</v>
      </c>
      <c r="I83" s="91">
        <f>IF(ISNUMBER(G83), $B91 * H83, "")</f>
        <v>684.93150684931504</v>
      </c>
      <c r="J83" s="15">
        <v>220</v>
      </c>
      <c r="K83" s="32">
        <f t="shared" si="40"/>
        <v>4.5662100456621002E-3</v>
      </c>
      <c r="L83" s="18">
        <f>IF(ISNUMBER(J83), $B91 * K83, "")</f>
        <v>684.93150684931504</v>
      </c>
      <c r="M83" s="31">
        <v>221</v>
      </c>
      <c r="N83" s="32">
        <f t="shared" si="41"/>
        <v>9.1324200913242004E-3</v>
      </c>
      <c r="O83" s="18">
        <f>IF(ISNUMBER(M83), $B91 * N83, "")</f>
        <v>1369.8630136986301</v>
      </c>
      <c r="Q83" s="146"/>
      <c r="R83" s="146"/>
      <c r="S83" s="146"/>
    </row>
    <row r="84" spans="1:19" ht="17.25" thickBot="1">
      <c r="A84" s="109" t="s">
        <v>79</v>
      </c>
      <c r="B84" s="110">
        <v>211</v>
      </c>
      <c r="C84" s="70">
        <v>0</v>
      </c>
      <c r="D84" s="15">
        <v>212</v>
      </c>
      <c r="E84" s="32">
        <f t="shared" si="38"/>
        <v>4.7393364928909956E-3</v>
      </c>
      <c r="F84" s="18">
        <f>IF(ISNUMBER(D84), $B91 * E84, "")</f>
        <v>710.90047393364932</v>
      </c>
      <c r="G84" s="31">
        <v>211</v>
      </c>
      <c r="H84" s="32">
        <f t="shared" si="39"/>
        <v>0</v>
      </c>
      <c r="I84" s="91">
        <f>IF(ISNUMBER(G84), $B91 * H84, "")</f>
        <v>0</v>
      </c>
      <c r="J84" s="15">
        <v>211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9.4786729857819912E-3</v>
      </c>
      <c r="O84" s="18">
        <f>IF(ISNUMBER(M84), $B91 * N84, "")</f>
        <v>1421.8009478672986</v>
      </c>
      <c r="Q84" s="156"/>
      <c r="R84" s="156"/>
      <c r="S84" s="156"/>
    </row>
    <row r="85" spans="1:19" ht="17.25" thickBot="1">
      <c r="A85" s="111" t="s">
        <v>85</v>
      </c>
      <c r="B85" s="112">
        <v>128</v>
      </c>
      <c r="C85" s="71">
        <v>0</v>
      </c>
      <c r="D85" s="20">
        <v>128</v>
      </c>
      <c r="E85" s="21">
        <f t="shared" si="38"/>
        <v>0</v>
      </c>
      <c r="F85" s="22">
        <f>IF(ISNUMBER(D85), $B91 * E85, "")</f>
        <v>0</v>
      </c>
      <c r="G85" s="30">
        <v>128</v>
      </c>
      <c r="H85" s="21">
        <f t="shared" si="39"/>
        <v>0</v>
      </c>
      <c r="I85" s="95">
        <f>IF(ISNUMBER(G85), $B91 * H85, "")</f>
        <v>0</v>
      </c>
      <c r="J85" s="20">
        <v>128</v>
      </c>
      <c r="K85" s="21">
        <f t="shared" si="40"/>
        <v>0</v>
      </c>
      <c r="L85" s="22">
        <f>IF(ISNUMBER(J85), $B91 * K85, "")</f>
        <v>0</v>
      </c>
      <c r="M85" s="30">
        <v>129</v>
      </c>
      <c r="N85" s="21">
        <f t="shared" si="41"/>
        <v>7.8125E-3</v>
      </c>
      <c r="O85" s="22">
        <f>IF(ISNUMBER(M85), $B91 * N85, "")</f>
        <v>1171.875</v>
      </c>
      <c r="Q85" s="156"/>
      <c r="R85" s="156"/>
      <c r="S85" s="156"/>
    </row>
    <row r="86" spans="1:19" ht="17.25" thickBot="1">
      <c r="A86" s="109" t="s">
        <v>149</v>
      </c>
      <c r="B86" s="113">
        <v>306</v>
      </c>
      <c r="C86" s="73">
        <v>0</v>
      </c>
      <c r="D86" s="96">
        <v>308</v>
      </c>
      <c r="E86" s="97">
        <f>IF(ISNUMBER(D86), (D86 - $B86) / $B86, "")</f>
        <v>6.5359477124183009E-3</v>
      </c>
      <c r="F86" s="98">
        <f>IF(ISNUMBER(D86), $B91 * E86, "")</f>
        <v>980.39215686274508</v>
      </c>
      <c r="G86" s="99">
        <v>309</v>
      </c>
      <c r="H86" s="97">
        <f>IF(ISNUMBER(G86), (G86 - $B86) / $B86, "")</f>
        <v>9.8039215686274508E-3</v>
      </c>
      <c r="I86" s="100">
        <f>IF(ISNUMBER(G86), $B91 * H86, "")</f>
        <v>1470.5882352941176</v>
      </c>
      <c r="J86" s="96">
        <v>309</v>
      </c>
      <c r="K86" s="97">
        <f>IF(ISNUMBER(J86), (J86 - $B86) / $B86, "")</f>
        <v>9.8039215686274508E-3</v>
      </c>
      <c r="L86" s="98">
        <f>IF(ISNUMBER(J86), $B91 * K86, "")</f>
        <v>1470.5882352941176</v>
      </c>
      <c r="M86" s="99">
        <v>307</v>
      </c>
      <c r="N86" s="97">
        <f>IF(ISNUMBER(M86), (M86 - $B86) / $B86, "")</f>
        <v>3.2679738562091504E-3</v>
      </c>
      <c r="O86" s="98">
        <f>IF(ISNUMBER(M86), $B91 * N86, "")</f>
        <v>490.19607843137254</v>
      </c>
      <c r="Q86" s="146"/>
      <c r="R86" s="146"/>
      <c r="S86" s="146"/>
    </row>
    <row r="87" spans="1:19" ht="17.25" thickBot="1">
      <c r="A87" s="109" t="s">
        <v>330</v>
      </c>
      <c r="B87" s="110">
        <v>256</v>
      </c>
      <c r="C87" s="70">
        <v>0</v>
      </c>
      <c r="D87" s="15">
        <v>256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255</v>
      </c>
      <c r="H87" s="32">
        <f t="shared" ref="H87:H90" si="43">IF(ISNUMBER(G87), (G87 - $B87) / $B87, "")</f>
        <v>-3.90625E-3</v>
      </c>
      <c r="I87" s="91">
        <f>IF(ISNUMBER(G87), $B91 * H87, "")</f>
        <v>-585.9375</v>
      </c>
      <c r="J87" s="15">
        <v>255</v>
      </c>
      <c r="K87" s="32">
        <f t="shared" ref="K87:K90" si="44">IF(ISNUMBER(J87), (J87 - $B87) / $B87, "")</f>
        <v>-3.90625E-3</v>
      </c>
      <c r="L87" s="18">
        <f>IF(ISNUMBER(J87), $B91 * K87, "")</f>
        <v>-585.9375</v>
      </c>
      <c r="M87" s="31">
        <v>255</v>
      </c>
      <c r="N87" s="32">
        <f t="shared" ref="N87:N90" si="45">IF(ISNUMBER(M87), (M87 - $B87) / $B87, "")</f>
        <v>-3.90625E-3</v>
      </c>
      <c r="O87" s="18">
        <f>IF(ISNUMBER(M87), $B91 * N87, "")</f>
        <v>-585.9375</v>
      </c>
      <c r="Q87" s="146"/>
      <c r="R87" s="146"/>
      <c r="S87" s="146"/>
    </row>
    <row r="88" spans="1:19" ht="17.25" thickBot="1">
      <c r="A88" s="109" t="s">
        <v>332</v>
      </c>
      <c r="B88" s="110">
        <v>487</v>
      </c>
      <c r="C88" s="70">
        <v>-2.0491802999999999E-3</v>
      </c>
      <c r="D88" s="15">
        <v>487</v>
      </c>
      <c r="E88" s="32">
        <f t="shared" si="42"/>
        <v>0</v>
      </c>
      <c r="F88" s="18">
        <f>IF(ISNUMBER(D88), $B91 * E88, "")</f>
        <v>0</v>
      </c>
      <c r="G88" s="31">
        <v>486</v>
      </c>
      <c r="H88" s="32">
        <f t="shared" si="43"/>
        <v>-2.0533880903490761E-3</v>
      </c>
      <c r="I88" s="91">
        <f>IF(ISNUMBER(G88), $B91 * H88, "")</f>
        <v>-308.00821355236138</v>
      </c>
      <c r="J88" s="15">
        <v>486</v>
      </c>
      <c r="K88" s="32">
        <f t="shared" si="44"/>
        <v>-2.0533880903490761E-3</v>
      </c>
      <c r="L88" s="18">
        <f>IF(ISNUMBER(J88), $B91 * K88, "")</f>
        <v>-308.00821355236138</v>
      </c>
      <c r="M88" s="31">
        <v>488</v>
      </c>
      <c r="N88" s="32">
        <f t="shared" si="45"/>
        <v>2.0533880903490761E-3</v>
      </c>
      <c r="O88" s="18">
        <f>IF(ISNUMBER(M88), $B91 * N88, "")</f>
        <v>308.00821355236138</v>
      </c>
      <c r="Q88" s="146"/>
      <c r="R88" s="146"/>
      <c r="S88" s="146"/>
    </row>
    <row r="89" spans="1:19">
      <c r="A89" s="109" t="s">
        <v>109</v>
      </c>
      <c r="B89" s="110">
        <v>917</v>
      </c>
      <c r="C89" s="70">
        <v>-5.4229934999999998E-3</v>
      </c>
      <c r="D89" s="15">
        <v>917</v>
      </c>
      <c r="E89" s="32">
        <f t="shared" si="42"/>
        <v>0</v>
      </c>
      <c r="F89" s="18">
        <f>IF(ISNUMBER(D89), $B91 * E89, "")</f>
        <v>0</v>
      </c>
      <c r="G89" s="31">
        <v>921</v>
      </c>
      <c r="H89" s="32">
        <f t="shared" si="43"/>
        <v>4.3620501635768813E-3</v>
      </c>
      <c r="I89" s="91">
        <f>IF(ISNUMBER(G89), $B91 * H89, "")</f>
        <v>654.30752453653224</v>
      </c>
      <c r="J89" s="15">
        <v>921</v>
      </c>
      <c r="K89" s="32">
        <f t="shared" si="44"/>
        <v>4.3620501635768813E-3</v>
      </c>
      <c r="L89" s="18">
        <f>IF(ISNUMBER(J89), $B91 * K89, "")</f>
        <v>654.30752453653224</v>
      </c>
      <c r="M89" s="31">
        <v>922</v>
      </c>
      <c r="N89" s="32">
        <f t="shared" si="45"/>
        <v>5.4525627044711015E-3</v>
      </c>
      <c r="O89" s="18">
        <f>IF(ISNUMBER(M89), $B91 * N89, "")</f>
        <v>817.88440567066527</v>
      </c>
      <c r="Q89" s="135"/>
      <c r="R89" s="136"/>
      <c r="S89" s="137"/>
    </row>
    <row r="90" spans="1:19" ht="17.25" thickBot="1">
      <c r="A90" s="114" t="s">
        <v>105</v>
      </c>
      <c r="B90" s="115">
        <v>179</v>
      </c>
      <c r="C90" s="72">
        <v>-5.5555556000000004E-3</v>
      </c>
      <c r="D90" s="24">
        <v>179</v>
      </c>
      <c r="E90" s="25">
        <f t="shared" si="42"/>
        <v>0</v>
      </c>
      <c r="F90" s="94">
        <f>IF(ISNUMBER(D90), $B91 * E90, "")</f>
        <v>0</v>
      </c>
      <c r="G90" s="92">
        <v>179</v>
      </c>
      <c r="H90" s="25">
        <f t="shared" si="43"/>
        <v>0</v>
      </c>
      <c r="I90" s="93">
        <f>IF(ISNUMBER(G90), $B91 * H90, "")</f>
        <v>0</v>
      </c>
      <c r="J90" s="24">
        <v>179</v>
      </c>
      <c r="K90" s="25">
        <f t="shared" si="44"/>
        <v>0</v>
      </c>
      <c r="L90" s="94">
        <f>IF(ISNUMBER(J90), $B91 * K90, "")</f>
        <v>0</v>
      </c>
      <c r="M90" s="92">
        <v>179</v>
      </c>
      <c r="N90" s="25">
        <f t="shared" si="45"/>
        <v>0</v>
      </c>
      <c r="O90" s="94">
        <f>IF(ISNUMBER(M90), $B91 * N90, "")</f>
        <v>0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1.0819645238074088E-3</v>
      </c>
      <c r="F91" s="28">
        <f>SUM(F71:F90)</f>
        <v>3245.8935714222266</v>
      </c>
      <c r="G91" s="26" t="s">
        <v>258</v>
      </c>
      <c r="H91" s="27">
        <f>IF(COUNT(H71:H90), SUM(H71:H90) / COUNT(H71:H90), 0)</f>
        <v>-3.0638874820915056E-3</v>
      </c>
      <c r="I91" s="28">
        <f>SUM(I71:I90)</f>
        <v>-9191.6624462745167</v>
      </c>
      <c r="J91" s="26" t="s">
        <v>258</v>
      </c>
      <c r="K91" s="27">
        <f>IF(COUNT(K71:K90), SUM(K71:K90) / COUNT(K71:K90), 0)</f>
        <v>-3.0638874820915056E-3</v>
      </c>
      <c r="L91" s="28">
        <f>SUM(L71:L90)</f>
        <v>-9191.6624462745167</v>
      </c>
      <c r="M91" s="26" t="s">
        <v>258</v>
      </c>
      <c r="N91" s="27">
        <f>IF(COUNT(N71:N90), SUM(N71:N90) / COUNT(N71:N90), 0)</f>
        <v>-1.6593934524684558E-3</v>
      </c>
      <c r="O91" s="28">
        <f>SUM(O71:O90)</f>
        <v>-4978.1803574053665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21539000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1.0224474E-3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2023-01-01(일) 오전 00:00</v>
      </c>
      <c r="C96" s="198"/>
      <c r="D96" s="170" t="str">
        <f>TEXT($G$1, "[$-ko-KR]yyyy-mm-dd(ddd) ") &amp; "오후 14:00"</f>
        <v>2023-01-01(일) 오후 14:00</v>
      </c>
      <c r="E96" s="171"/>
      <c r="F96" s="172"/>
      <c r="G96" s="170" t="str">
        <f>TEXT($G$1, "[$-ko-KR]yyyy-mm-dd(ddd) ") &amp; "오후 19:00"</f>
        <v>2023-01-01(일) 오후 19:00</v>
      </c>
      <c r="H96" s="171"/>
      <c r="I96" s="172"/>
      <c r="J96" s="170" t="str">
        <f>TEXT($G$1, "[$-ko-KR]yyyy-mm-dd(ddd) ") &amp; "오후 21:00"</f>
        <v>2023-01-01(일) 오후 21:00</v>
      </c>
      <c r="K96" s="171"/>
      <c r="L96" s="172"/>
      <c r="M96" s="170" t="str">
        <f>TEXT($G$1+1, "[$-ko-KR]yyyy-mm-dd(ddd) ") &amp; "오전 00:00"</f>
        <v>2023-01-02(월)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120</v>
      </c>
      <c r="B98" s="108">
        <v>109</v>
      </c>
      <c r="C98" s="69">
        <v>0.1413612565</v>
      </c>
      <c r="D98" s="13">
        <v>108</v>
      </c>
      <c r="E98" s="14">
        <f>IF(ISNUMBER(D98), (D98 - $B98) / $B98, "")</f>
        <v>-9.1743119266055051E-3</v>
      </c>
      <c r="F98" s="16">
        <f>IF(ISNUMBER(D98), $B118 * E98, "")</f>
        <v>-1376.1467889908258</v>
      </c>
      <c r="G98" s="29">
        <v>102</v>
      </c>
      <c r="H98" s="14">
        <f>IF(ISNUMBER(G98), (G98 - $B98) / $B98, "")</f>
        <v>-6.4220183486238536E-2</v>
      </c>
      <c r="I98" s="90">
        <f>IF(ISNUMBER(G98), $B118 * H98, "")</f>
        <v>-9633.0275229357812</v>
      </c>
      <c r="J98" s="13">
        <v>102</v>
      </c>
      <c r="K98" s="14">
        <f>IF(ISNUMBER(J98), (J98 - $B98) / $B98, "")</f>
        <v>-6.4220183486238536E-2</v>
      </c>
      <c r="L98" s="16">
        <f>IF(ISNUMBER(J98), $B118 * K98, "")</f>
        <v>-9633.0275229357812</v>
      </c>
      <c r="M98" s="29">
        <v>101</v>
      </c>
      <c r="N98" s="14">
        <f>IF(ISNUMBER(M98), (M98 - $B98) / $B98, "")</f>
        <v>-7.3394495412844041E-2</v>
      </c>
      <c r="O98" s="16">
        <f>IF(ISNUMBER(M98), $B118 * N98, "")</f>
        <v>-11009.174311926607</v>
      </c>
      <c r="Q98" s="156"/>
      <c r="R98" s="156"/>
      <c r="S98" s="156"/>
    </row>
    <row r="99" spans="1:19" ht="17.25" thickBot="1">
      <c r="A99" s="109" t="s">
        <v>205</v>
      </c>
      <c r="B99" s="110">
        <v>92</v>
      </c>
      <c r="C99" s="70">
        <v>4.5454545499999999E-2</v>
      </c>
      <c r="D99" s="15">
        <v>92.3</v>
      </c>
      <c r="E99" s="32">
        <f t="shared" ref="E99:E102" si="46">IF(ISNUMBER(D99), (D99 - $B99) / $B99, "")</f>
        <v>3.2608695652173603E-3</v>
      </c>
      <c r="F99" s="18">
        <f>IF(ISNUMBER(D99), $B118 * E99, "")</f>
        <v>489.13043478260403</v>
      </c>
      <c r="G99" s="31">
        <v>92.7</v>
      </c>
      <c r="H99" s="32">
        <f t="shared" ref="H99:H102" si="47">IF(ISNUMBER(G99), (G99 - $B99) / $B99, "")</f>
        <v>7.6086956521739437E-3</v>
      </c>
      <c r="I99" s="91">
        <f>IF(ISNUMBER(G99), $B118 * H99, "")</f>
        <v>1141.3043478260915</v>
      </c>
      <c r="J99" s="15">
        <v>92.7</v>
      </c>
      <c r="K99" s="32">
        <f t="shared" ref="K99:K102" si="48">IF(ISNUMBER(J99), (J99 - $B99) / $B99, "")</f>
        <v>7.6086956521739437E-3</v>
      </c>
      <c r="L99" s="18">
        <f>IF(ISNUMBER(J99), $B118 * K99, "")</f>
        <v>1141.3043478260915</v>
      </c>
      <c r="M99" s="31">
        <v>90.3</v>
      </c>
      <c r="N99" s="32">
        <f t="shared" ref="N99:N102" si="49">IF(ISNUMBER(M99), (M99 - $B99) / $B99, "")</f>
        <v>-1.8478260869565249E-2</v>
      </c>
      <c r="O99" s="18">
        <f>IF(ISNUMBER(M99), $B118 * N99, "")</f>
        <v>-2771.7391304347875</v>
      </c>
      <c r="Q99" s="156"/>
      <c r="R99" s="156"/>
      <c r="S99" s="156"/>
    </row>
    <row r="100" spans="1:19" ht="17.25" thickBot="1">
      <c r="A100" s="109" t="s">
        <v>191</v>
      </c>
      <c r="B100" s="110">
        <v>47.2</v>
      </c>
      <c r="C100" s="70">
        <v>4.4247787599999998E-2</v>
      </c>
      <c r="D100" s="15">
        <v>47</v>
      </c>
      <c r="E100" s="32">
        <f t="shared" si="46"/>
        <v>-4.2372881355932802E-3</v>
      </c>
      <c r="F100" s="18">
        <f>IF(ISNUMBER(D100), $B118 * E100, "")</f>
        <v>-635.59322033899207</v>
      </c>
      <c r="G100" s="31">
        <v>50.7</v>
      </c>
      <c r="H100" s="32">
        <f t="shared" si="47"/>
        <v>7.4152542372881353E-2</v>
      </c>
      <c r="I100" s="91">
        <f>IF(ISNUMBER(G100), $B118 * H100, "")</f>
        <v>11122.881355932202</v>
      </c>
      <c r="J100" s="15">
        <v>50.7</v>
      </c>
      <c r="K100" s="32">
        <f t="shared" si="48"/>
        <v>7.4152542372881353E-2</v>
      </c>
      <c r="L100" s="18">
        <f>IF(ISNUMBER(J100), $B118 * K100, "")</f>
        <v>11122.881355932202</v>
      </c>
      <c r="M100" s="31">
        <v>48.9</v>
      </c>
      <c r="N100" s="32">
        <f t="shared" si="49"/>
        <v>3.6016949152542284E-2</v>
      </c>
      <c r="O100" s="18">
        <f>IF(ISNUMBER(M100), $B118 * N100, "")</f>
        <v>5402.542372881343</v>
      </c>
      <c r="Q100" s="146"/>
      <c r="R100" s="146"/>
      <c r="S100" s="146"/>
    </row>
    <row r="101" spans="1:19" ht="17.25" thickBot="1">
      <c r="A101" s="109" t="s">
        <v>241</v>
      </c>
      <c r="B101" s="110">
        <v>87.9</v>
      </c>
      <c r="C101" s="70">
        <v>3.6556603799999997E-2</v>
      </c>
      <c r="D101" s="15">
        <v>87.5</v>
      </c>
      <c r="E101" s="32">
        <f t="shared" si="46"/>
        <v>-4.5506257110353313E-3</v>
      </c>
      <c r="F101" s="18">
        <f>IF(ISNUMBER(D101), $B118 * E101, "")</f>
        <v>-682.59385665529965</v>
      </c>
      <c r="G101" s="31">
        <v>87.5</v>
      </c>
      <c r="H101" s="32">
        <f t="shared" si="47"/>
        <v>-4.5506257110353313E-3</v>
      </c>
      <c r="I101" s="91">
        <f>IF(ISNUMBER(G101), $B118 * H101, "")</f>
        <v>-682.59385665529965</v>
      </c>
      <c r="J101" s="15">
        <v>87.5</v>
      </c>
      <c r="K101" s="32">
        <f t="shared" si="48"/>
        <v>-4.5506257110353313E-3</v>
      </c>
      <c r="L101" s="18">
        <f>IF(ISNUMBER(J101), $B118 * K101, "")</f>
        <v>-682.59385665529965</v>
      </c>
      <c r="M101" s="31">
        <v>86.9</v>
      </c>
      <c r="N101" s="32">
        <f t="shared" si="49"/>
        <v>-1.1376564277588168E-2</v>
      </c>
      <c r="O101" s="18">
        <f>IF(ISNUMBER(M101), $B118 * N101, "")</f>
        <v>-1706.4846416382252</v>
      </c>
      <c r="Q101" s="146"/>
      <c r="R101" s="146"/>
      <c r="S101" s="146"/>
    </row>
    <row r="102" spans="1:19" ht="17.25" thickBot="1">
      <c r="A102" s="111" t="s">
        <v>71</v>
      </c>
      <c r="B102" s="112">
        <v>9.64</v>
      </c>
      <c r="C102" s="71">
        <v>2.22693531E-2</v>
      </c>
      <c r="D102" s="20">
        <v>9.86</v>
      </c>
      <c r="E102" s="21">
        <f t="shared" si="46"/>
        <v>2.2821576763485358E-2</v>
      </c>
      <c r="F102" s="22">
        <f>IF(ISNUMBER(D102), $B118 * E102, "")</f>
        <v>3423.2365145228036</v>
      </c>
      <c r="G102" s="30">
        <v>9.93</v>
      </c>
      <c r="H102" s="21">
        <f t="shared" si="47"/>
        <v>3.008298755186713E-2</v>
      </c>
      <c r="I102" s="95">
        <f>IF(ISNUMBER(G102), $B118 * H102, "")</f>
        <v>4512.4481327800695</v>
      </c>
      <c r="J102" s="20">
        <v>9.93</v>
      </c>
      <c r="K102" s="21">
        <f t="shared" si="48"/>
        <v>3.008298755186713E-2</v>
      </c>
      <c r="L102" s="22">
        <f>IF(ISNUMBER(J102), $B118 * K102, "")</f>
        <v>4512.4481327800695</v>
      </c>
      <c r="M102" s="30">
        <v>9.81</v>
      </c>
      <c r="N102" s="21">
        <f t="shared" si="49"/>
        <v>1.7634854771784225E-2</v>
      </c>
      <c r="O102" s="22">
        <f>IF(ISNUMBER(M102), $B118 * N102, "")</f>
        <v>2645.2282157676336</v>
      </c>
      <c r="Q102" s="146"/>
      <c r="R102" s="146"/>
      <c r="S102" s="146"/>
    </row>
    <row r="103" spans="1:19" ht="17.25" thickBot="1">
      <c r="A103" s="109" t="s">
        <v>225</v>
      </c>
      <c r="B103" s="113">
        <v>51.7</v>
      </c>
      <c r="C103" s="73">
        <v>2.1739130400000001E-2</v>
      </c>
      <c r="D103" s="96">
        <v>51.5</v>
      </c>
      <c r="E103" s="97">
        <f>IF(ISNUMBER(D103), (D103 - $B103) / $B103, "")</f>
        <v>-3.8684719535783912E-3</v>
      </c>
      <c r="F103" s="98">
        <f>IF(ISNUMBER(D103), $B118 * E103, "")</f>
        <v>-580.27079303675873</v>
      </c>
      <c r="G103" s="99">
        <v>52.1</v>
      </c>
      <c r="H103" s="97">
        <f>IF(ISNUMBER(G103), (G103 - $B103) / $B103, "")</f>
        <v>7.7369439071566454E-3</v>
      </c>
      <c r="I103" s="100">
        <f>IF(ISNUMBER(G103), $B118 * H103, "")</f>
        <v>1160.5415860734968</v>
      </c>
      <c r="J103" s="96">
        <v>52.1</v>
      </c>
      <c r="K103" s="97">
        <f>IF(ISNUMBER(J103), (J103 - $B103) / $B103, "")</f>
        <v>7.7369439071566454E-3</v>
      </c>
      <c r="L103" s="98">
        <f>IF(ISNUMBER(J103), $B118 * K103, "")</f>
        <v>1160.5415860734968</v>
      </c>
      <c r="M103" s="99">
        <v>51.2</v>
      </c>
      <c r="N103" s="97">
        <f>IF(ISNUMBER(M103), (M103 - $B103) / $B103, "")</f>
        <v>-9.6711798839458404E-3</v>
      </c>
      <c r="O103" s="98">
        <f>IF(ISNUMBER(M103), $B118 * N103, "")</f>
        <v>-1450.6769825918761</v>
      </c>
      <c r="Q103" s="146"/>
      <c r="R103" s="146"/>
      <c r="S103" s="146"/>
    </row>
    <row r="104" spans="1:19" ht="17.25" thickBot="1">
      <c r="A104" s="109" t="s">
        <v>134</v>
      </c>
      <c r="B104" s="110">
        <v>1330</v>
      </c>
      <c r="C104" s="70">
        <v>1.9157088100000001E-2</v>
      </c>
      <c r="D104" s="15">
        <v>1335</v>
      </c>
      <c r="E104" s="32">
        <f t="shared" ref="E104:E107" si="50">IF(ISNUMBER(D104), (D104 - $B104) / $B104, "")</f>
        <v>3.7593984962406013E-3</v>
      </c>
      <c r="F104" s="18">
        <f>IF(ISNUMBER(D104), $B118 * E104, "")</f>
        <v>563.90977443609017</v>
      </c>
      <c r="G104" s="31">
        <v>1320</v>
      </c>
      <c r="H104" s="32">
        <f t="shared" ref="H104:H107" si="51">IF(ISNUMBER(G104), (G104 - $B104) / $B104, "")</f>
        <v>-7.5187969924812026E-3</v>
      </c>
      <c r="I104" s="91">
        <f>IF(ISNUMBER(G104), $B118 * H104, "")</f>
        <v>-1127.8195488721803</v>
      </c>
      <c r="J104" s="15">
        <v>1320</v>
      </c>
      <c r="K104" s="32">
        <f t="shared" ref="K104:K107" si="52">IF(ISNUMBER(J104), (J104 - $B104) / $B104, "")</f>
        <v>-7.5187969924812026E-3</v>
      </c>
      <c r="L104" s="18">
        <f>IF(ISNUMBER(J104), $B118 * K104, "")</f>
        <v>-1127.8195488721803</v>
      </c>
      <c r="M104" s="31">
        <v>1330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46"/>
      <c r="R104" s="146"/>
      <c r="S104" s="146"/>
    </row>
    <row r="105" spans="1:19" ht="17.25" thickBot="1">
      <c r="A105" s="109" t="s">
        <v>101</v>
      </c>
      <c r="B105" s="110">
        <v>195</v>
      </c>
      <c r="C105" s="70">
        <v>1.5625E-2</v>
      </c>
      <c r="D105" s="15">
        <v>195</v>
      </c>
      <c r="E105" s="32">
        <f t="shared" si="50"/>
        <v>0</v>
      </c>
      <c r="F105" s="18">
        <f>IF(ISNUMBER(D105), $B118 * E105, "")</f>
        <v>0</v>
      </c>
      <c r="G105" s="31">
        <v>192</v>
      </c>
      <c r="H105" s="32">
        <f t="shared" si="51"/>
        <v>-1.5384615384615385E-2</v>
      </c>
      <c r="I105" s="91">
        <f>IF(ISNUMBER(G105), $B118 * H105, "")</f>
        <v>-2307.6923076923076</v>
      </c>
      <c r="J105" s="15">
        <v>192</v>
      </c>
      <c r="K105" s="32">
        <f t="shared" si="52"/>
        <v>-1.5384615384615385E-2</v>
      </c>
      <c r="L105" s="18">
        <f>IF(ISNUMBER(J105), $B118 * K105, "")</f>
        <v>-2307.6923076923076</v>
      </c>
      <c r="M105" s="31">
        <v>195</v>
      </c>
      <c r="N105" s="32">
        <f t="shared" si="53"/>
        <v>0</v>
      </c>
      <c r="O105" s="18">
        <f>IF(ISNUMBER(M105), $B118 * N105, "")</f>
        <v>0</v>
      </c>
      <c r="Q105" s="146"/>
      <c r="R105" s="146"/>
      <c r="S105" s="146"/>
    </row>
    <row r="106" spans="1:19" ht="17.25" thickBot="1">
      <c r="A106" s="109" t="s">
        <v>317</v>
      </c>
      <c r="B106" s="110">
        <v>576</v>
      </c>
      <c r="C106" s="70">
        <v>1.4084507E-2</v>
      </c>
      <c r="D106" s="15">
        <v>575</v>
      </c>
      <c r="E106" s="32">
        <f t="shared" si="50"/>
        <v>-1.736111111111111E-3</v>
      </c>
      <c r="F106" s="18">
        <f>IF(ISNUMBER(D106), $B118 * E106, "")</f>
        <v>-260.41666666666663</v>
      </c>
      <c r="G106" s="31">
        <v>574</v>
      </c>
      <c r="H106" s="32">
        <f t="shared" si="51"/>
        <v>-3.472222222222222E-3</v>
      </c>
      <c r="I106" s="91">
        <f>IF(ISNUMBER(G106), $B118 * H106, "")</f>
        <v>-520.83333333333326</v>
      </c>
      <c r="J106" s="15">
        <v>574</v>
      </c>
      <c r="K106" s="32">
        <f t="shared" si="52"/>
        <v>-3.472222222222222E-3</v>
      </c>
      <c r="L106" s="18">
        <f>IF(ISNUMBER(J106), $B118 * K106, "")</f>
        <v>-520.83333333333326</v>
      </c>
      <c r="M106" s="31">
        <v>571</v>
      </c>
      <c r="N106" s="32">
        <f t="shared" si="53"/>
        <v>-8.6805555555555559E-3</v>
      </c>
      <c r="O106" s="18">
        <f>IF(ISNUMBER(M106), $B118 * N106, "")</f>
        <v>-1302.0833333333335</v>
      </c>
      <c r="Q106" s="33"/>
      <c r="R106" s="33"/>
    </row>
    <row r="107" spans="1:19" ht="17.25" thickBot="1">
      <c r="A107" s="114" t="s">
        <v>319</v>
      </c>
      <c r="B107" s="115">
        <v>295</v>
      </c>
      <c r="C107" s="72">
        <v>1.02739726E-2</v>
      </c>
      <c r="D107" s="24">
        <v>295</v>
      </c>
      <c r="E107" s="25">
        <f t="shared" si="50"/>
        <v>0</v>
      </c>
      <c r="F107" s="94">
        <f>IF(ISNUMBER(D107), $B118 * E107, "")</f>
        <v>0</v>
      </c>
      <c r="G107" s="92">
        <v>293</v>
      </c>
      <c r="H107" s="25">
        <f t="shared" si="51"/>
        <v>-6.7796610169491523E-3</v>
      </c>
      <c r="I107" s="93">
        <f>IF(ISNUMBER(G107), $B118 * H107, "")</f>
        <v>-1016.9491525423729</v>
      </c>
      <c r="J107" s="24">
        <v>293</v>
      </c>
      <c r="K107" s="25">
        <f t="shared" si="52"/>
        <v>-6.7796610169491523E-3</v>
      </c>
      <c r="L107" s="94">
        <f>IF(ISNUMBER(J107), $B118 * K107, "")</f>
        <v>-1016.9491525423729</v>
      </c>
      <c r="M107" s="92">
        <v>292</v>
      </c>
      <c r="N107" s="25">
        <f t="shared" si="53"/>
        <v>-1.0169491525423728E-2</v>
      </c>
      <c r="O107" s="94">
        <f>IF(ISNUMBER(M107), $B118 * N107, "")</f>
        <v>-1525.4237288135591</v>
      </c>
      <c r="Q107" s="147"/>
      <c r="R107" s="148"/>
      <c r="S107" s="149"/>
    </row>
    <row r="108" spans="1:19">
      <c r="A108" s="107" t="s">
        <v>183</v>
      </c>
      <c r="B108" s="108">
        <v>114</v>
      </c>
      <c r="C108" s="69">
        <v>8.8495575000000007E-3</v>
      </c>
      <c r="D108" s="13">
        <v>115</v>
      </c>
      <c r="E108" s="14">
        <f>IF(ISNUMBER(D108), (D108 - $B108) / $B108, "")</f>
        <v>8.771929824561403E-3</v>
      </c>
      <c r="F108" s="16">
        <f>IF(ISNUMBER(D108), $B118 * E108, "")</f>
        <v>1315.7894736842104</v>
      </c>
      <c r="G108" s="29">
        <v>114</v>
      </c>
      <c r="H108" s="14">
        <f>IF(ISNUMBER(G108), (G108 - $B108) / $B108, "")</f>
        <v>0</v>
      </c>
      <c r="I108" s="90">
        <f>IF(ISNUMBER(G108), $B118 * H108, "")</f>
        <v>0</v>
      </c>
      <c r="J108" s="13">
        <v>114</v>
      </c>
      <c r="K108" s="14">
        <f>IF(ISNUMBER(J108), (J108 - $B108) / $B108, "")</f>
        <v>0</v>
      </c>
      <c r="L108" s="16">
        <f>IF(ISNUMBER(J108), $B118 * K108, "")</f>
        <v>0</v>
      </c>
      <c r="M108" s="29">
        <v>114</v>
      </c>
      <c r="N108" s="14">
        <f>IF(ISNUMBER(M108), (M108 - $B108) / $B108, "")</f>
        <v>0</v>
      </c>
      <c r="O108" s="16">
        <f>IF(ISNUMBER(M108), $B118 * N108, "")</f>
        <v>0</v>
      </c>
      <c r="Q108" s="150"/>
      <c r="R108" s="151"/>
      <c r="S108" s="152"/>
    </row>
    <row r="109" spans="1:19" ht="17.25" thickBot="1">
      <c r="A109" s="109" t="s">
        <v>321</v>
      </c>
      <c r="B109" s="110">
        <v>150</v>
      </c>
      <c r="C109" s="70">
        <v>6.7114093999999999E-3</v>
      </c>
      <c r="D109" s="15">
        <v>151</v>
      </c>
      <c r="E109" s="32">
        <f t="shared" ref="E109:E112" si="54">IF(ISNUMBER(D109), (D109 - $B109) / $B109, "")</f>
        <v>6.6666666666666671E-3</v>
      </c>
      <c r="F109" s="18">
        <f>IF(ISNUMBER(D109), $B118 * E109, "")</f>
        <v>1000.0000000000001</v>
      </c>
      <c r="G109" s="31">
        <v>151</v>
      </c>
      <c r="H109" s="32">
        <f t="shared" ref="H109:H112" si="55">IF(ISNUMBER(G109), (G109 - $B109) / $B109, "")</f>
        <v>6.6666666666666671E-3</v>
      </c>
      <c r="I109" s="91">
        <f>IF(ISNUMBER(G109), $B118 * H109, "")</f>
        <v>1000.0000000000001</v>
      </c>
      <c r="J109" s="15">
        <v>151</v>
      </c>
      <c r="K109" s="32">
        <f t="shared" ref="K109:K112" si="56">IF(ISNUMBER(J109), (J109 - $B109) / $B109, "")</f>
        <v>6.6666666666666671E-3</v>
      </c>
      <c r="L109" s="18">
        <f>IF(ISNUMBER(J109), $B118 * K109, "")</f>
        <v>1000.0000000000001</v>
      </c>
      <c r="M109" s="31">
        <v>150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153"/>
      <c r="R109" s="154"/>
      <c r="S109" s="155"/>
    </row>
    <row r="110" spans="1:19" ht="17.25" thickBot="1">
      <c r="A110" s="109" t="s">
        <v>103</v>
      </c>
      <c r="B110" s="110">
        <v>190</v>
      </c>
      <c r="C110" s="70">
        <v>5.2910053000000002E-3</v>
      </c>
      <c r="D110" s="15">
        <v>189</v>
      </c>
      <c r="E110" s="32">
        <f t="shared" si="54"/>
        <v>-5.263157894736842E-3</v>
      </c>
      <c r="F110" s="18">
        <f>IF(ISNUMBER(D110), $B118 * E110, "")</f>
        <v>-789.47368421052624</v>
      </c>
      <c r="G110" s="31">
        <v>190</v>
      </c>
      <c r="H110" s="32">
        <f t="shared" si="55"/>
        <v>0</v>
      </c>
      <c r="I110" s="91">
        <f>IF(ISNUMBER(G110), $B118 * H110, "")</f>
        <v>0</v>
      </c>
      <c r="J110" s="15">
        <v>190</v>
      </c>
      <c r="K110" s="32">
        <f t="shared" si="56"/>
        <v>0</v>
      </c>
      <c r="L110" s="18">
        <f>IF(ISNUMBER(J110), $B118 * K110, "")</f>
        <v>0</v>
      </c>
      <c r="M110" s="31">
        <v>190</v>
      </c>
      <c r="N110" s="32">
        <f t="shared" si="57"/>
        <v>0</v>
      </c>
      <c r="O110" s="18">
        <f>IF(ISNUMBER(M110), $B118 * N110, "")</f>
        <v>0</v>
      </c>
      <c r="Q110" s="146"/>
      <c r="R110" s="146"/>
      <c r="S110" s="146"/>
    </row>
    <row r="111" spans="1:19" ht="17.25" thickBot="1">
      <c r="A111" s="109" t="s">
        <v>138</v>
      </c>
      <c r="B111" s="110">
        <v>19.7</v>
      </c>
      <c r="C111" s="70">
        <v>5.1020407999999998E-3</v>
      </c>
      <c r="D111" s="15">
        <v>19.7</v>
      </c>
      <c r="E111" s="32">
        <f t="shared" si="54"/>
        <v>0</v>
      </c>
      <c r="F111" s="18">
        <f>IF(ISNUMBER(D111), $B118 * E111, "")</f>
        <v>0</v>
      </c>
      <c r="G111" s="31">
        <v>19.7</v>
      </c>
      <c r="H111" s="32">
        <f t="shared" si="55"/>
        <v>0</v>
      </c>
      <c r="I111" s="91">
        <f>IF(ISNUMBER(G111), $B118 * H111, "")</f>
        <v>0</v>
      </c>
      <c r="J111" s="15">
        <v>19.7</v>
      </c>
      <c r="K111" s="32">
        <f t="shared" si="56"/>
        <v>0</v>
      </c>
      <c r="L111" s="18">
        <f>IF(ISNUMBER(J111), $B118 * K111, "")</f>
        <v>0</v>
      </c>
      <c r="M111" s="31">
        <v>19.8</v>
      </c>
      <c r="N111" s="32">
        <f t="shared" si="57"/>
        <v>5.0761421319797679E-3</v>
      </c>
      <c r="O111" s="18">
        <f>IF(ISNUMBER(M111), $B118 * N111, "")</f>
        <v>761.42131979696524</v>
      </c>
      <c r="Q111" s="156"/>
      <c r="R111" s="156"/>
      <c r="S111" s="156"/>
    </row>
    <row r="112" spans="1:19" ht="17.25" thickBot="1">
      <c r="A112" s="111" t="s">
        <v>213</v>
      </c>
      <c r="B112" s="112">
        <v>400</v>
      </c>
      <c r="C112" s="71">
        <v>5.0251256000000003E-3</v>
      </c>
      <c r="D112" s="20">
        <v>404</v>
      </c>
      <c r="E112" s="21">
        <f t="shared" si="54"/>
        <v>0.01</v>
      </c>
      <c r="F112" s="22">
        <f>IF(ISNUMBER(D112), $B118 * E112, "")</f>
        <v>1500</v>
      </c>
      <c r="G112" s="30">
        <v>404</v>
      </c>
      <c r="H112" s="21">
        <f t="shared" si="55"/>
        <v>0.01</v>
      </c>
      <c r="I112" s="95">
        <f>IF(ISNUMBER(G112), $B118 * H112, "")</f>
        <v>1500</v>
      </c>
      <c r="J112" s="20">
        <v>404</v>
      </c>
      <c r="K112" s="21">
        <f t="shared" si="56"/>
        <v>0.01</v>
      </c>
      <c r="L112" s="22">
        <f>IF(ISNUMBER(J112), $B118 * K112, "")</f>
        <v>1500</v>
      </c>
      <c r="M112" s="30">
        <v>404</v>
      </c>
      <c r="N112" s="21">
        <f t="shared" si="57"/>
        <v>0.01</v>
      </c>
      <c r="O112" s="22">
        <f>IF(ISNUMBER(M112), $B118 * N112, "")</f>
        <v>1500</v>
      </c>
      <c r="Q112" s="156"/>
      <c r="R112" s="156"/>
      <c r="S112" s="156"/>
    </row>
    <row r="113" spans="1:19" ht="17.25" thickBot="1">
      <c r="A113" s="109" t="s">
        <v>239</v>
      </c>
      <c r="B113" s="113">
        <v>408</v>
      </c>
      <c r="C113" s="73">
        <v>4.9261084000000004E-3</v>
      </c>
      <c r="D113" s="96">
        <v>406</v>
      </c>
      <c r="E113" s="97">
        <f>IF(ISNUMBER(D113), (D113 - $B113) / $B113, "")</f>
        <v>-4.9019607843137254E-3</v>
      </c>
      <c r="F113" s="98">
        <f>IF(ISNUMBER(D113), $B118 * E113, "")</f>
        <v>-735.29411764705878</v>
      </c>
      <c r="G113" s="99">
        <v>409</v>
      </c>
      <c r="H113" s="97">
        <f>IF(ISNUMBER(G113), (G113 - $B113) / $B113, "")</f>
        <v>2.4509803921568627E-3</v>
      </c>
      <c r="I113" s="100">
        <f>IF(ISNUMBER(G113), $B118 * H113, "")</f>
        <v>367.64705882352939</v>
      </c>
      <c r="J113" s="96">
        <v>409</v>
      </c>
      <c r="K113" s="97">
        <f>IF(ISNUMBER(J113), (J113 - $B113) / $B113, "")</f>
        <v>2.4509803921568627E-3</v>
      </c>
      <c r="L113" s="98">
        <f>IF(ISNUMBER(J113), $B118 * K113, "")</f>
        <v>367.64705882352939</v>
      </c>
      <c r="M113" s="99">
        <v>408</v>
      </c>
      <c r="N113" s="97">
        <f>IF(ISNUMBER(M113), (M113 - $B113) / $B113, "")</f>
        <v>0</v>
      </c>
      <c r="O113" s="98">
        <f>IF(ISNUMBER(M113), $B118 * N113, "")</f>
        <v>0</v>
      </c>
      <c r="Q113" s="146"/>
      <c r="R113" s="146"/>
      <c r="S113" s="146"/>
    </row>
    <row r="114" spans="1:19" ht="17.25" thickBot="1">
      <c r="A114" s="109" t="s">
        <v>169</v>
      </c>
      <c r="B114" s="110">
        <v>216</v>
      </c>
      <c r="C114" s="70">
        <v>4.6511627999999998E-3</v>
      </c>
      <c r="D114" s="15">
        <v>217</v>
      </c>
      <c r="E114" s="32">
        <f t="shared" ref="E114:E117" si="58">IF(ISNUMBER(D114), (D114 - $B114) / $B114, "")</f>
        <v>4.6296296296296294E-3</v>
      </c>
      <c r="F114" s="18">
        <f>IF(ISNUMBER(D114), $B118 * E114, "")</f>
        <v>694.44444444444446</v>
      </c>
      <c r="G114" s="31">
        <v>216</v>
      </c>
      <c r="H114" s="32">
        <f t="shared" ref="H114:H117" si="59">IF(ISNUMBER(G114), (G114 - $B114) / $B114, "")</f>
        <v>0</v>
      </c>
      <c r="I114" s="91">
        <f>IF(ISNUMBER(G114), $B118 * H114, "")</f>
        <v>0</v>
      </c>
      <c r="J114" s="15">
        <v>216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218</v>
      </c>
      <c r="N114" s="32">
        <f t="shared" ref="N114:N117" si="61">IF(ISNUMBER(M114), (M114 - $B114) / $B114, "")</f>
        <v>9.2592592592592587E-3</v>
      </c>
      <c r="O114" s="18">
        <f>IF(ISNUMBER(M114), $B118 * N114, "")</f>
        <v>1388.8888888888889</v>
      </c>
      <c r="Q114" s="146"/>
      <c r="R114" s="146"/>
      <c r="S114" s="146"/>
    </row>
    <row r="115" spans="1:19" ht="17.25" thickBot="1">
      <c r="A115" s="109" t="s">
        <v>145</v>
      </c>
      <c r="B115" s="110">
        <v>69.8</v>
      </c>
      <c r="C115" s="70">
        <v>4.3165468000000004E-3</v>
      </c>
      <c r="D115" s="15">
        <v>69.7</v>
      </c>
      <c r="E115" s="32">
        <f t="shared" si="58"/>
        <v>-1.43266475644691E-3</v>
      </c>
      <c r="F115" s="18">
        <f>IF(ISNUMBER(D115), $B118 * E115, "")</f>
        <v>-214.89971346703652</v>
      </c>
      <c r="G115" s="31">
        <v>69.599999999999994</v>
      </c>
      <c r="H115" s="32">
        <f t="shared" si="59"/>
        <v>-2.8653295128940235E-3</v>
      </c>
      <c r="I115" s="91">
        <f>IF(ISNUMBER(G115), $B118 * H115, "")</f>
        <v>-429.79942693410351</v>
      </c>
      <c r="J115" s="15">
        <v>69.599999999999994</v>
      </c>
      <c r="K115" s="32">
        <f t="shared" si="60"/>
        <v>-2.8653295128940235E-3</v>
      </c>
      <c r="L115" s="18">
        <f>IF(ISNUMBER(J115), $B118 * K115, "")</f>
        <v>-429.79942693410351</v>
      </c>
      <c r="M115" s="31">
        <v>69.7</v>
      </c>
      <c r="N115" s="32">
        <f t="shared" si="61"/>
        <v>-1.43266475644691E-3</v>
      </c>
      <c r="O115" s="18">
        <f>IF(ISNUMBER(M115), $B118 * N115, "")</f>
        <v>-214.89971346703652</v>
      </c>
      <c r="Q115" s="146"/>
      <c r="R115" s="146"/>
      <c r="S115" s="146"/>
    </row>
    <row r="116" spans="1:19">
      <c r="A116" s="109" t="s">
        <v>155</v>
      </c>
      <c r="B116" s="110">
        <v>23.9</v>
      </c>
      <c r="C116" s="70">
        <v>4.2016807E-3</v>
      </c>
      <c r="D116" s="15">
        <v>23.7</v>
      </c>
      <c r="E116" s="32">
        <f t="shared" si="58"/>
        <v>-8.3682008368200552E-3</v>
      </c>
      <c r="F116" s="18">
        <f>IF(ISNUMBER(D116), $B118 * E116, "")</f>
        <v>-1255.2301255230084</v>
      </c>
      <c r="G116" s="31">
        <v>23.9</v>
      </c>
      <c r="H116" s="32">
        <f t="shared" si="59"/>
        <v>0</v>
      </c>
      <c r="I116" s="91">
        <f>IF(ISNUMBER(G116), $B118 * H116, "")</f>
        <v>0</v>
      </c>
      <c r="J116" s="15">
        <v>23.9</v>
      </c>
      <c r="K116" s="32">
        <f t="shared" si="60"/>
        <v>0</v>
      </c>
      <c r="L116" s="18">
        <f>IF(ISNUMBER(J116), $B118 * K116, "")</f>
        <v>0</v>
      </c>
      <c r="M116" s="31">
        <v>23.9</v>
      </c>
      <c r="N116" s="32">
        <f t="shared" si="61"/>
        <v>0</v>
      </c>
      <c r="O116" s="18">
        <f>IF(ISNUMBER(M116), $B118 * N116, "")</f>
        <v>0</v>
      </c>
      <c r="Q116" s="135"/>
      <c r="R116" s="136"/>
      <c r="S116" s="137"/>
    </row>
    <row r="117" spans="1:19" ht="17.25" thickBot="1">
      <c r="A117" s="114" t="s">
        <v>323</v>
      </c>
      <c r="B117" s="115">
        <v>2.7799999999999998E-2</v>
      </c>
      <c r="C117" s="72">
        <v>3.6101083E-3</v>
      </c>
      <c r="D117" s="24">
        <v>2.8000000000000001E-2</v>
      </c>
      <c r="E117" s="25">
        <f t="shared" si="58"/>
        <v>7.1942446043166287E-3</v>
      </c>
      <c r="F117" s="94">
        <f>IF(ISNUMBER(D117), $B118 * E117, "")</f>
        <v>1079.1366906474943</v>
      </c>
      <c r="G117" s="92">
        <v>2.7799999999999998E-2</v>
      </c>
      <c r="H117" s="25">
        <f t="shared" si="59"/>
        <v>0</v>
      </c>
      <c r="I117" s="93">
        <f>IF(ISNUMBER(G117), $B118 * H117, "")</f>
        <v>0</v>
      </c>
      <c r="J117" s="24">
        <v>2.7799999999999998E-2</v>
      </c>
      <c r="K117" s="25">
        <f t="shared" si="60"/>
        <v>0</v>
      </c>
      <c r="L117" s="94">
        <f>IF(ISNUMBER(J117), $B118 * K117, "")</f>
        <v>0</v>
      </c>
      <c r="M117" s="92">
        <v>2.81E-2</v>
      </c>
      <c r="N117" s="25">
        <f t="shared" si="61"/>
        <v>1.079136690647488E-2</v>
      </c>
      <c r="O117" s="94">
        <f>IF(ISNUMBER(M117), $B118 * N117, "")</f>
        <v>1618.7050359712321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1.1785761219938247E-3</v>
      </c>
      <c r="F118" s="28">
        <f>SUM(F98:F117)</f>
        <v>3535.7283659814739</v>
      </c>
      <c r="G118" s="26" t="s">
        <v>258</v>
      </c>
      <c r="H118" s="27">
        <f>IF(COUNT(H98:H117), SUM(H98:H117) / COUNT(H98:H117), 0)</f>
        <v>1.6953691108233374E-3</v>
      </c>
      <c r="I118" s="28">
        <f>SUM(I98:I117)</f>
        <v>5086.1073324700119</v>
      </c>
      <c r="J118" s="26" t="s">
        <v>258</v>
      </c>
      <c r="K118" s="27">
        <f>IF(COUNT(K98:K117), SUM(K98:K117) / COUNT(K98:K117), 0)</f>
        <v>1.6953691108233374E-3</v>
      </c>
      <c r="L118" s="28">
        <f>SUM(L98:L117)</f>
        <v>5086.1073324700119</v>
      </c>
      <c r="M118" s="26" t="s">
        <v>258</v>
      </c>
      <c r="N118" s="27">
        <f>IF(COUNT(N98:N117), SUM(N98:N117) / COUNT(N98:N117), 0)</f>
        <v>-2.2212320029664553E-3</v>
      </c>
      <c r="O118" s="28">
        <f>SUM(O98:O117)</f>
        <v>-6663.6960088993601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21539000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1.0224474E-3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2023-01-01(일) 오전 00:00</v>
      </c>
      <c r="C123" s="198"/>
      <c r="D123" s="170" t="str">
        <f>TEXT($G$1, "[$-ko-KR]yyyy-mm-dd(ddd) ") &amp; "오후 14:00"</f>
        <v>2023-01-01(일) 오후 14:00</v>
      </c>
      <c r="E123" s="171"/>
      <c r="F123" s="172"/>
      <c r="G123" s="170" t="str">
        <f>TEXT($G$1, "[$-ko-KR]yyyy-mm-dd(ddd) ") &amp; "오후 19:00"</f>
        <v>2023-01-01(일) 오후 19:00</v>
      </c>
      <c r="H123" s="171"/>
      <c r="I123" s="172"/>
      <c r="J123" s="170" t="str">
        <f>TEXT($G$1, "[$-ko-KR]yyyy-mm-dd(ddd) ") &amp; "오후 21:00"</f>
        <v>2023-01-01(일) 오후 21:00</v>
      </c>
      <c r="K123" s="171"/>
      <c r="L123" s="172"/>
      <c r="M123" s="170" t="str">
        <f>TEXT($G$1+1, "[$-ko-KR]yyyy-mm-dd(ddd) ") &amp; "오전 00:00"</f>
        <v>2023-01-02(월)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217</v>
      </c>
      <c r="B125" s="108">
        <v>53.1</v>
      </c>
      <c r="C125" s="69">
        <v>-1.8796991999999999E-3</v>
      </c>
      <c r="D125" s="13">
        <v>53</v>
      </c>
      <c r="E125" s="14">
        <f>IF(ISNUMBER(D125), (D125 - $B125) / $B125, "")</f>
        <v>-1.8832391713747914E-3</v>
      </c>
      <c r="F125" s="16">
        <f>IF(ISNUMBER(D125), $B145 * E125, "")</f>
        <v>-282.48587570621874</v>
      </c>
      <c r="G125" s="29">
        <v>53.2</v>
      </c>
      <c r="H125" s="14">
        <f>IF(ISNUMBER(G125), (G125 - $B125) / $B125, "")</f>
        <v>1.8832391713747914E-3</v>
      </c>
      <c r="I125" s="90">
        <f>IF(ISNUMBER(G125), $B145 * H125, "")</f>
        <v>282.48587570621874</v>
      </c>
      <c r="J125" s="13">
        <v>53.2</v>
      </c>
      <c r="K125" s="14">
        <f>IF(ISNUMBER(J125), (J125 - $B125) / $B125, "")</f>
        <v>1.8832391713747914E-3</v>
      </c>
      <c r="L125" s="16">
        <f>IF(ISNUMBER(J125), $B145 * K125, "")</f>
        <v>282.48587570621874</v>
      </c>
      <c r="M125" s="29">
        <v>53.3</v>
      </c>
      <c r="N125" s="14">
        <f>IF(ISNUMBER(M125), (M125 - $B125) / $B125, "")</f>
        <v>3.7664783427494488E-3</v>
      </c>
      <c r="O125" s="16">
        <f>IF(ISNUMBER(M125), $B145 * N125, "")</f>
        <v>564.97175141241735</v>
      </c>
      <c r="Q125" s="156"/>
      <c r="R125" s="156"/>
      <c r="S125" s="156"/>
    </row>
    <row r="126" spans="1:19" ht="17.25" thickBot="1">
      <c r="A126" s="109" t="s">
        <v>51</v>
      </c>
      <c r="B126" s="110">
        <v>90.4</v>
      </c>
      <c r="C126" s="70">
        <v>-2.2075055E-3</v>
      </c>
      <c r="D126" s="15">
        <v>90.6</v>
      </c>
      <c r="E126" s="32">
        <f t="shared" ref="E126:E129" si="62">IF(ISNUMBER(D126), (D126 - $B126) / $B126, "")</f>
        <v>2.2123893805308477E-3</v>
      </c>
      <c r="F126" s="18">
        <f>IF(ISNUMBER(D126), $B145 * E126, "")</f>
        <v>331.85840707962717</v>
      </c>
      <c r="G126" s="31">
        <v>91.3</v>
      </c>
      <c r="H126" s="32">
        <f t="shared" ref="H126:H129" si="63">IF(ISNUMBER(G126), (G126 - $B126) / $B126, "")</f>
        <v>9.955752212389285E-3</v>
      </c>
      <c r="I126" s="91">
        <f>IF(ISNUMBER(G126), $B145 * H126, "")</f>
        <v>1493.3628318583928</v>
      </c>
      <c r="J126" s="15">
        <v>91.3</v>
      </c>
      <c r="K126" s="32">
        <f t="shared" ref="K126:K129" si="64">IF(ISNUMBER(J126), (J126 - $B126) / $B126, "")</f>
        <v>9.955752212389285E-3</v>
      </c>
      <c r="L126" s="18">
        <f>IF(ISNUMBER(J126), $B145 * K126, "")</f>
        <v>1493.3628318583928</v>
      </c>
      <c r="M126" s="31">
        <v>91.4</v>
      </c>
      <c r="N126" s="32">
        <f t="shared" ref="N126:N129" si="65">IF(ISNUMBER(M126), (M126 - $B126) / $B126, "")</f>
        <v>1.1061946902654867E-2</v>
      </c>
      <c r="O126" s="18">
        <f>IF(ISNUMBER(M126), $B145 * N126, "")</f>
        <v>1659.2920353982302</v>
      </c>
      <c r="Q126" s="156"/>
      <c r="R126" s="156"/>
      <c r="S126" s="156"/>
    </row>
    <row r="127" spans="1:19" ht="17.25" thickBot="1">
      <c r="A127" s="109" t="s">
        <v>64</v>
      </c>
      <c r="B127" s="110">
        <v>8.56</v>
      </c>
      <c r="C127" s="70">
        <v>-2.3310023000000001E-3</v>
      </c>
      <c r="D127" s="15">
        <v>8.57</v>
      </c>
      <c r="E127" s="32">
        <f t="shared" si="62"/>
        <v>1.1682242990653955E-3</v>
      </c>
      <c r="F127" s="18">
        <f>IF(ISNUMBER(D127), $B145 * E127, "")</f>
        <v>175.23364485980932</v>
      </c>
      <c r="G127" s="31">
        <v>8.59</v>
      </c>
      <c r="H127" s="32">
        <f t="shared" si="63"/>
        <v>3.5046728971961866E-3</v>
      </c>
      <c r="I127" s="91">
        <f>IF(ISNUMBER(G127), $B145 * H127, "")</f>
        <v>525.70093457942801</v>
      </c>
      <c r="J127" s="15">
        <v>8.59</v>
      </c>
      <c r="K127" s="32">
        <f t="shared" si="64"/>
        <v>3.5046728971961866E-3</v>
      </c>
      <c r="L127" s="18">
        <f>IF(ISNUMBER(J127), $B145 * K127, "")</f>
        <v>525.70093457942801</v>
      </c>
      <c r="M127" s="31">
        <v>8.6300000000000008</v>
      </c>
      <c r="N127" s="32">
        <f t="shared" si="65"/>
        <v>8.1775700934579761E-3</v>
      </c>
      <c r="O127" s="18">
        <f>IF(ISNUMBER(M127), $B145 * N127, "")</f>
        <v>1226.6355140186963</v>
      </c>
      <c r="Q127" s="146"/>
      <c r="R127" s="146"/>
      <c r="S127" s="146"/>
    </row>
    <row r="128" spans="1:19" ht="17.25" thickBot="1">
      <c r="A128" s="109" t="s">
        <v>181</v>
      </c>
      <c r="B128" s="110">
        <v>3.83</v>
      </c>
      <c r="C128" s="70">
        <v>-2.6041667E-3</v>
      </c>
      <c r="D128" s="15">
        <v>3.82</v>
      </c>
      <c r="E128" s="32">
        <f t="shared" si="62"/>
        <v>-2.6109660574413136E-3</v>
      </c>
      <c r="F128" s="18">
        <f>IF(ISNUMBER(D128), $B145 * E128, "")</f>
        <v>-391.64490861619703</v>
      </c>
      <c r="G128" s="31">
        <v>3.84</v>
      </c>
      <c r="H128" s="32">
        <f t="shared" si="63"/>
        <v>2.6109660574411974E-3</v>
      </c>
      <c r="I128" s="91">
        <f>IF(ISNUMBER(G128), $B145 * H128, "")</f>
        <v>391.64490861617958</v>
      </c>
      <c r="J128" s="15">
        <v>3.84</v>
      </c>
      <c r="K128" s="32">
        <f t="shared" si="64"/>
        <v>2.6109660574411974E-3</v>
      </c>
      <c r="L128" s="18">
        <f>IF(ISNUMBER(J128), $B145 * K128, "")</f>
        <v>391.64490861617958</v>
      </c>
      <c r="M128" s="31">
        <v>3.83</v>
      </c>
      <c r="N128" s="32">
        <f t="shared" si="65"/>
        <v>0</v>
      </c>
      <c r="O128" s="18">
        <f>IF(ISNUMBER(M128), $B145 * N128, "")</f>
        <v>0</v>
      </c>
      <c r="Q128" s="146"/>
      <c r="R128" s="146"/>
      <c r="S128" s="146"/>
    </row>
    <row r="129" spans="1:19" ht="17.25" thickBot="1">
      <c r="A129" s="111" t="s">
        <v>124</v>
      </c>
      <c r="B129" s="112">
        <v>26.7</v>
      </c>
      <c r="C129" s="71">
        <v>-3.7313432999999999E-3</v>
      </c>
      <c r="D129" s="20">
        <v>26.9</v>
      </c>
      <c r="E129" s="21">
        <f t="shared" si="62"/>
        <v>7.4906367041198234E-3</v>
      </c>
      <c r="F129" s="22">
        <f>IF(ISNUMBER(D129), $B145 * E129, "")</f>
        <v>1123.5955056179735</v>
      </c>
      <c r="G129" s="30">
        <v>26.9</v>
      </c>
      <c r="H129" s="21">
        <f t="shared" si="63"/>
        <v>7.4906367041198234E-3</v>
      </c>
      <c r="I129" s="95">
        <f>IF(ISNUMBER(G129), $B145 * H129, "")</f>
        <v>1123.5955056179735</v>
      </c>
      <c r="J129" s="20">
        <v>26.9</v>
      </c>
      <c r="K129" s="21">
        <f t="shared" si="64"/>
        <v>7.4906367041198234E-3</v>
      </c>
      <c r="L129" s="22">
        <f>IF(ISNUMBER(J129), $B145 * K129, "")</f>
        <v>1123.5955056179735</v>
      </c>
      <c r="M129" s="30">
        <v>26.8</v>
      </c>
      <c r="N129" s="21">
        <f t="shared" si="65"/>
        <v>3.7453183520599785E-3</v>
      </c>
      <c r="O129" s="22">
        <f>IF(ISNUMBER(M129), $B145 * N129, "")</f>
        <v>561.79775280899673</v>
      </c>
      <c r="Q129" s="146"/>
      <c r="R129" s="146"/>
      <c r="S129" s="146"/>
    </row>
    <row r="130" spans="1:19" ht="17.25" thickBot="1">
      <c r="A130" s="109" t="s">
        <v>237</v>
      </c>
      <c r="B130" s="113">
        <v>25.3</v>
      </c>
      <c r="C130" s="73">
        <v>-3.9370079000000001E-3</v>
      </c>
      <c r="D130" s="96">
        <v>25.1</v>
      </c>
      <c r="E130" s="97">
        <f>IF(ISNUMBER(D130), (D130 - $B130) / $B130, "")</f>
        <v>-7.9051383399209203E-3</v>
      </c>
      <c r="F130" s="98">
        <f>IF(ISNUMBER(D130), $B145 * E130, "")</f>
        <v>-1185.7707509881382</v>
      </c>
      <c r="G130" s="99">
        <v>25.1</v>
      </c>
      <c r="H130" s="97">
        <f>IF(ISNUMBER(G130), (G130 - $B130) / $B130, "")</f>
        <v>-7.9051383399209203E-3</v>
      </c>
      <c r="I130" s="100">
        <f>IF(ISNUMBER(G130), $B145 * H130, "")</f>
        <v>-1185.7707509881382</v>
      </c>
      <c r="J130" s="96">
        <v>25.1</v>
      </c>
      <c r="K130" s="97">
        <f>IF(ISNUMBER(J130), (J130 - $B130) / $B130, "")</f>
        <v>-7.9051383399209203E-3</v>
      </c>
      <c r="L130" s="98">
        <f>IF(ISNUMBER(J130), $B145 * K130, "")</f>
        <v>-1185.7707509881382</v>
      </c>
      <c r="M130" s="99">
        <v>25.2</v>
      </c>
      <c r="N130" s="97">
        <f>IF(ISNUMBER(M130), (M130 - $B130) / $B130, "")</f>
        <v>-3.9525691699605304E-3</v>
      </c>
      <c r="O130" s="98">
        <f>IF(ISNUMBER(M130), $B145 * N130, "")</f>
        <v>-592.88537549407954</v>
      </c>
      <c r="Q130" s="146"/>
      <c r="R130" s="146"/>
      <c r="S130" s="146"/>
    </row>
    <row r="131" spans="1:19" ht="17.25" thickBot="1">
      <c r="A131" s="109" t="s">
        <v>126</v>
      </c>
      <c r="B131" s="110">
        <v>20.100000000000001</v>
      </c>
      <c r="C131" s="70">
        <v>-4.9504950000000001E-3</v>
      </c>
      <c r="D131" s="15">
        <v>20.100000000000001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20.100000000000001</v>
      </c>
      <c r="H131" s="32">
        <f t="shared" ref="H131:H134" si="67">IF(ISNUMBER(G131), (G131 - $B131) / $B131, "")</f>
        <v>0</v>
      </c>
      <c r="I131" s="91">
        <f>IF(ISNUMBER(G131), $B145 * H131, "")</f>
        <v>0</v>
      </c>
      <c r="J131" s="15">
        <v>20.100000000000001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20.2</v>
      </c>
      <c r="N131" s="32">
        <f t="shared" ref="N131:N134" si="69">IF(ISNUMBER(M131), (M131 - $B131) / $B131, "")</f>
        <v>4.975124378109346E-3</v>
      </c>
      <c r="O131" s="18">
        <f>IF(ISNUMBER(M131), $B145 * N131, "")</f>
        <v>746.26865671640189</v>
      </c>
      <c r="Q131" s="146"/>
      <c r="R131" s="146"/>
      <c r="S131" s="146"/>
    </row>
    <row r="132" spans="1:19" ht="17.25" thickBot="1">
      <c r="A132" s="109" t="s">
        <v>197</v>
      </c>
      <c r="B132" s="110">
        <v>5.43</v>
      </c>
      <c r="C132" s="70">
        <v>-5.4945055E-3</v>
      </c>
      <c r="D132" s="15">
        <v>5.45</v>
      </c>
      <c r="E132" s="32">
        <f t="shared" si="66"/>
        <v>3.6832412523021109E-3</v>
      </c>
      <c r="F132" s="18">
        <f>IF(ISNUMBER(D132), $B145 * E132, "")</f>
        <v>552.48618784531664</v>
      </c>
      <c r="G132" s="31">
        <v>5.44</v>
      </c>
      <c r="H132" s="32">
        <f t="shared" si="67"/>
        <v>1.8416206261511372E-3</v>
      </c>
      <c r="I132" s="91">
        <f>IF(ISNUMBER(G132), $B145 * H132, "")</f>
        <v>276.2430939226706</v>
      </c>
      <c r="J132" s="15">
        <v>5.44</v>
      </c>
      <c r="K132" s="32">
        <f t="shared" si="68"/>
        <v>1.8416206261511372E-3</v>
      </c>
      <c r="L132" s="18">
        <f>IF(ISNUMBER(J132), $B145 * K132, "")</f>
        <v>276.2430939226706</v>
      </c>
      <c r="M132" s="31">
        <v>5.43</v>
      </c>
      <c r="N132" s="32">
        <f t="shared" si="69"/>
        <v>0</v>
      </c>
      <c r="O132" s="18">
        <f>IF(ISNUMBER(M132), $B145 * N132, "")</f>
        <v>0</v>
      </c>
      <c r="Q132" s="146"/>
      <c r="R132" s="146"/>
      <c r="S132" s="146"/>
    </row>
    <row r="133" spans="1:19" ht="17.25" thickBot="1">
      <c r="A133" s="109" t="s">
        <v>143</v>
      </c>
      <c r="B133" s="110">
        <v>3.27</v>
      </c>
      <c r="C133" s="70">
        <v>-6.0790274E-3</v>
      </c>
      <c r="D133" s="15">
        <v>3.28</v>
      </c>
      <c r="E133" s="32">
        <f t="shared" si="66"/>
        <v>3.0581039755351032E-3</v>
      </c>
      <c r="F133" s="18">
        <f>IF(ISNUMBER(D133), $B145 * E133, "")</f>
        <v>458.7155963302655</v>
      </c>
      <c r="G133" s="31">
        <v>3.26</v>
      </c>
      <c r="H133" s="32">
        <f t="shared" si="67"/>
        <v>-3.0581039755352389E-3</v>
      </c>
      <c r="I133" s="91">
        <f>IF(ISNUMBER(G133), $B145 * H133, "")</f>
        <v>-458.71559633028585</v>
      </c>
      <c r="J133" s="15">
        <v>3.26</v>
      </c>
      <c r="K133" s="32">
        <f t="shared" si="68"/>
        <v>-3.0581039755352389E-3</v>
      </c>
      <c r="L133" s="18">
        <f>IF(ISNUMBER(J133), $B145 * K133, "")</f>
        <v>-458.71559633028585</v>
      </c>
      <c r="M133" s="31">
        <v>3.27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14" t="s">
        <v>193</v>
      </c>
      <c r="B134" s="115">
        <v>14.7</v>
      </c>
      <c r="C134" s="72">
        <v>-6.7567568000000003E-3</v>
      </c>
      <c r="D134" s="24">
        <v>14.8</v>
      </c>
      <c r="E134" s="25">
        <f t="shared" si="66"/>
        <v>6.802721088435471E-3</v>
      </c>
      <c r="F134" s="94">
        <f>IF(ISNUMBER(D134), $B145 * E134, "")</f>
        <v>1020.4081632653207</v>
      </c>
      <c r="G134" s="92">
        <v>14.8</v>
      </c>
      <c r="H134" s="25">
        <f t="shared" si="67"/>
        <v>6.802721088435471E-3</v>
      </c>
      <c r="I134" s="93">
        <f>IF(ISNUMBER(G134), $B145 * H134, "")</f>
        <v>1020.4081632653207</v>
      </c>
      <c r="J134" s="24">
        <v>14.8</v>
      </c>
      <c r="K134" s="25">
        <f t="shared" si="68"/>
        <v>6.802721088435471E-3</v>
      </c>
      <c r="L134" s="94">
        <f>IF(ISNUMBER(J134), $B145 * K134, "")</f>
        <v>1020.4081632653207</v>
      </c>
      <c r="M134" s="92">
        <v>14.8</v>
      </c>
      <c r="N134" s="25">
        <f t="shared" si="69"/>
        <v>6.802721088435471E-3</v>
      </c>
      <c r="O134" s="94">
        <f>IF(ISNUMBER(M134), $B145 * N134, "")</f>
        <v>1020.4081632653207</v>
      </c>
      <c r="Q134" s="147"/>
      <c r="R134" s="148"/>
      <c r="S134" s="149"/>
    </row>
    <row r="135" spans="1:19">
      <c r="A135" s="107" t="s">
        <v>203</v>
      </c>
      <c r="B135" s="108">
        <v>2.89</v>
      </c>
      <c r="C135" s="69">
        <v>-6.8728521999999997E-3</v>
      </c>
      <c r="D135" s="13">
        <v>2.9</v>
      </c>
      <c r="E135" s="14">
        <f>IF(ISNUMBER(D135), (D135 - $B135) / $B135, "")</f>
        <v>3.4602076124566734E-3</v>
      </c>
      <c r="F135" s="16">
        <f>IF(ISNUMBER(D135), $B145 * E135, "")</f>
        <v>519.03114186850098</v>
      </c>
      <c r="G135" s="29">
        <v>2.91</v>
      </c>
      <c r="H135" s="14">
        <f>IF(ISNUMBER(G135), (G135 - $B135) / $B135, "")</f>
        <v>6.9204152249135011E-3</v>
      </c>
      <c r="I135" s="90">
        <f>IF(ISNUMBER(G135), $B145 * H135, "")</f>
        <v>1038.0622837370252</v>
      </c>
      <c r="J135" s="13">
        <v>2.91</v>
      </c>
      <c r="K135" s="14">
        <f>IF(ISNUMBER(J135), (J135 - $B135) / $B135, "")</f>
        <v>6.9204152249135011E-3</v>
      </c>
      <c r="L135" s="16">
        <f>IF(ISNUMBER(J135), $B145 * K135, "")</f>
        <v>1038.0622837370252</v>
      </c>
      <c r="M135" s="29">
        <v>2.91</v>
      </c>
      <c r="N135" s="14">
        <f>IF(ISNUMBER(M135), (M135 - $B135) / $B135, "")</f>
        <v>6.9204152249135011E-3</v>
      </c>
      <c r="O135" s="16">
        <f>IF(ISNUMBER(M135), $B145 * N135, "")</f>
        <v>1038.0622837370252</v>
      </c>
      <c r="Q135" s="150"/>
      <c r="R135" s="151"/>
      <c r="S135" s="152"/>
    </row>
    <row r="136" spans="1:19" ht="17.25" thickBot="1">
      <c r="A136" s="109" t="s">
        <v>333</v>
      </c>
      <c r="B136" s="110">
        <v>3.92</v>
      </c>
      <c r="C136" s="70">
        <v>-7.5949366999999999E-3</v>
      </c>
      <c r="D136" s="15">
        <v>3.95</v>
      </c>
      <c r="E136" s="32">
        <f t="shared" ref="E136:E139" si="70">IF(ISNUMBER(D136), (D136 - $B136) / $B136, "")</f>
        <v>7.6530612244898599E-3</v>
      </c>
      <c r="F136" s="18">
        <f>IF(ISNUMBER(D136), $B145 * E136, "")</f>
        <v>1147.9591836734789</v>
      </c>
      <c r="G136" s="31">
        <v>3.93</v>
      </c>
      <c r="H136" s="32">
        <f t="shared" ref="H136:H139" si="71">IF(ISNUMBER(G136), (G136 - $B136) / $B136, "")</f>
        <v>2.5510204081633241E-3</v>
      </c>
      <c r="I136" s="91">
        <f>IF(ISNUMBER(G136), $B145 * H136, "")</f>
        <v>382.65306122449863</v>
      </c>
      <c r="J136" s="15">
        <v>3.93</v>
      </c>
      <c r="K136" s="32">
        <f t="shared" ref="K136:K139" si="72">IF(ISNUMBER(J136), (J136 - $B136) / $B136, "")</f>
        <v>2.5510204081633241E-3</v>
      </c>
      <c r="L136" s="18">
        <f>IF(ISNUMBER(J136), $B145 * K136, "")</f>
        <v>382.65306122449863</v>
      </c>
      <c r="M136" s="31">
        <v>3.97</v>
      </c>
      <c r="N136" s="32">
        <f t="shared" ref="N136:N139" si="73">IF(ISNUMBER(M136), (M136 - $B136) / $B136, "")</f>
        <v>1.2755102040816394E-2</v>
      </c>
      <c r="O136" s="18">
        <f>IF(ISNUMBER(M136), $B145 * N136, "")</f>
        <v>1913.2653061224592</v>
      </c>
      <c r="Q136" s="153"/>
      <c r="R136" s="154"/>
      <c r="S136" s="155"/>
    </row>
    <row r="137" spans="1:19" ht="17.25" thickBot="1">
      <c r="A137" s="109" t="s">
        <v>122</v>
      </c>
      <c r="B137" s="110">
        <v>20</v>
      </c>
      <c r="C137" s="70">
        <v>-9.9009900999999997E-3</v>
      </c>
      <c r="D137" s="15">
        <v>20</v>
      </c>
      <c r="E137" s="32">
        <f t="shared" si="70"/>
        <v>0</v>
      </c>
      <c r="F137" s="18">
        <f>IF(ISNUMBER(D137), $B145 * E137, "")</f>
        <v>0</v>
      </c>
      <c r="G137" s="31">
        <v>20.100000000000001</v>
      </c>
      <c r="H137" s="32">
        <f t="shared" si="71"/>
        <v>5.0000000000000712E-3</v>
      </c>
      <c r="I137" s="91">
        <f>IF(ISNUMBER(G137), $B145 * H137, "")</f>
        <v>750.00000000001069</v>
      </c>
      <c r="J137" s="15">
        <v>20.100000000000001</v>
      </c>
      <c r="K137" s="32">
        <f t="shared" si="72"/>
        <v>5.0000000000000712E-3</v>
      </c>
      <c r="L137" s="18">
        <f>IF(ISNUMBER(J137), $B145 * K137, "")</f>
        <v>750.00000000001069</v>
      </c>
      <c r="M137" s="31">
        <v>20.399999999999999</v>
      </c>
      <c r="N137" s="32">
        <f t="shared" si="73"/>
        <v>1.9999999999999928E-2</v>
      </c>
      <c r="O137" s="18">
        <f>IF(ISNUMBER(M137), $B145 * N137, "")</f>
        <v>2999.9999999999891</v>
      </c>
      <c r="Q137" s="146"/>
      <c r="R137" s="146"/>
      <c r="S137" s="146"/>
    </row>
    <row r="138" spans="1:19" ht="17.25" thickBot="1">
      <c r="A138" s="109" t="s">
        <v>56</v>
      </c>
      <c r="B138" s="110">
        <v>36.1</v>
      </c>
      <c r="C138" s="70">
        <v>-1.09589041E-2</v>
      </c>
      <c r="D138" s="15">
        <v>36.200000000000003</v>
      </c>
      <c r="E138" s="32">
        <f t="shared" si="70"/>
        <v>2.7700831024931143E-3</v>
      </c>
      <c r="F138" s="18">
        <f>IF(ISNUMBER(D138), $B145 * E138, "")</f>
        <v>415.51246537396713</v>
      </c>
      <c r="G138" s="31">
        <v>36.299999999999997</v>
      </c>
      <c r="H138" s="32">
        <f t="shared" si="71"/>
        <v>5.5401662049860316E-3</v>
      </c>
      <c r="I138" s="91">
        <f>IF(ISNUMBER(G138), $B145 * H138, "")</f>
        <v>831.0249307479047</v>
      </c>
      <c r="J138" s="15">
        <v>36.299999999999997</v>
      </c>
      <c r="K138" s="32">
        <f t="shared" si="72"/>
        <v>5.5401662049860316E-3</v>
      </c>
      <c r="L138" s="18">
        <f>IF(ISNUMBER(J138), $B145 * K138, "")</f>
        <v>831.0249307479047</v>
      </c>
      <c r="M138" s="31">
        <v>36.700000000000003</v>
      </c>
      <c r="N138" s="32">
        <f t="shared" si="73"/>
        <v>1.6620498614958488E-2</v>
      </c>
      <c r="O138" s="18">
        <f>IF(ISNUMBER(M138), $B145 * N138, "")</f>
        <v>2493.0747922437731</v>
      </c>
      <c r="Q138" s="156"/>
      <c r="R138" s="156"/>
      <c r="S138" s="156"/>
    </row>
    <row r="139" spans="1:19" ht="17.25" thickBot="1">
      <c r="A139" s="111" t="s">
        <v>253</v>
      </c>
      <c r="B139" s="112">
        <v>88.3</v>
      </c>
      <c r="C139" s="71">
        <v>-1.23042506E-2</v>
      </c>
      <c r="D139" s="20">
        <v>88.7</v>
      </c>
      <c r="E139" s="21">
        <f t="shared" si="70"/>
        <v>4.5300113250283771E-3</v>
      </c>
      <c r="F139" s="22">
        <f>IF(ISNUMBER(D139), $B145 * E139, "")</f>
        <v>679.50169875425661</v>
      </c>
      <c r="G139" s="30">
        <v>88.7</v>
      </c>
      <c r="H139" s="21">
        <f t="shared" si="71"/>
        <v>4.5300113250283771E-3</v>
      </c>
      <c r="I139" s="95">
        <f>IF(ISNUMBER(G139), $B145 * H139, "")</f>
        <v>679.50169875425661</v>
      </c>
      <c r="J139" s="20">
        <v>88.7</v>
      </c>
      <c r="K139" s="21">
        <f t="shared" si="72"/>
        <v>4.5300113250283771E-3</v>
      </c>
      <c r="L139" s="22">
        <f>IF(ISNUMBER(J139), $B145 * K139, "")</f>
        <v>679.50169875425661</v>
      </c>
      <c r="M139" s="30">
        <v>88.7</v>
      </c>
      <c r="N139" s="21">
        <f t="shared" si="73"/>
        <v>4.5300113250283771E-3</v>
      </c>
      <c r="O139" s="22">
        <f>IF(ISNUMBER(M139), $B145 * N139, "")</f>
        <v>679.50169875425661</v>
      </c>
      <c r="Q139" s="156"/>
      <c r="R139" s="156"/>
      <c r="S139" s="156"/>
    </row>
    <row r="140" spans="1:19" ht="17.25" thickBot="1">
      <c r="A140" s="109" t="s">
        <v>107</v>
      </c>
      <c r="B140" s="113">
        <v>32.700000000000003</v>
      </c>
      <c r="C140" s="73">
        <v>-1.5060241E-2</v>
      </c>
      <c r="D140" s="96">
        <v>32.799999999999997</v>
      </c>
      <c r="E140" s="97">
        <f>IF(ISNUMBER(D140), (D140 - $B140) / $B140, "")</f>
        <v>3.0581039755349939E-3</v>
      </c>
      <c r="F140" s="98">
        <f>IF(ISNUMBER(D140), $B145 * E140, "")</f>
        <v>458.71559633024907</v>
      </c>
      <c r="G140" s="99">
        <v>33</v>
      </c>
      <c r="H140" s="97">
        <f>IF(ISNUMBER(G140), (G140 - $B140) / $B140, "")</f>
        <v>9.1743119266054166E-3</v>
      </c>
      <c r="I140" s="100">
        <f>IF(ISNUMBER(G140), $B145 * H140, "")</f>
        <v>1376.1467889908124</v>
      </c>
      <c r="J140" s="96">
        <v>33</v>
      </c>
      <c r="K140" s="97">
        <f>IF(ISNUMBER(J140), (J140 - $B140) / $B140, "")</f>
        <v>9.1743119266054166E-3</v>
      </c>
      <c r="L140" s="98">
        <f>IF(ISNUMBER(J140), $B145 * K140, "")</f>
        <v>1376.1467889908124</v>
      </c>
      <c r="M140" s="99">
        <v>32.9</v>
      </c>
      <c r="N140" s="97">
        <f>IF(ISNUMBER(M140), (M140 - $B140) / $B140, "")</f>
        <v>6.1162079510702055E-3</v>
      </c>
      <c r="O140" s="98">
        <f>IF(ISNUMBER(M140), $B145 * N140, "")</f>
        <v>917.43119266053077</v>
      </c>
      <c r="Q140" s="146"/>
      <c r="R140" s="146"/>
      <c r="S140" s="146"/>
    </row>
    <row r="141" spans="1:19" ht="17.25" thickBot="1">
      <c r="A141" s="109" t="s">
        <v>227</v>
      </c>
      <c r="B141" s="110">
        <v>32.5</v>
      </c>
      <c r="C141" s="70">
        <v>-1.51515152E-2</v>
      </c>
      <c r="D141" s="15">
        <v>32.9</v>
      </c>
      <c r="E141" s="32">
        <f t="shared" ref="E141:E144" si="74">IF(ISNUMBER(D141), (D141 - $B141) / $B141, "")</f>
        <v>1.2307692307692264E-2</v>
      </c>
      <c r="F141" s="18">
        <f>IF(ISNUMBER(D141), $B145 * E141, "")</f>
        <v>1846.1538461538396</v>
      </c>
      <c r="G141" s="31">
        <v>32.9</v>
      </c>
      <c r="H141" s="32">
        <f t="shared" ref="H141:H144" si="75">IF(ISNUMBER(G141), (G141 - $B141) / $B141, "")</f>
        <v>1.2307692307692264E-2</v>
      </c>
      <c r="I141" s="91">
        <f>IF(ISNUMBER(G141), $B145 * H141, "")</f>
        <v>1846.1538461538396</v>
      </c>
      <c r="J141" s="15">
        <v>32.9</v>
      </c>
      <c r="K141" s="32">
        <f t="shared" ref="K141:K144" si="76">IF(ISNUMBER(J141), (J141 - $B141) / $B141, "")</f>
        <v>1.2307692307692264E-2</v>
      </c>
      <c r="L141" s="18">
        <f>IF(ISNUMBER(J141), $B145 * K141, "")</f>
        <v>1846.1538461538396</v>
      </c>
      <c r="M141" s="31">
        <v>32.700000000000003</v>
      </c>
      <c r="N141" s="32">
        <f t="shared" ref="N141:N144" si="77">IF(ISNUMBER(M141), (M141 - $B141) / $B141, "")</f>
        <v>6.1538461538462414E-3</v>
      </c>
      <c r="O141" s="18">
        <f>IF(ISNUMBER(M141), $B145 * N141, "")</f>
        <v>923.07692307693617</v>
      </c>
      <c r="Q141" s="146"/>
      <c r="R141" s="146"/>
      <c r="S141" s="146"/>
    </row>
    <row r="142" spans="1:19" ht="17.25" thickBot="1">
      <c r="A142" s="109" t="s">
        <v>221</v>
      </c>
      <c r="B142" s="110">
        <v>17.100000000000001</v>
      </c>
      <c r="C142" s="70">
        <v>-1.7241379300000002E-2</v>
      </c>
      <c r="D142" s="15">
        <v>17.2</v>
      </c>
      <c r="E142" s="32">
        <f t="shared" si="74"/>
        <v>5.8479532163741438E-3</v>
      </c>
      <c r="F142" s="18">
        <f>IF(ISNUMBER(D142), $B145 * E142, "")</f>
        <v>877.19298245612151</v>
      </c>
      <c r="G142" s="31">
        <v>17.3</v>
      </c>
      <c r="H142" s="32">
        <f t="shared" si="75"/>
        <v>1.1695906432748496E-2</v>
      </c>
      <c r="I142" s="91">
        <f>IF(ISNUMBER(G142), $B145 * H142, "")</f>
        <v>1754.3859649122744</v>
      </c>
      <c r="J142" s="15">
        <v>17.3</v>
      </c>
      <c r="K142" s="32">
        <f t="shared" si="76"/>
        <v>1.1695906432748496E-2</v>
      </c>
      <c r="L142" s="18">
        <f>IF(ISNUMBER(J142), $B145 * K142, "")</f>
        <v>1754.3859649122744</v>
      </c>
      <c r="M142" s="31">
        <v>17.2</v>
      </c>
      <c r="N142" s="32">
        <f t="shared" si="77"/>
        <v>5.8479532163741438E-3</v>
      </c>
      <c r="O142" s="18">
        <f>IF(ISNUMBER(M142), $B145 * N142, "")</f>
        <v>877.19298245612151</v>
      </c>
      <c r="Q142" s="146"/>
      <c r="R142" s="146"/>
      <c r="S142" s="146"/>
    </row>
    <row r="143" spans="1:19">
      <c r="A143" s="109" t="s">
        <v>349</v>
      </c>
      <c r="B143" s="110">
        <v>20.100000000000001</v>
      </c>
      <c r="C143" s="70">
        <v>-2.42718447E-2</v>
      </c>
      <c r="D143" s="15">
        <v>20.100000000000001</v>
      </c>
      <c r="E143" s="32">
        <f t="shared" si="74"/>
        <v>0</v>
      </c>
      <c r="F143" s="18">
        <f>IF(ISNUMBER(D143), $B145 * E143, "")</f>
        <v>0</v>
      </c>
      <c r="G143" s="31">
        <v>20.2</v>
      </c>
      <c r="H143" s="32">
        <f t="shared" si="75"/>
        <v>4.975124378109346E-3</v>
      </c>
      <c r="I143" s="91">
        <f>IF(ISNUMBER(G143), $B145 * H143, "")</f>
        <v>746.26865671640189</v>
      </c>
      <c r="J143" s="15">
        <v>20.2</v>
      </c>
      <c r="K143" s="32">
        <f t="shared" si="76"/>
        <v>4.975124378109346E-3</v>
      </c>
      <c r="L143" s="18">
        <f>IF(ISNUMBER(J143), $B145 * K143, "")</f>
        <v>746.26865671640189</v>
      </c>
      <c r="M143" s="31">
        <v>20.100000000000001</v>
      </c>
      <c r="N143" s="32">
        <f t="shared" si="77"/>
        <v>0</v>
      </c>
      <c r="O143" s="18">
        <f>IF(ISNUMBER(M143), $B145 * N143, "")</f>
        <v>0</v>
      </c>
      <c r="Q143" s="135"/>
      <c r="R143" s="136"/>
      <c r="S143" s="137"/>
    </row>
    <row r="144" spans="1:19" ht="17.25" thickBot="1">
      <c r="A144" s="114" t="s">
        <v>350</v>
      </c>
      <c r="B144" s="115">
        <v>5.47</v>
      </c>
      <c r="C144" s="72">
        <v>-3.0141844000000001E-2</v>
      </c>
      <c r="D144" s="24">
        <v>5.51</v>
      </c>
      <c r="E144" s="25">
        <f t="shared" si="74"/>
        <v>7.3126142595978131E-3</v>
      </c>
      <c r="F144" s="94">
        <f>IF(ISNUMBER(D144), $B145 * E144, "")</f>
        <v>1096.8921389396719</v>
      </c>
      <c r="G144" s="92">
        <v>5.6</v>
      </c>
      <c r="H144" s="25">
        <f t="shared" si="75"/>
        <v>2.3765996343692853E-2</v>
      </c>
      <c r="I144" s="93">
        <f>IF(ISNUMBER(G144), $B145 * H144, "")</f>
        <v>3564.899451553928</v>
      </c>
      <c r="J144" s="24">
        <v>5.6</v>
      </c>
      <c r="K144" s="25">
        <f t="shared" si="76"/>
        <v>2.3765996343692853E-2</v>
      </c>
      <c r="L144" s="94">
        <f>IF(ISNUMBER(J144), $B145 * K144, "")</f>
        <v>3564.899451553928</v>
      </c>
      <c r="M144" s="92">
        <v>5.54</v>
      </c>
      <c r="N144" s="25">
        <f t="shared" si="77"/>
        <v>1.2797074954296214E-2</v>
      </c>
      <c r="O144" s="94">
        <f>IF(ISNUMBER(M144), $B145 * N144, "")</f>
        <v>1919.561243144432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2.9477850077459481E-3</v>
      </c>
      <c r="F145" s="28">
        <f>SUM(F125:F144)</f>
        <v>8843.3550232378439</v>
      </c>
      <c r="G145" s="26" t="s">
        <v>258</v>
      </c>
      <c r="H145" s="27">
        <f>IF(COUNT(H125:H144), SUM(H125:H144) / COUNT(H125:H144), 0)</f>
        <v>5.479350549679571E-3</v>
      </c>
      <c r="I145" s="28">
        <f>SUM(I125:I144)</f>
        <v>16438.051649038713</v>
      </c>
      <c r="J145" s="26" t="s">
        <v>258</v>
      </c>
      <c r="K145" s="27">
        <f>IF(COUNT(K125:K144), SUM(K125:K144) / COUNT(K125:K144), 0)</f>
        <v>5.479350549679571E-3</v>
      </c>
      <c r="L145" s="28">
        <f>SUM(L125:L144)</f>
        <v>16438.051649038713</v>
      </c>
      <c r="M145" s="26" t="s">
        <v>258</v>
      </c>
      <c r="N145" s="27">
        <f>IF(COUNT(N125:N144), SUM(N125:N144) / COUNT(N125:N144), 0)</f>
        <v>6.3158849734405026E-3</v>
      </c>
      <c r="O145" s="28">
        <f>SUM(O125:O144)</f>
        <v>18947.654920321507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21539000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1.0224474E-3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2023-01-01(일) 오전 00:00</v>
      </c>
      <c r="C150" s="198"/>
      <c r="D150" s="170" t="str">
        <f>TEXT($G$1, "[$-ko-KR]yyyy-mm-dd(ddd) ") &amp; "오후 14:00"</f>
        <v>2023-01-01(일) 오후 14:00</v>
      </c>
      <c r="E150" s="171"/>
      <c r="F150" s="172"/>
      <c r="G150" s="170" t="str">
        <f>TEXT($G$1, "[$-ko-KR]yyyy-mm-dd(ddd) ") &amp; "오후 19:00"</f>
        <v>2023-01-01(일) 오후 19:00</v>
      </c>
      <c r="H150" s="171"/>
      <c r="I150" s="172"/>
      <c r="J150" s="170" t="str">
        <f>TEXT($G$1, "[$-ko-KR]yyyy-mm-dd(ddd) ") &amp; "오후 21:00"</f>
        <v>2023-01-01(일) 오후 21:00</v>
      </c>
      <c r="K150" s="171"/>
      <c r="L150" s="172"/>
      <c r="M150" s="170" t="str">
        <f>TEXT($G$1+1, "[$-ko-KR]yyyy-mm-dd(ddd) ") &amp; "오전 00:00"</f>
        <v>2023-01-02(월)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199</v>
      </c>
      <c r="B152" s="108">
        <v>260</v>
      </c>
      <c r="C152" s="69">
        <v>-7.6335878000000001E-3</v>
      </c>
      <c r="D152" s="13">
        <v>260</v>
      </c>
      <c r="E152" s="14">
        <f>IF(ISNUMBER(D152), (D152 - $B152) / $B152, "")</f>
        <v>0</v>
      </c>
      <c r="F152" s="16">
        <f>IF(ISNUMBER(D152), $B172 * E152, "")</f>
        <v>0</v>
      </c>
      <c r="G152" s="29">
        <v>261</v>
      </c>
      <c r="H152" s="14">
        <f>IF(ISNUMBER(G152), (G152 - $B152) / $B152, "")</f>
        <v>3.8461538461538464E-3</v>
      </c>
      <c r="I152" s="90">
        <f>IF(ISNUMBER(G152), $B172 * H152, "")</f>
        <v>576.92307692307691</v>
      </c>
      <c r="J152" s="13">
        <v>261</v>
      </c>
      <c r="K152" s="14">
        <f>IF(ISNUMBER(J152), (J152 - $B152) / $B152, "")</f>
        <v>3.8461538461538464E-3</v>
      </c>
      <c r="L152" s="16">
        <f>IF(ISNUMBER(J152), $B172 * K152, "")</f>
        <v>576.92307692307691</v>
      </c>
      <c r="M152" s="29">
        <v>263</v>
      </c>
      <c r="N152" s="14">
        <f>IF(ISNUMBER(M152), (M152 - $B152) / $B152, "")</f>
        <v>1.1538461538461539E-2</v>
      </c>
      <c r="O152" s="16">
        <f>IF(ISNUMBER(M152), $B172 * N152, "")</f>
        <v>1730.7692307692309</v>
      </c>
      <c r="Q152" s="156"/>
      <c r="R152" s="156"/>
      <c r="S152" s="156"/>
    </row>
    <row r="153" spans="1:19" ht="17.25" thickBot="1">
      <c r="A153" s="109" t="s">
        <v>229</v>
      </c>
      <c r="B153" s="110">
        <v>227</v>
      </c>
      <c r="C153" s="70">
        <v>-8.7336245000000003E-3</v>
      </c>
      <c r="D153" s="15">
        <v>226</v>
      </c>
      <c r="E153" s="32">
        <f t="shared" ref="E153:E156" si="78">IF(ISNUMBER(D153), (D153 - $B153) / $B153, "")</f>
        <v>-4.4052863436123352E-3</v>
      </c>
      <c r="F153" s="18">
        <f>IF(ISNUMBER(D153), $B172 * E153, "")</f>
        <v>-660.79295154185024</v>
      </c>
      <c r="G153" s="31">
        <v>227</v>
      </c>
      <c r="H153" s="32">
        <f t="shared" ref="H153:H156" si="79">IF(ISNUMBER(G153), (G153 - $B153) / $B153, "")</f>
        <v>0</v>
      </c>
      <c r="I153" s="91">
        <f>IF(ISNUMBER(G153), $B172 * H153, "")</f>
        <v>0</v>
      </c>
      <c r="J153" s="15">
        <v>227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226</v>
      </c>
      <c r="N153" s="32">
        <f t="shared" ref="N153:N156" si="81">IF(ISNUMBER(M153), (M153 - $B153) / $B153, "")</f>
        <v>-4.4052863436123352E-3</v>
      </c>
      <c r="O153" s="18">
        <f>IF(ISNUMBER(M153), $B172 * N153, "")</f>
        <v>-660.79295154185024</v>
      </c>
      <c r="Q153" s="156"/>
      <c r="R153" s="156"/>
      <c r="S153" s="156"/>
    </row>
    <row r="154" spans="1:19" ht="17.25" thickBot="1">
      <c r="A154" s="109" t="s">
        <v>189</v>
      </c>
      <c r="B154" s="110">
        <v>826</v>
      </c>
      <c r="C154" s="70">
        <v>-9.5923260999999996E-3</v>
      </c>
      <c r="D154" s="15">
        <v>826</v>
      </c>
      <c r="E154" s="32">
        <f t="shared" si="78"/>
        <v>0</v>
      </c>
      <c r="F154" s="18">
        <f>IF(ISNUMBER(D154), $B172 * E154, "")</f>
        <v>0</v>
      </c>
      <c r="G154" s="31">
        <v>829</v>
      </c>
      <c r="H154" s="32">
        <f t="shared" si="79"/>
        <v>3.6319612590799033E-3</v>
      </c>
      <c r="I154" s="91">
        <f>IF(ISNUMBER(G154), $B172 * H154, "")</f>
        <v>544.7941888619855</v>
      </c>
      <c r="J154" s="15">
        <v>829</v>
      </c>
      <c r="K154" s="32">
        <f t="shared" si="80"/>
        <v>3.6319612590799033E-3</v>
      </c>
      <c r="L154" s="18">
        <f>IF(ISNUMBER(J154), $B172 * K154, "")</f>
        <v>544.7941888619855</v>
      </c>
      <c r="M154" s="31">
        <v>828</v>
      </c>
      <c r="N154" s="32">
        <f t="shared" si="81"/>
        <v>2.4213075060532689E-3</v>
      </c>
      <c r="O154" s="18">
        <f>IF(ISNUMBER(M154), $B172 * N154, "")</f>
        <v>363.19612590799034</v>
      </c>
      <c r="Q154" s="146"/>
      <c r="R154" s="146"/>
      <c r="S154" s="146"/>
    </row>
    <row r="155" spans="1:19" ht="17.25" thickBot="1">
      <c r="A155" s="109" t="s">
        <v>157</v>
      </c>
      <c r="B155" s="110">
        <v>197</v>
      </c>
      <c r="C155" s="70">
        <v>-1.00502513E-2</v>
      </c>
      <c r="D155" s="15">
        <v>198</v>
      </c>
      <c r="E155" s="32">
        <f t="shared" si="78"/>
        <v>5.076142131979695E-3</v>
      </c>
      <c r="F155" s="18">
        <f>IF(ISNUMBER(D155), $B172 * E155, "")</f>
        <v>761.42131979695421</v>
      </c>
      <c r="G155" s="31">
        <v>200</v>
      </c>
      <c r="H155" s="32">
        <f t="shared" si="79"/>
        <v>1.5228426395939087E-2</v>
      </c>
      <c r="I155" s="91">
        <f>IF(ISNUMBER(G155), $B172 * H155, "")</f>
        <v>2284.263959390863</v>
      </c>
      <c r="J155" s="15">
        <v>200</v>
      </c>
      <c r="K155" s="32">
        <f t="shared" si="80"/>
        <v>1.5228426395939087E-2</v>
      </c>
      <c r="L155" s="18">
        <f>IF(ISNUMBER(J155), $B172 * K155, "")</f>
        <v>2284.263959390863</v>
      </c>
      <c r="M155" s="31">
        <v>200</v>
      </c>
      <c r="N155" s="32">
        <f t="shared" si="81"/>
        <v>1.5228426395939087E-2</v>
      </c>
      <c r="O155" s="18">
        <f>IF(ISNUMBER(M155), $B172 * N155, "")</f>
        <v>2284.263959390863</v>
      </c>
      <c r="Q155" s="146"/>
      <c r="R155" s="146"/>
      <c r="S155" s="146"/>
    </row>
    <row r="156" spans="1:19" ht="17.25" thickBot="1">
      <c r="A156" s="111" t="s">
        <v>215</v>
      </c>
      <c r="B156" s="112">
        <v>277</v>
      </c>
      <c r="C156" s="71">
        <v>-1.0714285699999999E-2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95">
        <f>IF(ISNUMBER(G156), $B172 * H156, "")</f>
        <v>541.51624548736459</v>
      </c>
      <c r="J156" s="20">
        <v>278</v>
      </c>
      <c r="K156" s="21">
        <f t="shared" si="80"/>
        <v>3.6101083032490976E-3</v>
      </c>
      <c r="L156" s="22">
        <f>IF(ISNUMBER(J156), $B172 * K156, "")</f>
        <v>541.51624548736459</v>
      </c>
      <c r="M156" s="30">
        <v>280</v>
      </c>
      <c r="N156" s="21">
        <f t="shared" si="81"/>
        <v>1.0830324909747292E-2</v>
      </c>
      <c r="O156" s="22">
        <f>IF(ISNUMBER(M156), $B172 * N156, "")</f>
        <v>1624.5487364620938</v>
      </c>
      <c r="Q156" s="146"/>
      <c r="R156" s="146"/>
      <c r="S156" s="146"/>
    </row>
    <row r="157" spans="1:19" ht="17.25" thickBot="1">
      <c r="A157" s="109" t="s">
        <v>223</v>
      </c>
      <c r="B157" s="113">
        <v>184</v>
      </c>
      <c r="C157" s="73">
        <v>-1.0752688200000001E-2</v>
      </c>
      <c r="D157" s="96">
        <v>185</v>
      </c>
      <c r="E157" s="97">
        <f>IF(ISNUMBER(D157), (D157 - $B157) / $B157, "")</f>
        <v>5.434782608695652E-3</v>
      </c>
      <c r="F157" s="98">
        <f>IF(ISNUMBER(D157), $B172 * E157, "")</f>
        <v>815.21739130434776</v>
      </c>
      <c r="G157" s="99">
        <v>185</v>
      </c>
      <c r="H157" s="97">
        <f>IF(ISNUMBER(G157), (G157 - $B157) / $B157, "")</f>
        <v>5.434782608695652E-3</v>
      </c>
      <c r="I157" s="100">
        <f>IF(ISNUMBER(G157), $B172 * H157, "")</f>
        <v>815.21739130434776</v>
      </c>
      <c r="J157" s="96">
        <v>185</v>
      </c>
      <c r="K157" s="97">
        <f>IF(ISNUMBER(J157), (J157 - $B157) / $B157, "")</f>
        <v>5.434782608695652E-3</v>
      </c>
      <c r="L157" s="98">
        <f>IF(ISNUMBER(J157), $B172 * K157, "")</f>
        <v>815.21739130434776</v>
      </c>
      <c r="M157" s="99">
        <v>185</v>
      </c>
      <c r="N157" s="97">
        <f>IF(ISNUMBER(M157), (M157 - $B157) / $B157, "")</f>
        <v>5.434782608695652E-3</v>
      </c>
      <c r="O157" s="98">
        <f>IF(ISNUMBER(M157), $B172 * N157, "")</f>
        <v>815.21739130434776</v>
      </c>
      <c r="Q157" s="146"/>
      <c r="R157" s="146"/>
      <c r="S157" s="146"/>
    </row>
    <row r="158" spans="1:19" ht="17.25" thickBot="1">
      <c r="A158" s="109" t="s">
        <v>339</v>
      </c>
      <c r="B158" s="110">
        <v>955</v>
      </c>
      <c r="C158" s="70">
        <v>-1.13871636E-2</v>
      </c>
      <c r="D158" s="15">
        <v>959</v>
      </c>
      <c r="E158" s="32">
        <f t="shared" ref="E158:E161" si="82">IF(ISNUMBER(D158), (D158 - $B158) / $B158, "")</f>
        <v>4.1884816753926706E-3</v>
      </c>
      <c r="F158" s="18">
        <f>IF(ISNUMBER(D158), $B172 * E158, "")</f>
        <v>628.27225130890054</v>
      </c>
      <c r="G158" s="31">
        <v>965</v>
      </c>
      <c r="H158" s="32">
        <f t="shared" ref="H158:H161" si="83">IF(ISNUMBER(G158), (G158 - $B158) / $B158, "")</f>
        <v>1.0471204188481676E-2</v>
      </c>
      <c r="I158" s="91">
        <f>IF(ISNUMBER(G158), $B172 * H158, "")</f>
        <v>1570.6806282722514</v>
      </c>
      <c r="J158" s="15">
        <v>965</v>
      </c>
      <c r="K158" s="32">
        <f t="shared" ref="K158:K161" si="84">IF(ISNUMBER(J158), (J158 - $B158) / $B158, "")</f>
        <v>1.0471204188481676E-2</v>
      </c>
      <c r="L158" s="18">
        <f>IF(ISNUMBER(J158), $B172 * K158, "")</f>
        <v>1570.6806282722514</v>
      </c>
      <c r="M158" s="31">
        <v>962</v>
      </c>
      <c r="N158" s="32">
        <f t="shared" ref="N158:N161" si="85">IF(ISNUMBER(M158), (M158 - $B158) / $B158, "")</f>
        <v>7.3298429319371729E-3</v>
      </c>
      <c r="O158" s="18">
        <f>IF(ISNUMBER(M158), $B172 * N158, "")</f>
        <v>1099.476439790576</v>
      </c>
      <c r="Q158" s="146"/>
      <c r="R158" s="146"/>
      <c r="S158" s="146"/>
    </row>
    <row r="159" spans="1:19" ht="17.25" thickBot="1">
      <c r="A159" s="109" t="s">
        <v>201</v>
      </c>
      <c r="B159" s="110">
        <v>169</v>
      </c>
      <c r="C159" s="70">
        <v>-1.1695906400000001E-2</v>
      </c>
      <c r="D159" s="15">
        <v>170</v>
      </c>
      <c r="E159" s="32">
        <f t="shared" si="82"/>
        <v>5.9171597633136093E-3</v>
      </c>
      <c r="F159" s="18">
        <f>IF(ISNUMBER(D159), $B172 * E159, "")</f>
        <v>887.5739644970414</v>
      </c>
      <c r="G159" s="31">
        <v>170</v>
      </c>
      <c r="H159" s="32">
        <f t="shared" si="83"/>
        <v>5.9171597633136093E-3</v>
      </c>
      <c r="I159" s="91">
        <f>IF(ISNUMBER(G159), $B172 * H159, "")</f>
        <v>887.5739644970414</v>
      </c>
      <c r="J159" s="15">
        <v>170</v>
      </c>
      <c r="K159" s="32">
        <f t="shared" si="84"/>
        <v>5.9171597633136093E-3</v>
      </c>
      <c r="L159" s="18">
        <f>IF(ISNUMBER(J159), $B172 * K159, "")</f>
        <v>887.5739644970414</v>
      </c>
      <c r="M159" s="31">
        <v>171</v>
      </c>
      <c r="N159" s="32">
        <f t="shared" si="85"/>
        <v>1.1834319526627219E-2</v>
      </c>
      <c r="O159" s="18">
        <f>IF(ISNUMBER(M159), $B172 * N159, "")</f>
        <v>1775.1479289940828</v>
      </c>
      <c r="Q159" s="146"/>
      <c r="R159" s="146"/>
      <c r="S159" s="146"/>
    </row>
    <row r="160" spans="1:19" ht="17.25" thickBot="1">
      <c r="A160" s="109" t="s">
        <v>130</v>
      </c>
      <c r="B160" s="110">
        <v>574</v>
      </c>
      <c r="C160" s="70">
        <v>-1.20481928E-2</v>
      </c>
      <c r="D160" s="15">
        <v>575</v>
      </c>
      <c r="E160" s="32">
        <f t="shared" si="82"/>
        <v>1.7421602787456446E-3</v>
      </c>
      <c r="F160" s="18">
        <f>IF(ISNUMBER(D160), $B172 * E160, "")</f>
        <v>261.32404181184671</v>
      </c>
      <c r="G160" s="31">
        <v>576</v>
      </c>
      <c r="H160" s="32">
        <f t="shared" si="83"/>
        <v>3.4843205574912892E-3</v>
      </c>
      <c r="I160" s="91">
        <f>IF(ISNUMBER(G160), $B172 * H160, "")</f>
        <v>522.64808362369342</v>
      </c>
      <c r="J160" s="15">
        <v>576</v>
      </c>
      <c r="K160" s="32">
        <f t="shared" si="84"/>
        <v>3.4843205574912892E-3</v>
      </c>
      <c r="L160" s="18">
        <f>IF(ISNUMBER(J160), $B172 * K160, "")</f>
        <v>522.64808362369342</v>
      </c>
      <c r="M160" s="31">
        <v>577</v>
      </c>
      <c r="N160" s="32">
        <f t="shared" si="85"/>
        <v>5.2264808362369342E-3</v>
      </c>
      <c r="O160" s="18">
        <f>IF(ISNUMBER(M160), $B172 * N160, "")</f>
        <v>783.97212543554008</v>
      </c>
      <c r="Q160" s="33"/>
      <c r="R160" s="33"/>
    </row>
    <row r="161" spans="1:19" ht="17.25" thickBot="1">
      <c r="A161" s="114" t="s">
        <v>95</v>
      </c>
      <c r="B161" s="115">
        <v>902</v>
      </c>
      <c r="C161" s="72">
        <v>-1.20481928E-2</v>
      </c>
      <c r="D161" s="24">
        <v>904</v>
      </c>
      <c r="E161" s="25">
        <f t="shared" si="82"/>
        <v>2.2172949002217295E-3</v>
      </c>
      <c r="F161" s="94">
        <f>IF(ISNUMBER(D161), $B172 * E161, "")</f>
        <v>332.59423503325945</v>
      </c>
      <c r="G161" s="92">
        <v>905</v>
      </c>
      <c r="H161" s="25">
        <f t="shared" si="83"/>
        <v>3.3259423503325942E-3</v>
      </c>
      <c r="I161" s="93">
        <f>IF(ISNUMBER(G161), $B172 * H161, "")</f>
        <v>498.89135254988912</v>
      </c>
      <c r="J161" s="24">
        <v>905</v>
      </c>
      <c r="K161" s="25">
        <f t="shared" si="84"/>
        <v>3.3259423503325942E-3</v>
      </c>
      <c r="L161" s="94">
        <f>IF(ISNUMBER(J161), $B172 * K161, "")</f>
        <v>498.89135254988912</v>
      </c>
      <c r="M161" s="92">
        <v>910</v>
      </c>
      <c r="N161" s="25">
        <f t="shared" si="85"/>
        <v>8.869179600886918E-3</v>
      </c>
      <c r="O161" s="94">
        <f>IF(ISNUMBER(M161), $B172 * N161, "")</f>
        <v>1330.3769401330378</v>
      </c>
      <c r="Q161" s="147"/>
      <c r="R161" s="148"/>
      <c r="S161" s="149"/>
    </row>
    <row r="162" spans="1:19">
      <c r="A162" s="107" t="s">
        <v>235</v>
      </c>
      <c r="B162" s="108">
        <v>489</v>
      </c>
      <c r="C162" s="69">
        <v>-1.41129032E-2</v>
      </c>
      <c r="D162" s="13">
        <v>491</v>
      </c>
      <c r="E162" s="14">
        <f>IF(ISNUMBER(D162), (D162 - $B162) / $B162, "")</f>
        <v>4.0899795501022499E-3</v>
      </c>
      <c r="F162" s="16">
        <f>IF(ISNUMBER(D162), $B172 * E162, "")</f>
        <v>613.49693251533745</v>
      </c>
      <c r="G162" s="29">
        <v>492</v>
      </c>
      <c r="H162" s="14">
        <f>IF(ISNUMBER(G162), (G162 - $B162) / $B162, "")</f>
        <v>6.1349693251533744E-3</v>
      </c>
      <c r="I162" s="90">
        <f>IF(ISNUMBER(G162), $B172 * H162, "")</f>
        <v>920.24539877300617</v>
      </c>
      <c r="J162" s="13">
        <v>492</v>
      </c>
      <c r="K162" s="14">
        <f>IF(ISNUMBER(J162), (J162 - $B162) / $B162, "")</f>
        <v>6.1349693251533744E-3</v>
      </c>
      <c r="L162" s="16">
        <f>IF(ISNUMBER(J162), $B172 * K162, "")</f>
        <v>920.24539877300617</v>
      </c>
      <c r="M162" s="29">
        <v>493</v>
      </c>
      <c r="N162" s="14">
        <f>IF(ISNUMBER(M162), (M162 - $B162) / $B162, "")</f>
        <v>8.1799591002044997E-3</v>
      </c>
      <c r="O162" s="16">
        <f>IF(ISNUMBER(M162), $B172 * N162, "")</f>
        <v>1226.9938650306749</v>
      </c>
      <c r="Q162" s="150"/>
      <c r="R162" s="151"/>
      <c r="S162" s="152"/>
    </row>
    <row r="163" spans="1:19" ht="17.25" thickBot="1">
      <c r="A163" s="109" t="s">
        <v>341</v>
      </c>
      <c r="B163" s="110">
        <v>596</v>
      </c>
      <c r="C163" s="70">
        <v>-1.48760331E-2</v>
      </c>
      <c r="D163" s="15">
        <v>597</v>
      </c>
      <c r="E163" s="32">
        <f t="shared" ref="E163:E166" si="86">IF(ISNUMBER(D163), (D163 - $B163) / $B163, "")</f>
        <v>1.6778523489932886E-3</v>
      </c>
      <c r="F163" s="18">
        <f>IF(ISNUMBER(D163), $B172 * E163, "")</f>
        <v>251.67785234899327</v>
      </c>
      <c r="G163" s="31">
        <v>600</v>
      </c>
      <c r="H163" s="32">
        <f t="shared" ref="H163:H166" si="87">IF(ISNUMBER(G163), (G163 - $B163) / $B163, "")</f>
        <v>6.7114093959731542E-3</v>
      </c>
      <c r="I163" s="91">
        <f>IF(ISNUMBER(G163), $B172 * H163, "")</f>
        <v>1006.7114093959731</v>
      </c>
      <c r="J163" s="15">
        <v>600</v>
      </c>
      <c r="K163" s="32">
        <f t="shared" ref="K163:K166" si="88">IF(ISNUMBER(J163), (J163 - $B163) / $B163, "")</f>
        <v>6.7114093959731542E-3</v>
      </c>
      <c r="L163" s="18">
        <f>IF(ISNUMBER(J163), $B172 * K163, "")</f>
        <v>1006.7114093959731</v>
      </c>
      <c r="M163" s="31">
        <v>604</v>
      </c>
      <c r="N163" s="32">
        <f t="shared" ref="N163:N166" si="89">IF(ISNUMBER(M163), (M163 - $B163) / $B163, "")</f>
        <v>1.3422818791946308E-2</v>
      </c>
      <c r="O163" s="18">
        <f>IF(ISNUMBER(M163), $B172 * N163, "")</f>
        <v>2013.4228187919462</v>
      </c>
      <c r="Q163" s="153"/>
      <c r="R163" s="154"/>
      <c r="S163" s="155"/>
    </row>
    <row r="164" spans="1:19" ht="17.25" thickBot="1">
      <c r="A164" s="109" t="s">
        <v>60</v>
      </c>
      <c r="B164" s="110">
        <v>373</v>
      </c>
      <c r="C164" s="70">
        <v>-1.5831134600000001E-2</v>
      </c>
      <c r="D164" s="15">
        <v>373</v>
      </c>
      <c r="E164" s="32">
        <f t="shared" si="86"/>
        <v>0</v>
      </c>
      <c r="F164" s="18">
        <f>IF(ISNUMBER(D164), $B172 * E164, "")</f>
        <v>0</v>
      </c>
      <c r="G164" s="31">
        <v>378</v>
      </c>
      <c r="H164" s="32">
        <f t="shared" si="87"/>
        <v>1.3404825737265416E-2</v>
      </c>
      <c r="I164" s="91">
        <f>IF(ISNUMBER(G164), $B172 * H164, "")</f>
        <v>2010.7238605898124</v>
      </c>
      <c r="J164" s="15">
        <v>378</v>
      </c>
      <c r="K164" s="32">
        <f t="shared" si="88"/>
        <v>1.3404825737265416E-2</v>
      </c>
      <c r="L164" s="18">
        <f>IF(ISNUMBER(J164), $B172 * K164, "")</f>
        <v>2010.7238605898124</v>
      </c>
      <c r="M164" s="31">
        <v>379</v>
      </c>
      <c r="N164" s="32">
        <f t="shared" si="89"/>
        <v>1.6085790884718499E-2</v>
      </c>
      <c r="O164" s="18">
        <f>IF(ISNUMBER(M164), $B172 * N164, "")</f>
        <v>2412.8686327077749</v>
      </c>
      <c r="Q164" s="146"/>
      <c r="R164" s="146"/>
      <c r="S164" s="146"/>
    </row>
    <row r="165" spans="1:19" ht="17.25" thickBot="1">
      <c r="A165" s="109" t="s">
        <v>111</v>
      </c>
      <c r="B165" s="110">
        <v>480</v>
      </c>
      <c r="C165" s="70">
        <v>-1.6393442599999999E-2</v>
      </c>
      <c r="D165" s="15">
        <v>482</v>
      </c>
      <c r="E165" s="32">
        <f t="shared" si="86"/>
        <v>4.1666666666666666E-3</v>
      </c>
      <c r="F165" s="18">
        <f>IF(ISNUMBER(D165), $B172 * E165, "")</f>
        <v>625</v>
      </c>
      <c r="G165" s="31">
        <v>489</v>
      </c>
      <c r="H165" s="32">
        <f t="shared" si="87"/>
        <v>1.8749999999999999E-2</v>
      </c>
      <c r="I165" s="91">
        <f>IF(ISNUMBER(G165), $B172 * H165, "")</f>
        <v>2812.5</v>
      </c>
      <c r="J165" s="15">
        <v>489</v>
      </c>
      <c r="K165" s="32">
        <f t="shared" si="88"/>
        <v>1.8749999999999999E-2</v>
      </c>
      <c r="L165" s="18">
        <f>IF(ISNUMBER(J165), $B172 * K165, "")</f>
        <v>2812.5</v>
      </c>
      <c r="M165" s="31">
        <v>489</v>
      </c>
      <c r="N165" s="32">
        <f t="shared" si="89"/>
        <v>1.8749999999999999E-2</v>
      </c>
      <c r="O165" s="18">
        <f>IF(ISNUMBER(M165), $B172 * N165, "")</f>
        <v>2812.5</v>
      </c>
      <c r="Q165" s="156"/>
      <c r="R165" s="156"/>
      <c r="S165" s="156"/>
    </row>
    <row r="166" spans="1:19" ht="17.25" thickBot="1">
      <c r="A166" s="111" t="s">
        <v>68</v>
      </c>
      <c r="B166" s="112">
        <v>224</v>
      </c>
      <c r="C166" s="71">
        <v>-1.75438596E-2</v>
      </c>
      <c r="D166" s="20">
        <v>225</v>
      </c>
      <c r="E166" s="21">
        <f t="shared" si="86"/>
        <v>4.464285714285714E-3</v>
      </c>
      <c r="F166" s="22">
        <f>IF(ISNUMBER(D166), $B172 * E166, "")</f>
        <v>669.64285714285711</v>
      </c>
      <c r="G166" s="30">
        <v>224</v>
      </c>
      <c r="H166" s="21">
        <f t="shared" si="87"/>
        <v>0</v>
      </c>
      <c r="I166" s="95">
        <f>IF(ISNUMBER(G166), $B172 * H166, "")</f>
        <v>0</v>
      </c>
      <c r="J166" s="20">
        <v>224</v>
      </c>
      <c r="K166" s="21">
        <f t="shared" si="88"/>
        <v>0</v>
      </c>
      <c r="L166" s="22">
        <f>IF(ISNUMBER(J166), $B172 * K166, "")</f>
        <v>0</v>
      </c>
      <c r="M166" s="30">
        <v>225</v>
      </c>
      <c r="N166" s="21">
        <f t="shared" si="89"/>
        <v>4.464285714285714E-3</v>
      </c>
      <c r="O166" s="22">
        <f>IF(ISNUMBER(M166), $B172 * N166, "")</f>
        <v>669.64285714285711</v>
      </c>
      <c r="Q166" s="156"/>
      <c r="R166" s="156"/>
      <c r="S166" s="156"/>
    </row>
    <row r="167" spans="1:19" ht="17.25" thickBot="1">
      <c r="A167" s="109" t="s">
        <v>165</v>
      </c>
      <c r="B167" s="113">
        <v>873</v>
      </c>
      <c r="C167" s="73">
        <v>-1.79977503E-2</v>
      </c>
      <c r="D167" s="96">
        <v>874</v>
      </c>
      <c r="E167" s="97">
        <f>IF(ISNUMBER(D167), (D167 - $B167) / $B167, "")</f>
        <v>1.145475372279496E-3</v>
      </c>
      <c r="F167" s="98">
        <f>IF(ISNUMBER(D167), $B172 * E167, "")</f>
        <v>171.82130584192441</v>
      </c>
      <c r="G167" s="99">
        <v>870</v>
      </c>
      <c r="H167" s="97">
        <f>IF(ISNUMBER(G167), (G167 - $B167) / $B167, "")</f>
        <v>-3.4364261168384879E-3</v>
      </c>
      <c r="I167" s="100">
        <f>IF(ISNUMBER(G167), $B172 * H167, "")</f>
        <v>-515.46391752577324</v>
      </c>
      <c r="J167" s="96">
        <v>870</v>
      </c>
      <c r="K167" s="97">
        <f>IF(ISNUMBER(J167), (J167 - $B167) / $B167, "")</f>
        <v>-3.4364261168384879E-3</v>
      </c>
      <c r="L167" s="98">
        <f>IF(ISNUMBER(J167), $B172 * K167, "")</f>
        <v>-515.46391752577324</v>
      </c>
      <c r="M167" s="99">
        <v>871</v>
      </c>
      <c r="N167" s="97">
        <f>IF(ISNUMBER(M167), (M167 - $B167) / $B167, "")</f>
        <v>-2.2909507445589921E-3</v>
      </c>
      <c r="O167" s="98">
        <f>IF(ISNUMBER(M167), $B172 * N167, "")</f>
        <v>-343.64261168384883</v>
      </c>
      <c r="Q167" s="146"/>
      <c r="R167" s="146"/>
      <c r="S167" s="146"/>
    </row>
    <row r="168" spans="1:19" ht="17.25" thickBot="1">
      <c r="A168" s="109" t="s">
        <v>345</v>
      </c>
      <c r="B168" s="110">
        <v>105</v>
      </c>
      <c r="C168" s="70">
        <v>-1.8691588799999999E-2</v>
      </c>
      <c r="D168" s="15">
        <v>105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106</v>
      </c>
      <c r="H168" s="32">
        <f t="shared" ref="H168:H171" si="91">IF(ISNUMBER(G168), (G168 - $B168) / $B168, "")</f>
        <v>9.5238095238095247E-3</v>
      </c>
      <c r="I168" s="91">
        <f>IF(ISNUMBER(G168), $B172 * H168, "")</f>
        <v>1428.5714285714287</v>
      </c>
      <c r="J168" s="15">
        <v>106</v>
      </c>
      <c r="K168" s="32">
        <f t="shared" ref="K168:K171" si="92">IF(ISNUMBER(J168), (J168 - $B168) / $B168, "")</f>
        <v>9.5238095238095247E-3</v>
      </c>
      <c r="L168" s="18">
        <f>IF(ISNUMBER(J168), $B172 * K168, "")</f>
        <v>1428.5714285714287</v>
      </c>
      <c r="M168" s="31">
        <v>106</v>
      </c>
      <c r="N168" s="32">
        <f t="shared" ref="N168:N171" si="93">IF(ISNUMBER(M168), (M168 - $B168) / $B168, "")</f>
        <v>9.5238095238095247E-3</v>
      </c>
      <c r="O168" s="18">
        <f>IF(ISNUMBER(M168), $B172 * N168, "")</f>
        <v>1428.5714285714287</v>
      </c>
      <c r="Q168" s="146"/>
      <c r="R168" s="146"/>
      <c r="S168" s="146"/>
    </row>
    <row r="169" spans="1:19" ht="17.25" thickBot="1">
      <c r="A169" s="109" t="s">
        <v>211</v>
      </c>
      <c r="B169" s="110">
        <v>899</v>
      </c>
      <c r="C169" s="70">
        <v>-1.9629225699999999E-2</v>
      </c>
      <c r="D169" s="15">
        <v>900</v>
      </c>
      <c r="E169" s="32">
        <f t="shared" si="90"/>
        <v>1.1123470522803114E-3</v>
      </c>
      <c r="F169" s="18">
        <f>IF(ISNUMBER(D169), $B172 * E169, "")</f>
        <v>166.85205784204672</v>
      </c>
      <c r="G169" s="31">
        <v>908</v>
      </c>
      <c r="H169" s="32">
        <f t="shared" si="91"/>
        <v>1.0011123470522803E-2</v>
      </c>
      <c r="I169" s="91">
        <f>IF(ISNUMBER(G169), $B172 * H169, "")</f>
        <v>1501.6685205784204</v>
      </c>
      <c r="J169" s="15">
        <v>908</v>
      </c>
      <c r="K169" s="32">
        <f t="shared" si="92"/>
        <v>1.0011123470522803E-2</v>
      </c>
      <c r="L169" s="18">
        <f>IF(ISNUMBER(J169), $B172 * K169, "")</f>
        <v>1501.6685205784204</v>
      </c>
      <c r="M169" s="31">
        <v>908</v>
      </c>
      <c r="N169" s="32">
        <f t="shared" si="93"/>
        <v>1.0011123470522803E-2</v>
      </c>
      <c r="O169" s="18">
        <f>IF(ISNUMBER(M169), $B172 * N169, "")</f>
        <v>1501.6685205784204</v>
      </c>
      <c r="Q169" s="146"/>
      <c r="R169" s="146"/>
      <c r="S169" s="146"/>
    </row>
    <row r="170" spans="1:19">
      <c r="A170" s="109" t="s">
        <v>161</v>
      </c>
      <c r="B170" s="110">
        <v>268</v>
      </c>
      <c r="C170" s="70">
        <v>-2.1897810199999999E-2</v>
      </c>
      <c r="D170" s="15">
        <v>269</v>
      </c>
      <c r="E170" s="32">
        <f t="shared" si="90"/>
        <v>3.7313432835820895E-3</v>
      </c>
      <c r="F170" s="18">
        <f>IF(ISNUMBER(D170), $B172 * E170, "")</f>
        <v>559.70149253731347</v>
      </c>
      <c r="G170" s="31">
        <v>270</v>
      </c>
      <c r="H170" s="32">
        <f t="shared" si="91"/>
        <v>7.462686567164179E-3</v>
      </c>
      <c r="I170" s="91">
        <f>IF(ISNUMBER(G170), $B172 * H170, "")</f>
        <v>1119.4029850746269</v>
      </c>
      <c r="J170" s="15">
        <v>270</v>
      </c>
      <c r="K170" s="32">
        <f t="shared" si="92"/>
        <v>7.462686567164179E-3</v>
      </c>
      <c r="L170" s="18">
        <f>IF(ISNUMBER(J170), $B172 * K170, "")</f>
        <v>1119.4029850746269</v>
      </c>
      <c r="M170" s="31">
        <v>271</v>
      </c>
      <c r="N170" s="32">
        <f t="shared" si="93"/>
        <v>1.1194029850746268E-2</v>
      </c>
      <c r="O170" s="18">
        <f>IF(ISNUMBER(M170), $B172 * N170, "")</f>
        <v>1679.1044776119402</v>
      </c>
      <c r="Q170" s="135"/>
      <c r="R170" s="136"/>
      <c r="S170" s="137"/>
    </row>
    <row r="171" spans="1:19" ht="17.25" thickBot="1">
      <c r="A171" s="114" t="s">
        <v>116</v>
      </c>
      <c r="B171" s="115">
        <v>940</v>
      </c>
      <c r="C171" s="72">
        <v>-5.9059059099999998E-2</v>
      </c>
      <c r="D171" s="24">
        <v>938</v>
      </c>
      <c r="E171" s="25">
        <f t="shared" si="90"/>
        <v>-2.1276595744680851E-3</v>
      </c>
      <c r="F171" s="94">
        <f>IF(ISNUMBER(D171), $B172 * E171, "")</f>
        <v>-319.14893617021278</v>
      </c>
      <c r="G171" s="92">
        <v>935</v>
      </c>
      <c r="H171" s="25">
        <f t="shared" si="91"/>
        <v>-5.3191489361702126E-3</v>
      </c>
      <c r="I171" s="93">
        <f>IF(ISNUMBER(G171), $B172 * H171, "")</f>
        <v>-797.87234042553189</v>
      </c>
      <c r="J171" s="24">
        <v>935</v>
      </c>
      <c r="K171" s="25">
        <f t="shared" si="92"/>
        <v>-5.3191489361702126E-3</v>
      </c>
      <c r="L171" s="94">
        <f>IF(ISNUMBER(J171), $B172 * K171, "")</f>
        <v>-797.87234042553189</v>
      </c>
      <c r="M171" s="92">
        <v>928</v>
      </c>
      <c r="N171" s="25">
        <f t="shared" si="93"/>
        <v>-1.276595744680851E-2</v>
      </c>
      <c r="O171" s="94">
        <f>IF(ISNUMBER(M171), $B172 * N171, "")</f>
        <v>-1914.8936170212764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1.9215512714229198E-3</v>
      </c>
      <c r="F172" s="28">
        <f>SUM(F152:F171)</f>
        <v>5764.6538142687596</v>
      </c>
      <c r="G172" s="26" t="s">
        <v>258</v>
      </c>
      <c r="H172" s="27">
        <f>IF(COUNT(H152:H171), SUM(H152:H171) / COUNT(H152:H171), 0)</f>
        <v>5.909665411980825E-3</v>
      </c>
      <c r="I172" s="28">
        <f>SUM(I152:I171)</f>
        <v>17728.996235942475</v>
      </c>
      <c r="J172" s="26" t="s">
        <v>258</v>
      </c>
      <c r="K172" s="27">
        <f>IF(COUNT(K152:K171), SUM(K152:K171) / COUNT(K152:K171), 0)</f>
        <v>5.909665411980825E-3</v>
      </c>
      <c r="L172" s="28">
        <f>SUM(L152:L171)</f>
        <v>17728.996235942475</v>
      </c>
      <c r="M172" s="26" t="s">
        <v>258</v>
      </c>
      <c r="N172" s="27">
        <f>IF(COUNT(N152:N171), SUM(N152:N171) / COUNT(N152:N171), 0)</f>
        <v>7.5441374327919431E-3</v>
      </c>
      <c r="O172" s="28">
        <f>SUM(O152:O171)</f>
        <v>22632.412298375832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21539000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1.0224474E-3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2023-01-01(일) 오전 00:00</v>
      </c>
      <c r="C177" s="198"/>
      <c r="D177" s="170" t="str">
        <f>TEXT($G$1, "[$-ko-KR]yyyy-mm-dd(ddd) ") &amp; "오후 14:00"</f>
        <v>2023-01-01(일) 오후 14:00</v>
      </c>
      <c r="E177" s="171"/>
      <c r="F177" s="172"/>
      <c r="G177" s="170" t="str">
        <f>TEXT($G$1, "[$-ko-KR]yyyy-mm-dd(ddd) ") &amp; "오후 19:00"</f>
        <v>2023-01-01(일) 오후 19:00</v>
      </c>
      <c r="H177" s="171"/>
      <c r="I177" s="172"/>
      <c r="J177" s="170" t="str">
        <f>TEXT($G$1, "[$-ko-KR]yyyy-mm-dd(ddd) ") &amp; "오후 21:00"</f>
        <v>2023-01-01(일) 오후 21:00</v>
      </c>
      <c r="K177" s="171"/>
      <c r="L177" s="172"/>
      <c r="M177" s="170" t="str">
        <f>TEXT($G$1+1, "[$-ko-KR]yyyy-mm-dd(ddd) ") &amp; "오전 00:00"</f>
        <v>2023-01-02(월)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341</v>
      </c>
      <c r="B179" s="108">
        <v>596</v>
      </c>
      <c r="C179" s="69">
        <v>-1.48760331E-2</v>
      </c>
      <c r="D179" s="13">
        <v>597</v>
      </c>
      <c r="E179" s="14">
        <f>IF(ISNUMBER(D179), (D179 - $B179) / $B179, "")</f>
        <v>1.6778523489932886E-3</v>
      </c>
      <c r="F179" s="16">
        <f>IF(ISNUMBER(D179), $B199 * E179, "")</f>
        <v>251.67785234899327</v>
      </c>
      <c r="G179" s="29">
        <v>600</v>
      </c>
      <c r="H179" s="14">
        <f>IF(ISNUMBER(G179), (G179 - $B179) / $B179, "")</f>
        <v>6.7114093959731542E-3</v>
      </c>
      <c r="I179" s="90">
        <f>IF(ISNUMBER(G179), $B199 * H179, "")</f>
        <v>1006.7114093959731</v>
      </c>
      <c r="J179" s="13">
        <v>600</v>
      </c>
      <c r="K179" s="14">
        <f>IF(ISNUMBER(J179), (J179 - $B179) / $B179, "")</f>
        <v>6.7114093959731542E-3</v>
      </c>
      <c r="L179" s="16">
        <f>IF(ISNUMBER(J179), $B199 * K179, "")</f>
        <v>1006.7114093959731</v>
      </c>
      <c r="M179" s="29">
        <v>604</v>
      </c>
      <c r="N179" s="14">
        <f>IF(ISNUMBER(M179), (M179 - $B179) / $B179, "")</f>
        <v>1.3422818791946308E-2</v>
      </c>
      <c r="O179" s="16">
        <f>IF(ISNUMBER(M179), $B199 * N179, "")</f>
        <v>2013.4228187919462</v>
      </c>
      <c r="Q179" s="156"/>
      <c r="R179" s="156"/>
      <c r="S179" s="156"/>
    </row>
    <row r="180" spans="1:19" ht="17.25" thickBot="1">
      <c r="A180" s="109" t="s">
        <v>107</v>
      </c>
      <c r="B180" s="110">
        <v>32.700000000000003</v>
      </c>
      <c r="C180" s="70">
        <v>-1.5060241E-2</v>
      </c>
      <c r="D180" s="15">
        <v>32.799999999999997</v>
      </c>
      <c r="E180" s="32">
        <f t="shared" ref="E180:E183" si="94">IF(ISNUMBER(D180), (D180 - $B180) / $B180, "")</f>
        <v>3.0581039755349939E-3</v>
      </c>
      <c r="F180" s="18">
        <f>IF(ISNUMBER(D180), $B199 * E180, "")</f>
        <v>458.71559633024907</v>
      </c>
      <c r="G180" s="31">
        <v>33</v>
      </c>
      <c r="H180" s="32">
        <f t="shared" ref="H180:H183" si="95">IF(ISNUMBER(G180), (G180 - $B180) / $B180, "")</f>
        <v>9.1743119266054166E-3</v>
      </c>
      <c r="I180" s="91">
        <f>IF(ISNUMBER(G180), $B199 * H180, "")</f>
        <v>1376.1467889908124</v>
      </c>
      <c r="J180" s="15">
        <v>33</v>
      </c>
      <c r="K180" s="32">
        <f t="shared" ref="K180:K183" si="96">IF(ISNUMBER(J180), (J180 - $B180) / $B180, "")</f>
        <v>9.1743119266054166E-3</v>
      </c>
      <c r="L180" s="18">
        <f>IF(ISNUMBER(J180), $B199 * K180, "")</f>
        <v>1376.1467889908124</v>
      </c>
      <c r="M180" s="31">
        <v>32.9</v>
      </c>
      <c r="N180" s="32">
        <f t="shared" ref="N180:N183" si="97">IF(ISNUMBER(M180), (M180 - $B180) / $B180, "")</f>
        <v>6.1162079510702055E-3</v>
      </c>
      <c r="O180" s="18">
        <f>IF(ISNUMBER(M180), $B199 * N180, "")</f>
        <v>917.43119266053077</v>
      </c>
      <c r="Q180" s="156"/>
      <c r="R180" s="156"/>
      <c r="S180" s="156"/>
    </row>
    <row r="181" spans="1:19" ht="17.25" thickBot="1">
      <c r="A181" s="109" t="s">
        <v>227</v>
      </c>
      <c r="B181" s="110">
        <v>32.5</v>
      </c>
      <c r="C181" s="70">
        <v>-1.51515152E-2</v>
      </c>
      <c r="D181" s="15">
        <v>32.9</v>
      </c>
      <c r="E181" s="32">
        <f t="shared" si="94"/>
        <v>1.2307692307692264E-2</v>
      </c>
      <c r="F181" s="18">
        <f>IF(ISNUMBER(D181), $B199 * E181, "")</f>
        <v>1846.1538461538396</v>
      </c>
      <c r="G181" s="31">
        <v>32.9</v>
      </c>
      <c r="H181" s="32">
        <f t="shared" si="95"/>
        <v>1.2307692307692264E-2</v>
      </c>
      <c r="I181" s="91">
        <f>IF(ISNUMBER(G181), $B199 * H181, "")</f>
        <v>1846.1538461538396</v>
      </c>
      <c r="J181" s="15">
        <v>32.9</v>
      </c>
      <c r="K181" s="32">
        <f t="shared" si="96"/>
        <v>1.2307692307692264E-2</v>
      </c>
      <c r="L181" s="18">
        <f>IF(ISNUMBER(J181), $B199 * K181, "")</f>
        <v>1846.1538461538396</v>
      </c>
      <c r="M181" s="31">
        <v>32.700000000000003</v>
      </c>
      <c r="N181" s="32">
        <f t="shared" si="97"/>
        <v>6.1538461538462414E-3</v>
      </c>
      <c r="O181" s="18">
        <f>IF(ISNUMBER(M181), $B199 * N181, "")</f>
        <v>923.07692307693617</v>
      </c>
      <c r="Q181" s="146"/>
      <c r="R181" s="146"/>
      <c r="S181" s="146"/>
    </row>
    <row r="182" spans="1:19" ht="17.25" thickBot="1">
      <c r="A182" s="109" t="s">
        <v>60</v>
      </c>
      <c r="B182" s="110">
        <v>373</v>
      </c>
      <c r="C182" s="70">
        <v>-1.5831134600000001E-2</v>
      </c>
      <c r="D182" s="15">
        <v>373</v>
      </c>
      <c r="E182" s="32">
        <f t="shared" si="94"/>
        <v>0</v>
      </c>
      <c r="F182" s="18">
        <f>IF(ISNUMBER(D182), $B199 * E182, "")</f>
        <v>0</v>
      </c>
      <c r="G182" s="31">
        <v>378</v>
      </c>
      <c r="H182" s="32">
        <f t="shared" si="95"/>
        <v>1.3404825737265416E-2</v>
      </c>
      <c r="I182" s="91">
        <f>IF(ISNUMBER(G182), $B199 * H182, "")</f>
        <v>2010.7238605898124</v>
      </c>
      <c r="J182" s="15">
        <v>378</v>
      </c>
      <c r="K182" s="32">
        <f t="shared" si="96"/>
        <v>1.3404825737265416E-2</v>
      </c>
      <c r="L182" s="18">
        <f>IF(ISNUMBER(J182), $B199 * K182, "")</f>
        <v>2010.7238605898124</v>
      </c>
      <c r="M182" s="31">
        <v>379</v>
      </c>
      <c r="N182" s="32">
        <f t="shared" si="97"/>
        <v>1.6085790884718499E-2</v>
      </c>
      <c r="O182" s="18">
        <f>IF(ISNUMBER(M182), $B199 * N182, "")</f>
        <v>2412.8686327077749</v>
      </c>
      <c r="Q182" s="146"/>
      <c r="R182" s="146"/>
      <c r="S182" s="146"/>
    </row>
    <row r="183" spans="1:19" ht="17.25" thickBot="1">
      <c r="A183" s="111" t="s">
        <v>111</v>
      </c>
      <c r="B183" s="112">
        <v>480</v>
      </c>
      <c r="C183" s="71">
        <v>-1.6393442599999999E-2</v>
      </c>
      <c r="D183" s="20">
        <v>482</v>
      </c>
      <c r="E183" s="21">
        <f t="shared" si="94"/>
        <v>4.1666666666666666E-3</v>
      </c>
      <c r="F183" s="22">
        <f>IF(ISNUMBER(D183), $B199 * E183, "")</f>
        <v>625</v>
      </c>
      <c r="G183" s="30">
        <v>489</v>
      </c>
      <c r="H183" s="21">
        <f t="shared" si="95"/>
        <v>1.8749999999999999E-2</v>
      </c>
      <c r="I183" s="95">
        <f>IF(ISNUMBER(G183), $B199 * H183, "")</f>
        <v>2812.5</v>
      </c>
      <c r="J183" s="20">
        <v>489</v>
      </c>
      <c r="K183" s="21">
        <f t="shared" si="96"/>
        <v>1.8749999999999999E-2</v>
      </c>
      <c r="L183" s="22">
        <f>IF(ISNUMBER(J183), $B199 * K183, "")</f>
        <v>2812.5</v>
      </c>
      <c r="M183" s="30">
        <v>489</v>
      </c>
      <c r="N183" s="21">
        <f t="shared" si="97"/>
        <v>1.8749999999999999E-2</v>
      </c>
      <c r="O183" s="22">
        <f>IF(ISNUMBER(M183), $B199 * N183, "")</f>
        <v>2812.5</v>
      </c>
      <c r="Q183" s="146"/>
      <c r="R183" s="146"/>
      <c r="S183" s="146"/>
    </row>
    <row r="184" spans="1:19" ht="17.25" thickBot="1">
      <c r="A184" s="109" t="s">
        <v>174</v>
      </c>
      <c r="B184" s="113">
        <v>11310</v>
      </c>
      <c r="C184" s="73">
        <v>-1.6521739099999998E-2</v>
      </c>
      <c r="D184" s="96">
        <v>11350</v>
      </c>
      <c r="E184" s="97">
        <f>IF(ISNUMBER(D184), (D184 - $B184) / $B184, "")</f>
        <v>3.5366931918656055E-3</v>
      </c>
      <c r="F184" s="98">
        <f>IF(ISNUMBER(D184), $B199 * E184, "")</f>
        <v>530.50397877984085</v>
      </c>
      <c r="G184" s="99">
        <v>11430</v>
      </c>
      <c r="H184" s="97">
        <f>IF(ISNUMBER(G184), (G184 - $B184) / $B184, "")</f>
        <v>1.0610079575596816E-2</v>
      </c>
      <c r="I184" s="100">
        <f>IF(ISNUMBER(G184), $B199 * H184, "")</f>
        <v>1591.5119363395224</v>
      </c>
      <c r="J184" s="96">
        <v>11430</v>
      </c>
      <c r="K184" s="97">
        <f>IF(ISNUMBER(J184), (J184 - $B184) / $B184, "")</f>
        <v>1.0610079575596816E-2</v>
      </c>
      <c r="L184" s="98">
        <f>IF(ISNUMBER(J184), $B199 * K184, "")</f>
        <v>1591.5119363395224</v>
      </c>
      <c r="M184" s="99">
        <v>11370</v>
      </c>
      <c r="N184" s="97">
        <f>IF(ISNUMBER(M184), (M184 - $B184) / $B184, "")</f>
        <v>5.3050397877984082E-3</v>
      </c>
      <c r="O184" s="98">
        <f>IF(ISNUMBER(M184), $B199 * N184, "")</f>
        <v>795.75596816976122</v>
      </c>
      <c r="Q184" s="146"/>
      <c r="R184" s="146"/>
      <c r="S184" s="146"/>
    </row>
    <row r="185" spans="1:19" ht="17.25" thickBot="1">
      <c r="A185" s="109" t="s">
        <v>221</v>
      </c>
      <c r="B185" s="110">
        <v>17.100000000000001</v>
      </c>
      <c r="C185" s="70">
        <v>-1.7241379300000002E-2</v>
      </c>
      <c r="D185" s="15">
        <v>17.2</v>
      </c>
      <c r="E185" s="32">
        <f t="shared" ref="E185:E188" si="98">IF(ISNUMBER(D185), (D185 - $B185) / $B185, "")</f>
        <v>5.8479532163741438E-3</v>
      </c>
      <c r="F185" s="18">
        <f>IF(ISNUMBER(D185), $B199 * E185, "")</f>
        <v>877.19298245612151</v>
      </c>
      <c r="G185" s="31">
        <v>17.3</v>
      </c>
      <c r="H185" s="32">
        <f t="shared" ref="H185:H188" si="99">IF(ISNUMBER(G185), (G185 - $B185) / $B185, "")</f>
        <v>1.1695906432748496E-2</v>
      </c>
      <c r="I185" s="91">
        <f>IF(ISNUMBER(G185), $B199 * H185, "")</f>
        <v>1754.3859649122744</v>
      </c>
      <c r="J185" s="15">
        <v>17.3</v>
      </c>
      <c r="K185" s="32">
        <f t="shared" ref="K185:K188" si="100">IF(ISNUMBER(J185), (J185 - $B185) / $B185, "")</f>
        <v>1.1695906432748496E-2</v>
      </c>
      <c r="L185" s="18">
        <f>IF(ISNUMBER(J185), $B199 * K185, "")</f>
        <v>1754.3859649122744</v>
      </c>
      <c r="M185" s="31">
        <v>17.2</v>
      </c>
      <c r="N185" s="32">
        <f t="shared" ref="N185:N188" si="101">IF(ISNUMBER(M185), (M185 - $B185) / $B185, "")</f>
        <v>5.8479532163741438E-3</v>
      </c>
      <c r="O185" s="18">
        <f>IF(ISNUMBER(M185), $B199 * N185, "")</f>
        <v>877.19298245612151</v>
      </c>
      <c r="Q185" s="146"/>
      <c r="R185" s="146"/>
      <c r="S185" s="146"/>
    </row>
    <row r="186" spans="1:19" ht="17.25" thickBot="1">
      <c r="A186" s="109" t="s">
        <v>68</v>
      </c>
      <c r="B186" s="110">
        <v>224</v>
      </c>
      <c r="C186" s="70">
        <v>-1.75438596E-2</v>
      </c>
      <c r="D186" s="15">
        <v>225</v>
      </c>
      <c r="E186" s="32">
        <f t="shared" si="98"/>
        <v>4.464285714285714E-3</v>
      </c>
      <c r="F186" s="18">
        <f>IF(ISNUMBER(D186), $B199 * E186, "")</f>
        <v>669.64285714285711</v>
      </c>
      <c r="G186" s="31">
        <v>224</v>
      </c>
      <c r="H186" s="32">
        <f t="shared" si="99"/>
        <v>0</v>
      </c>
      <c r="I186" s="91">
        <f>IF(ISNUMBER(G186), $B199 * H186, "")</f>
        <v>0</v>
      </c>
      <c r="J186" s="15">
        <v>224</v>
      </c>
      <c r="K186" s="32">
        <f t="shared" si="100"/>
        <v>0</v>
      </c>
      <c r="L186" s="18">
        <f>IF(ISNUMBER(J186), $B199 * K186, "")</f>
        <v>0</v>
      </c>
      <c r="M186" s="31">
        <v>225</v>
      </c>
      <c r="N186" s="32">
        <f t="shared" si="101"/>
        <v>4.464285714285714E-3</v>
      </c>
      <c r="O186" s="18">
        <f>IF(ISNUMBER(M186), $B199 * N186, "")</f>
        <v>669.64285714285711</v>
      </c>
      <c r="Q186" s="146"/>
      <c r="R186" s="146"/>
      <c r="S186" s="146"/>
    </row>
    <row r="187" spans="1:19" ht="17.25" thickBot="1">
      <c r="A187" s="109" t="s">
        <v>165</v>
      </c>
      <c r="B187" s="110">
        <v>873</v>
      </c>
      <c r="C187" s="70">
        <v>-1.79977503E-2</v>
      </c>
      <c r="D187" s="15">
        <v>874</v>
      </c>
      <c r="E187" s="32">
        <f t="shared" si="98"/>
        <v>1.145475372279496E-3</v>
      </c>
      <c r="F187" s="18">
        <f>IF(ISNUMBER(D187), $B199 * E187, "")</f>
        <v>171.82130584192441</v>
      </c>
      <c r="G187" s="31">
        <v>870</v>
      </c>
      <c r="H187" s="32">
        <f t="shared" si="99"/>
        <v>-3.4364261168384879E-3</v>
      </c>
      <c r="I187" s="91">
        <f>IF(ISNUMBER(G187), $B199 * H187, "")</f>
        <v>-515.46391752577324</v>
      </c>
      <c r="J187" s="15">
        <v>870</v>
      </c>
      <c r="K187" s="32">
        <f t="shared" si="100"/>
        <v>-3.4364261168384879E-3</v>
      </c>
      <c r="L187" s="18">
        <f>IF(ISNUMBER(J187), $B199 * K187, "")</f>
        <v>-515.46391752577324</v>
      </c>
      <c r="M187" s="31">
        <v>871</v>
      </c>
      <c r="N187" s="32">
        <f t="shared" si="101"/>
        <v>-2.2909507445589921E-3</v>
      </c>
      <c r="O187" s="18">
        <f>IF(ISNUMBER(M187), $B199 * N187, "")</f>
        <v>-343.64261168384883</v>
      </c>
      <c r="Q187" s="33"/>
      <c r="R187" s="33"/>
    </row>
    <row r="188" spans="1:19" ht="17.25" thickBot="1">
      <c r="A188" s="114" t="s">
        <v>343</v>
      </c>
      <c r="B188" s="115">
        <v>12460</v>
      </c>
      <c r="C188" s="72">
        <v>-1.8124507500000001E-2</v>
      </c>
      <c r="D188" s="24">
        <v>12540</v>
      </c>
      <c r="E188" s="25">
        <f t="shared" si="98"/>
        <v>6.420545746388443E-3</v>
      </c>
      <c r="F188" s="94">
        <f>IF(ISNUMBER(D188), $B199 * E188, "")</f>
        <v>963.08186195826647</v>
      </c>
      <c r="G188" s="92">
        <v>12640</v>
      </c>
      <c r="H188" s="25">
        <f t="shared" si="99"/>
        <v>1.4446227929373997E-2</v>
      </c>
      <c r="I188" s="93">
        <f>IF(ISNUMBER(G188), $B199 * H188, "")</f>
        <v>2166.9341894060994</v>
      </c>
      <c r="J188" s="24">
        <v>12640</v>
      </c>
      <c r="K188" s="25">
        <f t="shared" si="100"/>
        <v>1.4446227929373997E-2</v>
      </c>
      <c r="L188" s="94">
        <f>IF(ISNUMBER(J188), $B199 * K188, "")</f>
        <v>2166.9341894060994</v>
      </c>
      <c r="M188" s="92">
        <v>12550</v>
      </c>
      <c r="N188" s="25">
        <f t="shared" si="101"/>
        <v>7.2231139646869984E-3</v>
      </c>
      <c r="O188" s="94">
        <f>IF(ISNUMBER(M188), $B199 * N188, "")</f>
        <v>1083.4670947030497</v>
      </c>
      <c r="Q188" s="147"/>
      <c r="R188" s="148"/>
      <c r="S188" s="149"/>
    </row>
    <row r="189" spans="1:19">
      <c r="A189" s="107" t="s">
        <v>178</v>
      </c>
      <c r="B189" s="108">
        <v>1320</v>
      </c>
      <c r="C189" s="69">
        <v>-1.8587360599999998E-2</v>
      </c>
      <c r="D189" s="13">
        <v>1325</v>
      </c>
      <c r="E189" s="14">
        <f>IF(ISNUMBER(D189), (D189 - $B189) / $B189, "")</f>
        <v>3.787878787878788E-3</v>
      </c>
      <c r="F189" s="16">
        <f>IF(ISNUMBER(D189), $B199 * E189, "")</f>
        <v>568.18181818181824</v>
      </c>
      <c r="G189" s="29">
        <v>1325</v>
      </c>
      <c r="H189" s="14">
        <f>IF(ISNUMBER(G189), (G189 - $B189) / $B189, "")</f>
        <v>3.787878787878788E-3</v>
      </c>
      <c r="I189" s="90">
        <f>IF(ISNUMBER(G189), $B199 * H189, "")</f>
        <v>568.18181818181824</v>
      </c>
      <c r="J189" s="13">
        <v>1325</v>
      </c>
      <c r="K189" s="14">
        <f>IF(ISNUMBER(J189), (J189 - $B189) / $B189, "")</f>
        <v>3.787878787878788E-3</v>
      </c>
      <c r="L189" s="16">
        <f>IF(ISNUMBER(J189), $B199 * K189, "")</f>
        <v>568.18181818181824</v>
      </c>
      <c r="M189" s="29">
        <v>1325</v>
      </c>
      <c r="N189" s="14">
        <f>IF(ISNUMBER(M189), (M189 - $B189) / $B189, "")</f>
        <v>3.787878787878788E-3</v>
      </c>
      <c r="O189" s="16">
        <f>IF(ISNUMBER(M189), $B199 * N189, "")</f>
        <v>568.18181818181824</v>
      </c>
      <c r="Q189" s="150"/>
      <c r="R189" s="151"/>
      <c r="S189" s="152"/>
    </row>
    <row r="190" spans="1:19" ht="17.25" thickBot="1">
      <c r="A190" s="109" t="s">
        <v>345</v>
      </c>
      <c r="B190" s="110">
        <v>105</v>
      </c>
      <c r="C190" s="70">
        <v>-1.8691588799999999E-2</v>
      </c>
      <c r="D190" s="15">
        <v>105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106</v>
      </c>
      <c r="H190" s="32">
        <f t="shared" ref="H190:H193" si="103">IF(ISNUMBER(G190), (G190 - $B190) / $B190, "")</f>
        <v>9.5238095238095247E-3</v>
      </c>
      <c r="I190" s="91">
        <f>IF(ISNUMBER(G190), $B199 * H190, "")</f>
        <v>1428.5714285714287</v>
      </c>
      <c r="J190" s="15">
        <v>106</v>
      </c>
      <c r="K190" s="32">
        <f t="shared" ref="K190:K193" si="104">IF(ISNUMBER(J190), (J190 - $B190) / $B190, "")</f>
        <v>9.5238095238095247E-3</v>
      </c>
      <c r="L190" s="18">
        <f>IF(ISNUMBER(J190), $B199 * K190, "")</f>
        <v>1428.5714285714287</v>
      </c>
      <c r="M190" s="31">
        <v>106</v>
      </c>
      <c r="N190" s="32">
        <f t="shared" ref="N190:N193" si="105">IF(ISNUMBER(M190), (M190 - $B190) / $B190, "")</f>
        <v>9.5238095238095247E-3</v>
      </c>
      <c r="O190" s="18">
        <f>IF(ISNUMBER(M190), $B199 * N190, "")</f>
        <v>1428.5714285714287</v>
      </c>
      <c r="Q190" s="153"/>
      <c r="R190" s="154"/>
      <c r="S190" s="155"/>
    </row>
    <row r="191" spans="1:19" ht="17.25" thickBot="1">
      <c r="A191" s="109" t="s">
        <v>347</v>
      </c>
      <c r="B191" s="110">
        <v>13640</v>
      </c>
      <c r="C191" s="70">
        <v>-1.9410495999999999E-2</v>
      </c>
      <c r="D191" s="15">
        <v>13690</v>
      </c>
      <c r="E191" s="32">
        <f t="shared" si="102"/>
        <v>3.6656891495601175E-3</v>
      </c>
      <c r="F191" s="18">
        <f>IF(ISNUMBER(D191), $B199 * E191, "")</f>
        <v>549.85337243401761</v>
      </c>
      <c r="G191" s="31">
        <v>13680</v>
      </c>
      <c r="H191" s="32">
        <f t="shared" si="103"/>
        <v>2.9325513196480938E-3</v>
      </c>
      <c r="I191" s="91">
        <f>IF(ISNUMBER(G191), $B199 * H191, "")</f>
        <v>439.88269794721407</v>
      </c>
      <c r="J191" s="15">
        <v>13680</v>
      </c>
      <c r="K191" s="32">
        <f t="shared" si="104"/>
        <v>2.9325513196480938E-3</v>
      </c>
      <c r="L191" s="18">
        <f>IF(ISNUMBER(J191), $B199 * K191, "")</f>
        <v>439.88269794721407</v>
      </c>
      <c r="M191" s="31">
        <v>13690</v>
      </c>
      <c r="N191" s="32">
        <f t="shared" si="105"/>
        <v>3.6656891495601175E-3</v>
      </c>
      <c r="O191" s="18">
        <f>IF(ISNUMBER(M191), $B199 * N191, "")</f>
        <v>549.85337243401761</v>
      </c>
      <c r="Q191" s="146"/>
      <c r="R191" s="146"/>
      <c r="S191" s="146"/>
    </row>
    <row r="192" spans="1:19" ht="17.25" thickBot="1">
      <c r="A192" s="109" t="s">
        <v>211</v>
      </c>
      <c r="B192" s="110">
        <v>899</v>
      </c>
      <c r="C192" s="70">
        <v>-1.9629225699999999E-2</v>
      </c>
      <c r="D192" s="15">
        <v>900</v>
      </c>
      <c r="E192" s="32">
        <f t="shared" si="102"/>
        <v>1.1123470522803114E-3</v>
      </c>
      <c r="F192" s="18">
        <f>IF(ISNUMBER(D192), $B199 * E192, "")</f>
        <v>166.85205784204672</v>
      </c>
      <c r="G192" s="31">
        <v>908</v>
      </c>
      <c r="H192" s="32">
        <f t="shared" si="103"/>
        <v>1.0011123470522803E-2</v>
      </c>
      <c r="I192" s="91">
        <f>IF(ISNUMBER(G192), $B199 * H192, "")</f>
        <v>1501.6685205784204</v>
      </c>
      <c r="J192" s="15">
        <v>908</v>
      </c>
      <c r="K192" s="32">
        <f t="shared" si="104"/>
        <v>1.0011123470522803E-2</v>
      </c>
      <c r="L192" s="18">
        <f>IF(ISNUMBER(J192), $B199 * K192, "")</f>
        <v>1501.6685205784204</v>
      </c>
      <c r="M192" s="31">
        <v>908</v>
      </c>
      <c r="N192" s="32">
        <f t="shared" si="105"/>
        <v>1.0011123470522803E-2</v>
      </c>
      <c r="O192" s="18">
        <f>IF(ISNUMBER(M192), $B199 * N192, "")</f>
        <v>1501.6685205784204</v>
      </c>
      <c r="Q192" s="156"/>
      <c r="R192" s="156"/>
      <c r="S192" s="156"/>
    </row>
    <row r="193" spans="1:19" ht="17.25" thickBot="1">
      <c r="A193" s="111" t="s">
        <v>161</v>
      </c>
      <c r="B193" s="112">
        <v>268</v>
      </c>
      <c r="C193" s="71">
        <v>-2.1897810199999999E-2</v>
      </c>
      <c r="D193" s="20">
        <v>269</v>
      </c>
      <c r="E193" s="21">
        <f t="shared" si="102"/>
        <v>3.7313432835820895E-3</v>
      </c>
      <c r="F193" s="22">
        <f>IF(ISNUMBER(D193), $B199 * E193, "")</f>
        <v>559.70149253731347</v>
      </c>
      <c r="G193" s="30">
        <v>270</v>
      </c>
      <c r="H193" s="21">
        <f t="shared" si="103"/>
        <v>7.462686567164179E-3</v>
      </c>
      <c r="I193" s="95">
        <f>IF(ISNUMBER(G193), $B199 * H193, "")</f>
        <v>1119.4029850746269</v>
      </c>
      <c r="J193" s="20">
        <v>270</v>
      </c>
      <c r="K193" s="21">
        <f t="shared" si="104"/>
        <v>7.462686567164179E-3</v>
      </c>
      <c r="L193" s="22">
        <f>IF(ISNUMBER(J193), $B199 * K193, "")</f>
        <v>1119.4029850746269</v>
      </c>
      <c r="M193" s="30">
        <v>271</v>
      </c>
      <c r="N193" s="21">
        <f t="shared" si="105"/>
        <v>1.1194029850746268E-2</v>
      </c>
      <c r="O193" s="22">
        <f>IF(ISNUMBER(M193), $B199 * N193, "")</f>
        <v>1679.1044776119402</v>
      </c>
      <c r="Q193" s="156"/>
      <c r="R193" s="156"/>
      <c r="S193" s="156"/>
    </row>
    <row r="194" spans="1:19" ht="17.25" thickBot="1">
      <c r="A194" s="109" t="s">
        <v>151</v>
      </c>
      <c r="B194" s="113">
        <v>1630</v>
      </c>
      <c r="C194" s="73">
        <v>-2.39520958E-2</v>
      </c>
      <c r="D194" s="96">
        <v>1635</v>
      </c>
      <c r="E194" s="97">
        <f>IF(ISNUMBER(D194), (D194 - $B194) / $B194, "")</f>
        <v>3.0674846625766872E-3</v>
      </c>
      <c r="F194" s="98">
        <f>IF(ISNUMBER(D194), $B199 * E194, "")</f>
        <v>460.12269938650309</v>
      </c>
      <c r="G194" s="99">
        <v>1645</v>
      </c>
      <c r="H194" s="97">
        <f>IF(ISNUMBER(G194), (G194 - $B194) / $B194, "")</f>
        <v>9.202453987730062E-3</v>
      </c>
      <c r="I194" s="100">
        <f>IF(ISNUMBER(G194), $B199 * H194, "")</f>
        <v>1380.3680981595094</v>
      </c>
      <c r="J194" s="96">
        <v>1645</v>
      </c>
      <c r="K194" s="97">
        <f>IF(ISNUMBER(J194), (J194 - $B194) / $B194, "")</f>
        <v>9.202453987730062E-3</v>
      </c>
      <c r="L194" s="98">
        <f>IF(ISNUMBER(J194), $B199 * K194, "")</f>
        <v>1380.3680981595094</v>
      </c>
      <c r="M194" s="99">
        <v>1640</v>
      </c>
      <c r="N194" s="97">
        <f>IF(ISNUMBER(M194), (M194 - $B194) / $B194, "")</f>
        <v>6.1349693251533744E-3</v>
      </c>
      <c r="O194" s="98">
        <f>IF(ISNUMBER(M194), $B199 * N194, "")</f>
        <v>920.24539877300617</v>
      </c>
      <c r="Q194" s="146"/>
      <c r="R194" s="146"/>
      <c r="S194" s="146"/>
    </row>
    <row r="195" spans="1:19" ht="17.25" thickBot="1">
      <c r="A195" s="109" t="s">
        <v>349</v>
      </c>
      <c r="B195" s="110">
        <v>20.100000000000001</v>
      </c>
      <c r="C195" s="70">
        <v>-2.42718447E-2</v>
      </c>
      <c r="D195" s="15">
        <v>20.100000000000001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20.2</v>
      </c>
      <c r="H195" s="32">
        <f t="shared" ref="H195:H198" si="107">IF(ISNUMBER(G195), (G195 - $B195) / $B195, "")</f>
        <v>4.975124378109346E-3</v>
      </c>
      <c r="I195" s="91">
        <f>IF(ISNUMBER(G195), $B199 * H195, "")</f>
        <v>746.26865671640189</v>
      </c>
      <c r="J195" s="15">
        <v>20.2</v>
      </c>
      <c r="K195" s="32">
        <f t="shared" ref="K195:K198" si="108">IF(ISNUMBER(J195), (J195 - $B195) / $B195, "")</f>
        <v>4.975124378109346E-3</v>
      </c>
      <c r="L195" s="18">
        <f>IF(ISNUMBER(J195), $B199 * K195, "")</f>
        <v>746.26865671640189</v>
      </c>
      <c r="M195" s="31">
        <v>20.100000000000001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146"/>
      <c r="R195" s="146"/>
      <c r="S195" s="146"/>
    </row>
    <row r="196" spans="1:19" ht="17.25" thickBot="1">
      <c r="A196" s="109" t="s">
        <v>350</v>
      </c>
      <c r="B196" s="110">
        <v>5.47</v>
      </c>
      <c r="C196" s="70">
        <v>-3.0141844000000001E-2</v>
      </c>
      <c r="D196" s="15">
        <v>5.51</v>
      </c>
      <c r="E196" s="32">
        <f t="shared" si="106"/>
        <v>7.3126142595978131E-3</v>
      </c>
      <c r="F196" s="18">
        <f>IF(ISNUMBER(D196), $B199 * E196, "")</f>
        <v>1096.8921389396719</v>
      </c>
      <c r="G196" s="31">
        <v>5.6</v>
      </c>
      <c r="H196" s="32">
        <f t="shared" si="107"/>
        <v>2.3765996343692853E-2</v>
      </c>
      <c r="I196" s="91">
        <f>IF(ISNUMBER(G196), $B199 * H196, "")</f>
        <v>3564.899451553928</v>
      </c>
      <c r="J196" s="15">
        <v>5.6</v>
      </c>
      <c r="K196" s="32">
        <f t="shared" si="108"/>
        <v>2.3765996343692853E-2</v>
      </c>
      <c r="L196" s="18">
        <f>IF(ISNUMBER(J196), $B199 * K196, "")</f>
        <v>3564.899451553928</v>
      </c>
      <c r="M196" s="31">
        <v>5.54</v>
      </c>
      <c r="N196" s="32">
        <f t="shared" si="109"/>
        <v>1.2797074954296214E-2</v>
      </c>
      <c r="O196" s="18">
        <f>IF(ISNUMBER(M196), $B199 * N196, "")</f>
        <v>1919.561243144432</v>
      </c>
      <c r="Q196" s="146"/>
      <c r="R196" s="146"/>
      <c r="S196" s="146"/>
    </row>
    <row r="197" spans="1:19">
      <c r="A197" s="109" t="s">
        <v>113</v>
      </c>
      <c r="B197" s="110">
        <v>1050</v>
      </c>
      <c r="C197" s="70">
        <v>-4.1095890400000001E-2</v>
      </c>
      <c r="D197" s="15">
        <v>1050</v>
      </c>
      <c r="E197" s="32">
        <f t="shared" si="106"/>
        <v>0</v>
      </c>
      <c r="F197" s="18">
        <f>IF(ISNUMBER(D197), $B199 * E197, "")</f>
        <v>0</v>
      </c>
      <c r="G197" s="31">
        <v>1055</v>
      </c>
      <c r="H197" s="32">
        <f t="shared" si="107"/>
        <v>4.7619047619047623E-3</v>
      </c>
      <c r="I197" s="91">
        <f>IF(ISNUMBER(G197), $B199 * H197, "")</f>
        <v>714.28571428571433</v>
      </c>
      <c r="J197" s="15">
        <v>1055</v>
      </c>
      <c r="K197" s="32">
        <f t="shared" si="108"/>
        <v>4.7619047619047623E-3</v>
      </c>
      <c r="L197" s="18">
        <f>IF(ISNUMBER(J197), $B199 * K197, "")</f>
        <v>714.28571428571433</v>
      </c>
      <c r="M197" s="31">
        <v>1055</v>
      </c>
      <c r="N197" s="32">
        <f t="shared" si="109"/>
        <v>4.7619047619047623E-3</v>
      </c>
      <c r="O197" s="18">
        <f>IF(ISNUMBER(M197), $B199 * N197, "")</f>
        <v>714.28571428571433</v>
      </c>
      <c r="Q197" s="135"/>
      <c r="R197" s="136"/>
      <c r="S197" s="137"/>
    </row>
    <row r="198" spans="1:19" ht="17.25" thickBot="1">
      <c r="A198" s="114" t="s">
        <v>116</v>
      </c>
      <c r="B198" s="115">
        <v>940</v>
      </c>
      <c r="C198" s="72">
        <v>-5.9059059099999998E-2</v>
      </c>
      <c r="D198" s="24">
        <v>938</v>
      </c>
      <c r="E198" s="25">
        <f t="shared" si="106"/>
        <v>-2.1276595744680851E-3</v>
      </c>
      <c r="F198" s="94">
        <f>IF(ISNUMBER(D198), $B199 * E198, "")</f>
        <v>-319.14893617021278</v>
      </c>
      <c r="G198" s="92">
        <v>935</v>
      </c>
      <c r="H198" s="25">
        <f t="shared" si="107"/>
        <v>-5.3191489361702126E-3</v>
      </c>
      <c r="I198" s="93">
        <f>IF(ISNUMBER(G198), $B199 * H198, "")</f>
        <v>-797.87234042553189</v>
      </c>
      <c r="J198" s="24">
        <v>935</v>
      </c>
      <c r="K198" s="25">
        <f t="shared" si="108"/>
        <v>-5.3191489361702126E-3</v>
      </c>
      <c r="L198" s="94">
        <f>IF(ISNUMBER(J198), $B199 * K198, "")</f>
        <v>-797.87234042553189</v>
      </c>
      <c r="M198" s="92">
        <v>928</v>
      </c>
      <c r="N198" s="25">
        <f t="shared" si="109"/>
        <v>-1.276595744680851E-2</v>
      </c>
      <c r="O198" s="94">
        <f>IF(ISNUMBER(M198), $B199 * N198, "")</f>
        <v>-1914.8936170212764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3.1587483080544169E-3</v>
      </c>
      <c r="F199" s="28">
        <f>SUM(F179:F198)</f>
        <v>9476.2449241632512</v>
      </c>
      <c r="G199" s="26" t="s">
        <v>258</v>
      </c>
      <c r="H199" s="27">
        <f>IF(COUNT(H179:H198), SUM(H179:H198) / COUNT(H179:H198), 0)</f>
        <v>8.2384203696353638E-3</v>
      </c>
      <c r="I199" s="28">
        <f>SUM(I179:I198)</f>
        <v>24715.261108906088</v>
      </c>
      <c r="J199" s="26" t="s">
        <v>258</v>
      </c>
      <c r="K199" s="27">
        <f>IF(COUNT(K179:K198), SUM(K179:K198) / COUNT(K179:K198), 0)</f>
        <v>8.2384203696353638E-3</v>
      </c>
      <c r="L199" s="28">
        <f>SUM(L179:L198)</f>
        <v>24715.261108906088</v>
      </c>
      <c r="M199" s="26" t="s">
        <v>258</v>
      </c>
      <c r="N199" s="27">
        <f>IF(COUNT(N179:N198), SUM(N179:N198) / COUNT(N179:N198), 0)</f>
        <v>6.5094314048615431E-3</v>
      </c>
      <c r="O199" s="28">
        <f>SUM(O179:O198)</f>
        <v>19528.294214584628</v>
      </c>
      <c r="Q199" s="141"/>
      <c r="R199" s="142"/>
      <c r="S199" s="14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2807-12A3-4EFE-8089-2BF7F30F660D}">
  <sheetPr codeName="Sheet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44928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39,395 KRW (1.31%)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37,541 KRW (1.25%)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54,773 KRW (1.83%)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63,515 KRW (2.12%)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21539000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1.0224474E-3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2023-01-02(월) 오전 00:00</v>
      </c>
      <c r="C15" s="196"/>
      <c r="D15" s="170" t="str">
        <f>TEXT($G$1, "[$-ko-KR]yyyy-mm-dd(ddd) ") &amp; "오후 14:00"</f>
        <v>2023-01-02(월) 오후 14:00</v>
      </c>
      <c r="E15" s="171"/>
      <c r="F15" s="172"/>
      <c r="G15" s="170" t="str">
        <f>TEXT($G$1, "[$-ko-KR]yyyy-mm-dd(ddd) ") &amp; "오후 19:00"</f>
        <v>2023-01-02(월) 오후 19:00</v>
      </c>
      <c r="H15" s="171"/>
      <c r="I15" s="172"/>
      <c r="J15" s="170" t="str">
        <f>TEXT($G$1, "[$-ko-KR]yyyy-mm-dd(ddd) ") &amp; "오후 21:00"</f>
        <v>2023-01-02(월) 오후 21:00</v>
      </c>
      <c r="K15" s="171"/>
      <c r="L15" s="172"/>
      <c r="M15" s="170" t="str">
        <f>TEXT($G$1+1, "[$-ko-KR]yyyy-mm-dd(ddd) ") &amp; "오전 00:00"</f>
        <v>2023-01-03(화)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21539000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1.0224474E-3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2023-01-02(월) 오전 00:00</v>
      </c>
      <c r="C42" s="198"/>
      <c r="D42" s="170" t="str">
        <f>TEXT($G$1, "[$-ko-KR]yyyy-mm-dd(ddd) ") &amp; "오후 14:00"</f>
        <v>2023-01-02(월) 오후 14:00</v>
      </c>
      <c r="E42" s="171"/>
      <c r="F42" s="172"/>
      <c r="G42" s="170" t="str">
        <f>TEXT($G$1, "[$-ko-KR]yyyy-mm-dd(ddd) ") &amp; "오후 19:00"</f>
        <v>2023-01-02(월) 오후 19:00</v>
      </c>
      <c r="H42" s="171"/>
      <c r="I42" s="172"/>
      <c r="J42" s="170" t="str">
        <f>TEXT($G$1, "[$-ko-KR]yyyy-mm-dd(ddd) ") &amp; "오후 21:00"</f>
        <v>2023-01-02(월) 오후 21:00</v>
      </c>
      <c r="K42" s="171"/>
      <c r="L42" s="172"/>
      <c r="M42" s="170" t="str">
        <f>TEXT($G$1+1, "[$-ko-KR]yyyy-mm-dd(ddd) ") &amp; "오전 00:00"</f>
        <v>2023-01-03(화)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191</v>
      </c>
      <c r="B44" s="108">
        <v>48.9</v>
      </c>
      <c r="C44" s="69">
        <v>8.1858407100000002E-2</v>
      </c>
      <c r="D44" s="13">
        <v>51.8</v>
      </c>
      <c r="E44" s="14">
        <f>IF(ISNUMBER(D44), (D44 - $B44) / $B44, "")</f>
        <v>5.930470347648259E-2</v>
      </c>
      <c r="F44" s="16">
        <f>IF(ISNUMBER(D44), $B64 * E44, "")</f>
        <v>8895.7055214723878</v>
      </c>
      <c r="G44" s="29">
        <v>50.4</v>
      </c>
      <c r="H44" s="14">
        <f>IF(ISNUMBER(G44), (G44 - $B44) / $B44, "")</f>
        <v>3.0674846625766871E-2</v>
      </c>
      <c r="I44" s="90">
        <f>IF(ISNUMBER(G44), $B64 * H44, "")</f>
        <v>4601.2269938650306</v>
      </c>
      <c r="J44" s="13">
        <v>50.3</v>
      </c>
      <c r="K44" s="14">
        <f>IF(ISNUMBER(J44), (J44 - $B44) / $B44, "")</f>
        <v>2.8629856850715719E-2</v>
      </c>
      <c r="L44" s="16">
        <f>IF(ISNUMBER(J44), $B64 * K44, "")</f>
        <v>4294.478527607358</v>
      </c>
      <c r="M44" s="29">
        <v>50.2</v>
      </c>
      <c r="N44" s="14">
        <f>IF(ISNUMBER(M44), (M44 - $B44) / $B44, "")</f>
        <v>2.6584867075664709E-2</v>
      </c>
      <c r="O44" s="16">
        <f>IF(ISNUMBER(M44), $B64 * N44, "")</f>
        <v>3987.7300613497064</v>
      </c>
      <c r="Q44" s="156"/>
      <c r="R44" s="156"/>
      <c r="S44" s="156"/>
    </row>
    <row r="45" spans="1:19" ht="17.25" customHeight="1" thickBot="1">
      <c r="A45" s="109" t="s">
        <v>71</v>
      </c>
      <c r="B45" s="110">
        <v>9.81</v>
      </c>
      <c r="C45" s="70">
        <v>4.02969247E-2</v>
      </c>
      <c r="D45" s="15">
        <v>9.9499999999999993</v>
      </c>
      <c r="E45" s="32">
        <f t="shared" ref="E45:E48" si="14">IF(ISNUMBER(D45), (D45 - $B45) / $B45, "")</f>
        <v>1.4271151885830662E-2</v>
      </c>
      <c r="F45" s="18">
        <f>IF(ISNUMBER(D45), $B64 * E45, "")</f>
        <v>2140.6727828745993</v>
      </c>
      <c r="G45" s="31">
        <v>9.93</v>
      </c>
      <c r="H45" s="32">
        <f t="shared" ref="H45:H48" si="15">IF(ISNUMBER(G45), (G45 - $B45) / $B45, "")</f>
        <v>1.2232415902140593E-2</v>
      </c>
      <c r="I45" s="91">
        <f>IF(ISNUMBER(G45), $B64 * H45, "")</f>
        <v>1834.8623853210891</v>
      </c>
      <c r="J45" s="15">
        <v>9.93</v>
      </c>
      <c r="K45" s="32">
        <f t="shared" ref="K45:K48" si="16">IF(ISNUMBER(J45), (J45 - $B45) / $B45, "")</f>
        <v>1.2232415902140593E-2</v>
      </c>
      <c r="L45" s="18">
        <f>IF(ISNUMBER(J45), $B64 * K45, "")</f>
        <v>1834.8623853210891</v>
      </c>
      <c r="M45" s="31">
        <v>9.92</v>
      </c>
      <c r="N45" s="32">
        <f t="shared" ref="N45:N48" si="17">IF(ISNUMBER(M45), (M45 - $B45) / $B45, "")</f>
        <v>1.1213047910295558E-2</v>
      </c>
      <c r="O45" s="18">
        <f>IF(ISNUMBER(M45), $B64 * N45, "")</f>
        <v>1681.9571865443338</v>
      </c>
      <c r="Q45" s="156"/>
      <c r="R45" s="156"/>
      <c r="S45" s="156"/>
    </row>
    <row r="46" spans="1:19" ht="17.25" customHeight="1" thickBot="1">
      <c r="A46" s="109" t="s">
        <v>205</v>
      </c>
      <c r="B46" s="110">
        <v>90.3</v>
      </c>
      <c r="C46" s="70">
        <v>2.61363636E-2</v>
      </c>
      <c r="D46" s="15">
        <v>93.8</v>
      </c>
      <c r="E46" s="32">
        <f t="shared" si="14"/>
        <v>3.875968992248062E-2</v>
      </c>
      <c r="F46" s="18">
        <f>IF(ISNUMBER(D46), $B64 * E46, "")</f>
        <v>5813.9534883720926</v>
      </c>
      <c r="G46" s="31">
        <v>91.4</v>
      </c>
      <c r="H46" s="32">
        <f t="shared" si="15"/>
        <v>1.2181616832779718E-2</v>
      </c>
      <c r="I46" s="91">
        <f>IF(ISNUMBER(G46), $B64 * H46, "")</f>
        <v>1827.2425249169576</v>
      </c>
      <c r="J46" s="15">
        <v>91.6</v>
      </c>
      <c r="K46" s="32">
        <f t="shared" si="16"/>
        <v>1.4396456256921342E-2</v>
      </c>
      <c r="L46" s="18">
        <f>IF(ISNUMBER(J46), $B64 * K46, "")</f>
        <v>2159.4684385382011</v>
      </c>
      <c r="M46" s="31">
        <v>91.4</v>
      </c>
      <c r="N46" s="32">
        <f t="shared" si="17"/>
        <v>1.2181616832779718E-2</v>
      </c>
      <c r="O46" s="18">
        <f>IF(ISNUMBER(M46), $B64 * N46, "")</f>
        <v>1827.2425249169576</v>
      </c>
      <c r="Q46" s="146"/>
      <c r="R46" s="146"/>
      <c r="S46" s="146"/>
    </row>
    <row r="47" spans="1:19" ht="17.25" customHeight="1" thickBot="1">
      <c r="A47" s="109" t="s">
        <v>241</v>
      </c>
      <c r="B47" s="110">
        <v>86.9</v>
      </c>
      <c r="C47" s="70">
        <v>2.47641509E-2</v>
      </c>
      <c r="D47" s="15">
        <v>86.8</v>
      </c>
      <c r="E47" s="32">
        <f t="shared" si="14"/>
        <v>-1.1507479861911222E-3</v>
      </c>
      <c r="F47" s="18">
        <f>IF(ISNUMBER(D47), $B64 * E47, "")</f>
        <v>-172.61219792866834</v>
      </c>
      <c r="G47" s="31">
        <v>87.1</v>
      </c>
      <c r="H47" s="32">
        <f t="shared" si="15"/>
        <v>2.3014959723819174E-3</v>
      </c>
      <c r="I47" s="91">
        <f>IF(ISNUMBER(G47), $B64 * H47, "")</f>
        <v>345.22439585728762</v>
      </c>
      <c r="J47" s="15">
        <v>87.2</v>
      </c>
      <c r="K47" s="32">
        <f t="shared" si="16"/>
        <v>3.4522439585730398E-3</v>
      </c>
      <c r="L47" s="18">
        <f>IF(ISNUMBER(J47), $B64 * K47, "")</f>
        <v>517.83659378595598</v>
      </c>
      <c r="M47" s="31">
        <v>87</v>
      </c>
      <c r="N47" s="32">
        <f t="shared" si="17"/>
        <v>1.1507479861909587E-3</v>
      </c>
      <c r="O47" s="18">
        <f>IF(ISNUMBER(M47), $B64 * N47, "")</f>
        <v>172.61219792864381</v>
      </c>
      <c r="Q47" s="146"/>
      <c r="R47" s="146"/>
      <c r="S47" s="146"/>
    </row>
    <row r="48" spans="1:19" ht="17.25" customHeight="1" thickBot="1">
      <c r="A48" s="111" t="s">
        <v>324</v>
      </c>
      <c r="B48" s="112">
        <v>72.400000000000006</v>
      </c>
      <c r="C48" s="71">
        <v>1.68539326E-2</v>
      </c>
      <c r="D48" s="20">
        <v>72.3</v>
      </c>
      <c r="E48" s="21">
        <f t="shared" si="14"/>
        <v>-1.3812154696133774E-3</v>
      </c>
      <c r="F48" s="22">
        <f>IF(ISNUMBER(D48), $B64 * E48, "")</f>
        <v>-207.18232044200661</v>
      </c>
      <c r="G48" s="30">
        <v>73</v>
      </c>
      <c r="H48" s="21">
        <f t="shared" si="15"/>
        <v>8.2872928176794796E-3</v>
      </c>
      <c r="I48" s="95">
        <f>IF(ISNUMBER(G48), $B64 * H48, "")</f>
        <v>1243.093922651922</v>
      </c>
      <c r="J48" s="20">
        <v>73</v>
      </c>
      <c r="K48" s="21">
        <f t="shared" si="16"/>
        <v>8.2872928176794796E-3</v>
      </c>
      <c r="L48" s="22">
        <f>IF(ISNUMBER(J48), $B64 * K48, "")</f>
        <v>1243.093922651922</v>
      </c>
      <c r="M48" s="30">
        <v>72.7</v>
      </c>
      <c r="N48" s="21">
        <f t="shared" si="17"/>
        <v>4.1436464088397398E-3</v>
      </c>
      <c r="O48" s="22">
        <f>IF(ISNUMBER(M48), $B64 * N48, "")</f>
        <v>621.54696132596098</v>
      </c>
      <c r="Q48" s="146"/>
      <c r="R48" s="146"/>
      <c r="S48" s="146"/>
    </row>
    <row r="49" spans="1:19" ht="17.25" customHeight="1" thickBot="1">
      <c r="A49" s="109" t="s">
        <v>209</v>
      </c>
      <c r="B49" s="113">
        <v>70</v>
      </c>
      <c r="C49" s="73">
        <v>1.44927536E-2</v>
      </c>
      <c r="D49" s="96">
        <v>70.5</v>
      </c>
      <c r="E49" s="97">
        <f>IF(ISNUMBER(D49), (D49 - $B49) / $B49, "")</f>
        <v>7.1428571428571426E-3</v>
      </c>
      <c r="F49" s="98">
        <f>IF(ISNUMBER(D49), $B64 * E49, "")</f>
        <v>1071.4285714285713</v>
      </c>
      <c r="G49" s="99">
        <v>70.400000000000006</v>
      </c>
      <c r="H49" s="97">
        <f>IF(ISNUMBER(G49), (G49 - $B49) / $B49, "")</f>
        <v>5.7142857142857958E-3</v>
      </c>
      <c r="I49" s="100">
        <f>IF(ISNUMBER(G49), $B64 * H49, "")</f>
        <v>857.14285714286939</v>
      </c>
      <c r="J49" s="96">
        <v>70.3</v>
      </c>
      <c r="K49" s="97">
        <f>IF(ISNUMBER(J49), (J49 - $B49) / $B49, "")</f>
        <v>4.2857142857142452E-3</v>
      </c>
      <c r="L49" s="98">
        <f>IF(ISNUMBER(J49), $B64 * K49, "")</f>
        <v>642.85714285713675</v>
      </c>
      <c r="M49" s="99">
        <v>70.5</v>
      </c>
      <c r="N49" s="97">
        <f>IF(ISNUMBER(M49), (M49 - $B49) / $B49, "")</f>
        <v>7.1428571428571426E-3</v>
      </c>
      <c r="O49" s="98">
        <f>IF(ISNUMBER(M49), $B64 * N49, "")</f>
        <v>1071.4285714285713</v>
      </c>
      <c r="Q49" s="146"/>
      <c r="R49" s="146"/>
      <c r="S49" s="146"/>
    </row>
    <row r="50" spans="1:19" ht="17.25" customHeight="1" thickBot="1">
      <c r="A50" s="109" t="s">
        <v>323</v>
      </c>
      <c r="B50" s="110">
        <v>2.81E-2</v>
      </c>
      <c r="C50" s="70">
        <v>1.44404332E-2</v>
      </c>
      <c r="D50" s="15">
        <v>2.8000000000000001E-2</v>
      </c>
      <c r="E50" s="32">
        <f t="shared" ref="E50:E53" si="18">IF(ISNUMBER(D50), (D50 - $B50) / $B50, "")</f>
        <v>-3.558718861209943E-3</v>
      </c>
      <c r="F50" s="18">
        <f>IF(ISNUMBER(D50), $B64 * E50, "")</f>
        <v>-533.80782918149146</v>
      </c>
      <c r="G50" s="31">
        <v>2.8500000000000001E-2</v>
      </c>
      <c r="H50" s="32">
        <f t="shared" ref="H50:H53" si="19">IF(ISNUMBER(G50), (G50 - $B50) / $B50, "")</f>
        <v>1.4234875444839895E-2</v>
      </c>
      <c r="I50" s="91">
        <f>IF(ISNUMBER(G50), $B64 * H50, "")</f>
        <v>2135.2313167259845</v>
      </c>
      <c r="J50" s="15">
        <v>2.8199999999999999E-2</v>
      </c>
      <c r="K50" s="32">
        <f t="shared" ref="K50:K53" si="20">IF(ISNUMBER(J50), (J50 - $B50) / $B50, "")</f>
        <v>3.558718861209943E-3</v>
      </c>
      <c r="L50" s="18">
        <f>IF(ISNUMBER(J50), $B64 * K50, "")</f>
        <v>533.80782918149146</v>
      </c>
      <c r="M50" s="31">
        <v>2.8299999999999999E-2</v>
      </c>
      <c r="N50" s="32">
        <f t="shared" ref="N50:N53" si="21">IF(ISNUMBER(M50), (M50 - $B50) / $B50, "")</f>
        <v>7.117437722419886E-3</v>
      </c>
      <c r="O50" s="18">
        <f>IF(ISNUMBER(M50), $B64 * N50, "")</f>
        <v>1067.6156583629829</v>
      </c>
      <c r="Q50" s="146"/>
      <c r="R50" s="146"/>
      <c r="S50" s="146"/>
    </row>
    <row r="51" spans="1:19" ht="17.25" customHeight="1" thickBot="1">
      <c r="A51" s="109" t="s">
        <v>225</v>
      </c>
      <c r="B51" s="110">
        <v>51.2</v>
      </c>
      <c r="C51" s="70">
        <v>1.18577075E-2</v>
      </c>
      <c r="D51" s="15">
        <v>52.1</v>
      </c>
      <c r="E51" s="32">
        <f t="shared" si="18"/>
        <v>1.7578124999999972E-2</v>
      </c>
      <c r="F51" s="18">
        <f>IF(ISNUMBER(D51), $B64 * E51, "")</f>
        <v>2636.7187499999959</v>
      </c>
      <c r="G51" s="31">
        <v>52.5</v>
      </c>
      <c r="H51" s="32">
        <f t="shared" si="19"/>
        <v>2.5390624999999944E-2</v>
      </c>
      <c r="I51" s="91">
        <f>IF(ISNUMBER(G51), $B64 * H51, "")</f>
        <v>3808.5937499999918</v>
      </c>
      <c r="J51" s="15">
        <v>52.2</v>
      </c>
      <c r="K51" s="32">
        <f t="shared" si="20"/>
        <v>1.953125E-2</v>
      </c>
      <c r="L51" s="18">
        <f>IF(ISNUMBER(J51), $B64 * K51, "")</f>
        <v>2929.6875</v>
      </c>
      <c r="M51" s="31">
        <v>51.7</v>
      </c>
      <c r="N51" s="32">
        <f t="shared" si="21"/>
        <v>9.765625E-3</v>
      </c>
      <c r="O51" s="18">
        <f>IF(ISNUMBER(M51), $B64 * N51, "")</f>
        <v>1464.84375</v>
      </c>
      <c r="Q51" s="146"/>
      <c r="R51" s="146"/>
      <c r="S51" s="146"/>
    </row>
    <row r="52" spans="1:19" ht="17.25" customHeight="1" thickBot="1">
      <c r="A52" s="109" t="s">
        <v>138</v>
      </c>
      <c r="B52" s="110">
        <v>19.8</v>
      </c>
      <c r="C52" s="70">
        <v>1.02040816E-2</v>
      </c>
      <c r="D52" s="15">
        <v>19.899999999999999</v>
      </c>
      <c r="E52" s="32">
        <f t="shared" si="18"/>
        <v>5.0505050505049425E-3</v>
      </c>
      <c r="F52" s="18">
        <f>IF(ISNUMBER(D52), $B64 * E52, "")</f>
        <v>757.57575757574136</v>
      </c>
      <c r="G52" s="31">
        <v>20.2</v>
      </c>
      <c r="H52" s="32">
        <f t="shared" si="19"/>
        <v>2.0202020202020131E-2</v>
      </c>
      <c r="I52" s="91">
        <f>IF(ISNUMBER(G52), $B64 * H52, "")</f>
        <v>3030.3030303030196</v>
      </c>
      <c r="J52" s="15">
        <v>20.100000000000001</v>
      </c>
      <c r="K52" s="32">
        <f t="shared" si="20"/>
        <v>1.5151515151515187E-2</v>
      </c>
      <c r="L52" s="18">
        <f>IF(ISNUMBER(J52), $B64 * K52, "")</f>
        <v>2272.727272727278</v>
      </c>
      <c r="M52" s="31">
        <v>20</v>
      </c>
      <c r="N52" s="32">
        <f t="shared" si="21"/>
        <v>1.0101010101010065E-2</v>
      </c>
      <c r="O52" s="18">
        <f>IF(ISNUMBER(M52), $B64 * N52, "")</f>
        <v>1515.1515151515098</v>
      </c>
      <c r="Q52" s="33"/>
      <c r="R52" s="33"/>
    </row>
    <row r="53" spans="1:19" ht="17.25" customHeight="1" thickBot="1">
      <c r="A53" s="114" t="s">
        <v>122</v>
      </c>
      <c r="B53" s="115">
        <v>20.399999999999999</v>
      </c>
      <c r="C53" s="72">
        <v>9.9009900999999997E-3</v>
      </c>
      <c r="D53" s="24">
        <v>20.3</v>
      </c>
      <c r="E53" s="25">
        <f t="shared" si="18"/>
        <v>-4.9019607843136213E-3</v>
      </c>
      <c r="F53" s="94">
        <f>IF(ISNUMBER(D53), $B64 * E53, "")</f>
        <v>-735.29411764704321</v>
      </c>
      <c r="G53" s="92">
        <v>20.6</v>
      </c>
      <c r="H53" s="25">
        <f t="shared" si="19"/>
        <v>9.8039215686275914E-3</v>
      </c>
      <c r="I53" s="93">
        <f>IF(ISNUMBER(G53), $B64 * H53, "")</f>
        <v>1470.5882352941387</v>
      </c>
      <c r="J53" s="24">
        <v>20.6</v>
      </c>
      <c r="K53" s="25">
        <f t="shared" si="20"/>
        <v>9.8039215686275914E-3</v>
      </c>
      <c r="L53" s="94">
        <f>IF(ISNUMBER(J53), $B64 * K53, "")</f>
        <v>1470.5882352941387</v>
      </c>
      <c r="M53" s="92">
        <v>20.399999999999999</v>
      </c>
      <c r="N53" s="25">
        <f t="shared" si="21"/>
        <v>0</v>
      </c>
      <c r="O53" s="94">
        <f>IF(ISNUMBER(M53), $B64 * N53, "")</f>
        <v>0</v>
      </c>
      <c r="Q53" s="147"/>
      <c r="R53" s="148"/>
      <c r="S53" s="149"/>
    </row>
    <row r="54" spans="1:19" ht="17.25" customHeight="1">
      <c r="A54" s="107" t="s">
        <v>51</v>
      </c>
      <c r="B54" s="108">
        <v>91.4</v>
      </c>
      <c r="C54" s="69">
        <v>8.8300220999999995E-3</v>
      </c>
      <c r="D54" s="13">
        <v>91.7</v>
      </c>
      <c r="E54" s="14">
        <f>IF(ISNUMBER(D54), (D54 - $B54) / $B54, "")</f>
        <v>3.2822757111597061E-3</v>
      </c>
      <c r="F54" s="16">
        <f>IF(ISNUMBER(D54), $B64 * E54, "")</f>
        <v>492.34135667395589</v>
      </c>
      <c r="G54" s="29">
        <v>93.4</v>
      </c>
      <c r="H54" s="14">
        <f>IF(ISNUMBER(G54), (G54 - $B54) / $B54, "")</f>
        <v>2.1881838074398249E-2</v>
      </c>
      <c r="I54" s="90">
        <f>IF(ISNUMBER(G54), $B64 * H54, "")</f>
        <v>3282.2757111597375</v>
      </c>
      <c r="J54" s="13">
        <v>92.8</v>
      </c>
      <c r="K54" s="14">
        <f>IF(ISNUMBER(J54), (J54 - $B54) / $B54, "")</f>
        <v>1.531728665207868E-2</v>
      </c>
      <c r="L54" s="16">
        <f>IF(ISNUMBER(J54), $B64 * K54, "")</f>
        <v>2297.592997811802</v>
      </c>
      <c r="M54" s="29">
        <v>93</v>
      </c>
      <c r="N54" s="14">
        <f>IF(ISNUMBER(M54), (M54 - $B54) / $B54, "")</f>
        <v>1.7505470459518536E-2</v>
      </c>
      <c r="O54" s="16">
        <f>IF(ISNUMBER(M54), $B64 * N54, "")</f>
        <v>2625.8205689277806</v>
      </c>
      <c r="Q54" s="150"/>
      <c r="R54" s="151"/>
      <c r="S54" s="152"/>
    </row>
    <row r="55" spans="1:19" ht="17.25" customHeight="1" thickBot="1">
      <c r="A55" s="109" t="s">
        <v>329</v>
      </c>
      <c r="B55" s="110">
        <v>47</v>
      </c>
      <c r="C55" s="70">
        <v>8.5836909999999992E-3</v>
      </c>
      <c r="D55" s="15">
        <v>48.4</v>
      </c>
      <c r="E55" s="32">
        <f t="shared" ref="E55:E58" si="22">IF(ISNUMBER(D55), (D55 - $B55) / $B55, "")</f>
        <v>2.9787234042553162E-2</v>
      </c>
      <c r="F55" s="18">
        <f>IF(ISNUMBER(D55), $B64 * E55, "")</f>
        <v>4468.0851063829741</v>
      </c>
      <c r="G55" s="31">
        <v>49.1</v>
      </c>
      <c r="H55" s="32">
        <f t="shared" ref="H55:H58" si="23">IF(ISNUMBER(G55), (G55 - $B55) / $B55, "")</f>
        <v>4.4680851063829817E-2</v>
      </c>
      <c r="I55" s="91">
        <f>IF(ISNUMBER(G55), $B64 * H55, "")</f>
        <v>6702.127659574473</v>
      </c>
      <c r="J55" s="15">
        <v>49.2</v>
      </c>
      <c r="K55" s="32">
        <f t="shared" ref="K55:K58" si="24">IF(ISNUMBER(J55), (J55 - $B55) / $B55, "")</f>
        <v>4.6808510638297933E-2</v>
      </c>
      <c r="L55" s="18">
        <f>IF(ISNUMBER(J55), $B64 * K55, "")</f>
        <v>7021.27659574469</v>
      </c>
      <c r="M55" s="31">
        <v>48.9</v>
      </c>
      <c r="N55" s="32">
        <f t="shared" ref="N55:N58" si="25">IF(ISNUMBER(M55), (M55 - $B55) / $B55, "")</f>
        <v>4.0425531914893585E-2</v>
      </c>
      <c r="O55" s="18">
        <f>IF(ISNUMBER(M55), $B64 * N55, "")</f>
        <v>6063.8297872340381</v>
      </c>
      <c r="Q55" s="153"/>
      <c r="R55" s="154"/>
      <c r="S55" s="155"/>
    </row>
    <row r="56" spans="1:19" ht="17.25" customHeight="1" thickBot="1">
      <c r="A56" s="109" t="s">
        <v>64</v>
      </c>
      <c r="B56" s="110">
        <v>8.6300000000000008</v>
      </c>
      <c r="C56" s="70">
        <v>5.8275057999999996E-3</v>
      </c>
      <c r="D56" s="15">
        <v>8.82</v>
      </c>
      <c r="E56" s="32">
        <f t="shared" si="22"/>
        <v>2.2016222479721841E-2</v>
      </c>
      <c r="F56" s="18">
        <f>IF(ISNUMBER(D56), $B64 * E56, "")</f>
        <v>3302.433371958276</v>
      </c>
      <c r="G56" s="31">
        <v>8.8699999999999992</v>
      </c>
      <c r="H56" s="32">
        <f t="shared" si="23"/>
        <v>2.7809965237543269E-2</v>
      </c>
      <c r="I56" s="91">
        <f>IF(ISNUMBER(G56), $B64 * H56, "")</f>
        <v>4171.4947856314902</v>
      </c>
      <c r="J56" s="15">
        <v>8.8699999999999992</v>
      </c>
      <c r="K56" s="32">
        <f t="shared" si="24"/>
        <v>2.7809965237543269E-2</v>
      </c>
      <c r="L56" s="18">
        <f>IF(ISNUMBER(J56), $B64 * K56, "")</f>
        <v>4171.4947856314902</v>
      </c>
      <c r="M56" s="31">
        <v>8.83</v>
      </c>
      <c r="N56" s="32">
        <f t="shared" si="25"/>
        <v>2.3174971031286126E-2</v>
      </c>
      <c r="O56" s="18">
        <f>IF(ISNUMBER(M56), $B64 * N56, "")</f>
        <v>3476.2456546929188</v>
      </c>
      <c r="Q56" s="146"/>
      <c r="R56" s="146"/>
      <c r="S56" s="146"/>
    </row>
    <row r="57" spans="1:19" ht="17.25" customHeight="1" thickBot="1">
      <c r="A57" s="109" t="s">
        <v>56</v>
      </c>
      <c r="B57" s="110">
        <v>36.700000000000003</v>
      </c>
      <c r="C57" s="70">
        <v>5.4794520999999997E-3</v>
      </c>
      <c r="D57" s="15">
        <v>36.799999999999997</v>
      </c>
      <c r="E57" s="32">
        <f t="shared" si="22"/>
        <v>2.7247956403268206E-3</v>
      </c>
      <c r="F57" s="18">
        <f>IF(ISNUMBER(D57), $B64 * E57, "")</f>
        <v>408.7193460490231</v>
      </c>
      <c r="G57" s="31">
        <v>37.4</v>
      </c>
      <c r="H57" s="32">
        <f t="shared" si="23"/>
        <v>1.9073569482288711E-2</v>
      </c>
      <c r="I57" s="91">
        <f>IF(ISNUMBER(G57), $B64 * H57, "")</f>
        <v>2861.0354223433064</v>
      </c>
      <c r="J57" s="15">
        <v>37.200000000000003</v>
      </c>
      <c r="K57" s="32">
        <f t="shared" si="24"/>
        <v>1.3623978201634876E-2</v>
      </c>
      <c r="L57" s="18">
        <f>IF(ISNUMBER(J57), $B64 * K57, "")</f>
        <v>2043.5967302452314</v>
      </c>
      <c r="M57" s="31">
        <v>37.1</v>
      </c>
      <c r="N57" s="32">
        <f t="shared" si="25"/>
        <v>1.0899182561307862E-2</v>
      </c>
      <c r="O57" s="18">
        <f>IF(ISNUMBER(M57), $B64 * N57, "")</f>
        <v>1634.8773841961793</v>
      </c>
      <c r="Q57" s="156"/>
      <c r="R57" s="156"/>
      <c r="S57" s="156"/>
    </row>
    <row r="58" spans="1:19" ht="17.25" customHeight="1" thickBot="1">
      <c r="A58" s="111" t="s">
        <v>333</v>
      </c>
      <c r="B58" s="112">
        <v>3.97</v>
      </c>
      <c r="C58" s="71">
        <v>5.0632910999999997E-3</v>
      </c>
      <c r="D58" s="20">
        <v>3.97</v>
      </c>
      <c r="E58" s="21">
        <f t="shared" si="22"/>
        <v>0</v>
      </c>
      <c r="F58" s="22">
        <f>IF(ISNUMBER(D58), $B64 * E58, "")</f>
        <v>0</v>
      </c>
      <c r="G58" s="30">
        <v>4.01</v>
      </c>
      <c r="H58" s="21">
        <f t="shared" si="23"/>
        <v>1.007556675062962E-2</v>
      </c>
      <c r="I58" s="95">
        <f>IF(ISNUMBER(G58), $B64 * H58, "")</f>
        <v>1511.335012594443</v>
      </c>
      <c r="J58" s="20">
        <v>3.98</v>
      </c>
      <c r="K58" s="21">
        <f t="shared" si="24"/>
        <v>2.5188916876573769E-3</v>
      </c>
      <c r="L58" s="22">
        <f>IF(ISNUMBER(J58), $B64 * K58, "")</f>
        <v>377.83375314860655</v>
      </c>
      <c r="M58" s="30">
        <v>3.99</v>
      </c>
      <c r="N58" s="21">
        <f t="shared" si="25"/>
        <v>5.0377833753148657E-3</v>
      </c>
      <c r="O58" s="22">
        <f>IF(ISNUMBER(M58), $B64 * N58, "")</f>
        <v>755.66750629722981</v>
      </c>
      <c r="Q58" s="156"/>
      <c r="R58" s="156"/>
      <c r="S58" s="156"/>
    </row>
    <row r="59" spans="1:19" ht="17.25" customHeight="1" thickBot="1">
      <c r="A59" s="109" t="s">
        <v>185</v>
      </c>
      <c r="B59" s="113">
        <v>22.4</v>
      </c>
      <c r="C59" s="73">
        <v>4.4843048999999996E-3</v>
      </c>
      <c r="D59" s="96">
        <v>22.9</v>
      </c>
      <c r="E59" s="97">
        <f>IF(ISNUMBER(D59), (D59 - $B59) / $B59, "")</f>
        <v>2.2321428571428572E-2</v>
      </c>
      <c r="F59" s="98">
        <f>IF(ISNUMBER(D59), $B64 * E59, "")</f>
        <v>3348.2142857142858</v>
      </c>
      <c r="G59" s="99">
        <v>23</v>
      </c>
      <c r="H59" s="97">
        <f>IF(ISNUMBER(G59), (G59 - $B59) / $B59, "")</f>
        <v>2.678571428571435E-2</v>
      </c>
      <c r="I59" s="100">
        <f>IF(ISNUMBER(G59), $B64 * H59, "")</f>
        <v>4017.8571428571527</v>
      </c>
      <c r="J59" s="96">
        <v>22.9</v>
      </c>
      <c r="K59" s="97">
        <f>IF(ISNUMBER(J59), (J59 - $B59) / $B59, "")</f>
        <v>2.2321428571428572E-2</v>
      </c>
      <c r="L59" s="98">
        <f>IF(ISNUMBER(J59), $B64 * K59, "")</f>
        <v>3348.2142857142858</v>
      </c>
      <c r="M59" s="99">
        <v>23</v>
      </c>
      <c r="N59" s="97">
        <f>IF(ISNUMBER(M59), (M59 - $B59) / $B59, "")</f>
        <v>2.678571428571435E-2</v>
      </c>
      <c r="O59" s="98">
        <f>IF(ISNUMBER(M59), $B64 * N59, "")</f>
        <v>4017.8571428571527</v>
      </c>
      <c r="Q59" s="146"/>
      <c r="R59" s="146"/>
      <c r="S59" s="146"/>
    </row>
    <row r="60" spans="1:19" ht="17.25" customHeight="1" thickBot="1">
      <c r="A60" s="109" t="s">
        <v>155</v>
      </c>
      <c r="B60" s="110">
        <v>23.9</v>
      </c>
      <c r="C60" s="70">
        <v>4.2016807E-3</v>
      </c>
      <c r="D60" s="15">
        <v>23.9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24.2</v>
      </c>
      <c r="H60" s="32">
        <f t="shared" ref="H60:H63" si="27">IF(ISNUMBER(G60), (G60 - $B60) / $B60, "")</f>
        <v>1.2552301255230157E-2</v>
      </c>
      <c r="I60" s="91">
        <f>IF(ISNUMBER(G60), $B64 * H60, "")</f>
        <v>1882.8451882845234</v>
      </c>
      <c r="J60" s="15">
        <v>24.2</v>
      </c>
      <c r="K60" s="32">
        <f t="shared" ref="K60:K63" si="28">IF(ISNUMBER(J60), (J60 - $B60) / $B60, "")</f>
        <v>1.2552301255230157E-2</v>
      </c>
      <c r="L60" s="18">
        <f>IF(ISNUMBER(J60), $B64 * K60, "")</f>
        <v>1882.8451882845234</v>
      </c>
      <c r="M60" s="31">
        <v>24.3</v>
      </c>
      <c r="N60" s="32">
        <f t="shared" ref="N60:N63" si="29">IF(ISNUMBER(M60), (M60 - $B60) / $B60, "")</f>
        <v>1.6736401673640256E-2</v>
      </c>
      <c r="O60" s="18">
        <f>IF(ISNUMBER(M60), $B64 * N60, "")</f>
        <v>2510.4602510460386</v>
      </c>
      <c r="Q60" s="146"/>
      <c r="R60" s="146"/>
      <c r="S60" s="146"/>
    </row>
    <row r="61" spans="1:19" ht="17.25" customHeight="1" thickBot="1">
      <c r="A61" s="109" t="s">
        <v>145</v>
      </c>
      <c r="B61" s="110">
        <v>69.7</v>
      </c>
      <c r="C61" s="70">
        <v>2.8776978000000001E-3</v>
      </c>
      <c r="D61" s="15">
        <v>69.599999999999994</v>
      </c>
      <c r="E61" s="32">
        <f t="shared" si="26"/>
        <v>-1.4347202295553591E-3</v>
      </c>
      <c r="F61" s="18">
        <f>IF(ISNUMBER(D61), $B64 * E61, "")</f>
        <v>-215.20803443330388</v>
      </c>
      <c r="G61" s="31">
        <v>70.400000000000006</v>
      </c>
      <c r="H61" s="32">
        <f t="shared" si="27"/>
        <v>1.0043041606886698E-2</v>
      </c>
      <c r="I61" s="91">
        <f>IF(ISNUMBER(G61), $B64 * H61, "")</f>
        <v>1506.4562410330047</v>
      </c>
      <c r="J61" s="15">
        <v>70.5</v>
      </c>
      <c r="K61" s="32">
        <f t="shared" si="28"/>
        <v>1.1477761836441853E-2</v>
      </c>
      <c r="L61" s="18">
        <f>IF(ISNUMBER(J61), $B64 * K61, "")</f>
        <v>1721.664275466278</v>
      </c>
      <c r="M61" s="31">
        <v>70.2</v>
      </c>
      <c r="N61" s="32">
        <f t="shared" si="29"/>
        <v>7.1736011477761836E-3</v>
      </c>
      <c r="O61" s="18">
        <f>IF(ISNUMBER(M61), $B64 * N61, "")</f>
        <v>1076.0401721664275</v>
      </c>
      <c r="Q61" s="146"/>
      <c r="R61" s="146"/>
      <c r="S61" s="146"/>
    </row>
    <row r="62" spans="1:19" ht="17.25" customHeight="1">
      <c r="A62" s="109" t="s">
        <v>217</v>
      </c>
      <c r="B62" s="110">
        <v>53.3</v>
      </c>
      <c r="C62" s="70">
        <v>1.8796991999999999E-3</v>
      </c>
      <c r="D62" s="15">
        <v>53.2</v>
      </c>
      <c r="E62" s="32">
        <f t="shared" si="26"/>
        <v>-1.8761726078798185E-3</v>
      </c>
      <c r="F62" s="18">
        <f>IF(ISNUMBER(D62), $B64 * E62, "")</f>
        <v>-281.42589118197276</v>
      </c>
      <c r="G62" s="31">
        <v>54</v>
      </c>
      <c r="H62" s="32">
        <f t="shared" si="27"/>
        <v>1.3133208255159529E-2</v>
      </c>
      <c r="I62" s="91">
        <f>IF(ISNUMBER(G62), $B64 * H62, "")</f>
        <v>1969.9812382739294</v>
      </c>
      <c r="J62" s="15">
        <v>54.1</v>
      </c>
      <c r="K62" s="32">
        <f t="shared" si="28"/>
        <v>1.5009380863039481E-2</v>
      </c>
      <c r="L62" s="18">
        <f>IF(ISNUMBER(J62), $B64 * K62, "")</f>
        <v>2251.4071294559221</v>
      </c>
      <c r="M62" s="31">
        <v>54</v>
      </c>
      <c r="N62" s="32">
        <f t="shared" si="29"/>
        <v>1.3133208255159529E-2</v>
      </c>
      <c r="O62" s="18">
        <f>IF(ISNUMBER(M62), $B64 * N62, "")</f>
        <v>1969.9812382739294</v>
      </c>
      <c r="Q62" s="135"/>
      <c r="R62" s="136"/>
      <c r="S62" s="137"/>
    </row>
    <row r="63" spans="1:19" ht="17.25" customHeight="1" thickBot="1">
      <c r="A63" s="114" t="s">
        <v>97</v>
      </c>
      <c r="B63" s="115">
        <v>8.0000000000000004E-4</v>
      </c>
      <c r="C63" s="72">
        <v>0</v>
      </c>
      <c r="D63" s="24">
        <v>8.0000000000000004E-4</v>
      </c>
      <c r="E63" s="25">
        <f t="shared" si="26"/>
        <v>0</v>
      </c>
      <c r="F63" s="94">
        <f>IF(ISNUMBER(D63), $B64 * E63, "")</f>
        <v>0</v>
      </c>
      <c r="G63" s="92">
        <v>6.9999999999999999E-4</v>
      </c>
      <c r="H63" s="25">
        <f t="shared" si="27"/>
        <v>-0.12500000000000006</v>
      </c>
      <c r="I63" s="93">
        <f>IF(ISNUMBER(G63), $B64 * H63, "")</f>
        <v>-18750.000000000007</v>
      </c>
      <c r="J63" s="24">
        <v>8.0000000000000004E-4</v>
      </c>
      <c r="K63" s="25">
        <f t="shared" si="28"/>
        <v>0</v>
      </c>
      <c r="L63" s="94">
        <f>IF(ISNUMBER(J63), $B64 * K63, "")</f>
        <v>0</v>
      </c>
      <c r="M63" s="92">
        <v>8.0000000000000004E-4</v>
      </c>
      <c r="N63" s="25">
        <f t="shared" si="29"/>
        <v>0</v>
      </c>
      <c r="O63" s="94">
        <f>IF(ISNUMBER(M63), $B64 * N63, "")</f>
        <v>0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1.0396772649229141E-2</v>
      </c>
      <c r="F64" s="28">
        <f>SUM(F44:F63)</f>
        <v>31190.317947687414</v>
      </c>
      <c r="G64" s="26" t="s">
        <v>258</v>
      </c>
      <c r="H64" s="27">
        <f>IF(COUNT(H44:H63), SUM(H44:H63) / COUNT(H44:H63), 0)</f>
        <v>1.010297260461011E-2</v>
      </c>
      <c r="I64" s="28">
        <f>SUM(I44:I63)</f>
        <v>30308.917813830354</v>
      </c>
      <c r="J64" s="26" t="s">
        <v>258</v>
      </c>
      <c r="K64" s="27">
        <f>IF(COUNT(K44:K63), SUM(K44:K63) / COUNT(K44:K63), 0)</f>
        <v>1.4338444529822464E-2</v>
      </c>
      <c r="L64" s="28">
        <f>SUM(L44:L63)</f>
        <v>43015.333589467395</v>
      </c>
      <c r="M64" s="26" t="s">
        <v>258</v>
      </c>
      <c r="N64" s="27">
        <f>IF(COUNT(N44:N63), SUM(N44:N63) / COUNT(N44:N63), 0)</f>
        <v>1.2513636044233455E-2</v>
      </c>
      <c r="O64" s="28">
        <f>SUM(O44:O63)</f>
        <v>37540.908132700366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21539000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1.0224474E-3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2023-01-02(월) 오전 00:00</v>
      </c>
      <c r="C69" s="198"/>
      <c r="D69" s="170" t="str">
        <f>TEXT($G$1, "[$-ko-KR]yyyy-mm-dd(ddd) ") &amp; "오후 14:00"</f>
        <v>2023-01-02(월) 오후 14:00</v>
      </c>
      <c r="E69" s="171"/>
      <c r="F69" s="172"/>
      <c r="G69" s="170" t="str">
        <f>TEXT($G$1, "[$-ko-KR]yyyy-mm-dd(ddd) ") &amp; "오후 19:00"</f>
        <v>2023-01-02(월) 오후 19:00</v>
      </c>
      <c r="H69" s="171"/>
      <c r="I69" s="172"/>
      <c r="J69" s="170" t="str">
        <f>TEXT($G$1, "[$-ko-KR]yyyy-mm-dd(ddd) ") &amp; "오후 21:00"</f>
        <v>2023-01-02(월) 오후 21:00</v>
      </c>
      <c r="K69" s="171"/>
      <c r="L69" s="172"/>
      <c r="M69" s="170" t="str">
        <f>TEXT($G$1+1, "[$-ko-KR]yyyy-mm-dd(ddd) ") &amp; "오전 00:00"</f>
        <v>2023-01-03(화)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120</v>
      </c>
      <c r="B71" s="108">
        <v>101</v>
      </c>
      <c r="C71" s="69">
        <v>5.7591623000000002E-2</v>
      </c>
      <c r="D71" s="13">
        <v>101</v>
      </c>
      <c r="E71" s="14">
        <f>IF(ISNUMBER(D71), (D71 - $B71) / $B71, "")</f>
        <v>0</v>
      </c>
      <c r="F71" s="16">
        <f>IF(ISNUMBER(D71), $B91 * E71, "")</f>
        <v>0</v>
      </c>
      <c r="G71" s="29">
        <v>103</v>
      </c>
      <c r="H71" s="14">
        <f>IF(ISNUMBER(G71), (G71 - $B71) / $B71, "")</f>
        <v>1.9801980198019802E-2</v>
      </c>
      <c r="I71" s="90">
        <f>IF(ISNUMBER(G71), $B91 * H71, "")</f>
        <v>2970.2970297029701</v>
      </c>
      <c r="J71" s="13">
        <v>103</v>
      </c>
      <c r="K71" s="14">
        <f>IF(ISNUMBER(J71), (J71 - $B71) / $B71, "")</f>
        <v>1.9801980198019802E-2</v>
      </c>
      <c r="L71" s="16">
        <f>IF(ISNUMBER(J71), $B91 * K71, "")</f>
        <v>2970.2970297029701</v>
      </c>
      <c r="M71" s="29">
        <v>102</v>
      </c>
      <c r="N71" s="14">
        <f>IF(ISNUMBER(M71), (M71 - $B71) / $B71, "")</f>
        <v>9.9009900990099011E-3</v>
      </c>
      <c r="O71" s="16">
        <f>IF(ISNUMBER(M71), $B91 * N71, "")</f>
        <v>1485.1485148514851</v>
      </c>
      <c r="Q71" s="156"/>
      <c r="R71" s="156"/>
      <c r="S71" s="156"/>
    </row>
    <row r="72" spans="1:19" ht="17.25" thickBot="1">
      <c r="A72" s="109" t="s">
        <v>101</v>
      </c>
      <c r="B72" s="110">
        <v>195</v>
      </c>
      <c r="C72" s="70">
        <v>1.5625E-2</v>
      </c>
      <c r="D72" s="15">
        <v>193</v>
      </c>
      <c r="E72" s="32">
        <f t="shared" ref="E72:E75" si="30">IF(ISNUMBER(D72), (D72 - $B72) / $B72, "")</f>
        <v>-1.0256410256410256E-2</v>
      </c>
      <c r="F72" s="18">
        <f>IF(ISNUMBER(D72), $B91 * E72, "")</f>
        <v>-1538.4615384615386</v>
      </c>
      <c r="G72" s="31">
        <v>196</v>
      </c>
      <c r="H72" s="32">
        <f t="shared" ref="H72:H75" si="31">IF(ISNUMBER(G72), (G72 - $B72) / $B72, "")</f>
        <v>5.1282051282051282E-3</v>
      </c>
      <c r="I72" s="91">
        <f>IF(ISNUMBER(G72), $B91 * H72, "")</f>
        <v>769.23076923076928</v>
      </c>
      <c r="J72" s="15">
        <v>195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195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56"/>
      <c r="R72" s="156"/>
      <c r="S72" s="156"/>
    </row>
    <row r="73" spans="1:19" ht="17.25" thickBot="1">
      <c r="A73" s="109" t="s">
        <v>213</v>
      </c>
      <c r="B73" s="110">
        <v>404</v>
      </c>
      <c r="C73" s="70">
        <v>1.50753769E-2</v>
      </c>
      <c r="D73" s="15">
        <v>404</v>
      </c>
      <c r="E73" s="32">
        <f t="shared" si="30"/>
        <v>0</v>
      </c>
      <c r="F73" s="18">
        <f>IF(ISNUMBER(D73), $B91 * E73, "")</f>
        <v>0</v>
      </c>
      <c r="G73" s="31">
        <v>407</v>
      </c>
      <c r="H73" s="32">
        <f t="shared" si="31"/>
        <v>7.4257425742574254E-3</v>
      </c>
      <c r="I73" s="91">
        <f>IF(ISNUMBER(G73), $B91 * H73, "")</f>
        <v>1113.8613861386139</v>
      </c>
      <c r="J73" s="15">
        <v>406</v>
      </c>
      <c r="K73" s="32">
        <f t="shared" si="32"/>
        <v>4.9504950495049506E-3</v>
      </c>
      <c r="L73" s="18">
        <f>IF(ISNUMBER(J73), $B91 * K73, "")</f>
        <v>742.57425742574253</v>
      </c>
      <c r="M73" s="31">
        <v>405</v>
      </c>
      <c r="N73" s="32">
        <f t="shared" si="33"/>
        <v>2.4752475247524753E-3</v>
      </c>
      <c r="O73" s="18">
        <f>IF(ISNUMBER(M73), $B91 * N73, "")</f>
        <v>371.28712871287127</v>
      </c>
      <c r="Q73" s="146"/>
      <c r="R73" s="146"/>
      <c r="S73" s="146"/>
    </row>
    <row r="74" spans="1:19" ht="17.25" thickBot="1">
      <c r="A74" s="109" t="s">
        <v>169</v>
      </c>
      <c r="B74" s="110">
        <v>218</v>
      </c>
      <c r="C74" s="70">
        <v>1.39534884E-2</v>
      </c>
      <c r="D74" s="15">
        <v>219</v>
      </c>
      <c r="E74" s="32">
        <f t="shared" si="30"/>
        <v>4.5871559633027525E-3</v>
      </c>
      <c r="F74" s="18">
        <f>IF(ISNUMBER(D74), $B91 * E74, "")</f>
        <v>688.07339449541291</v>
      </c>
      <c r="G74" s="31">
        <v>225</v>
      </c>
      <c r="H74" s="32">
        <f t="shared" si="31"/>
        <v>3.2110091743119268E-2</v>
      </c>
      <c r="I74" s="91">
        <f>IF(ISNUMBER(G74), $B91 * H74, "")</f>
        <v>4816.5137614678906</v>
      </c>
      <c r="J74" s="15">
        <v>224</v>
      </c>
      <c r="K74" s="32">
        <f t="shared" si="32"/>
        <v>2.7522935779816515E-2</v>
      </c>
      <c r="L74" s="18">
        <f>IF(ISNUMBER(J74), $B91 * K74, "")</f>
        <v>4128.440366972477</v>
      </c>
      <c r="M74" s="31">
        <v>226</v>
      </c>
      <c r="N74" s="32">
        <f t="shared" si="33"/>
        <v>3.669724770642202E-2</v>
      </c>
      <c r="O74" s="18">
        <f>IF(ISNUMBER(M74), $B91 * N74, "")</f>
        <v>5504.5871559633033</v>
      </c>
      <c r="Q74" s="146"/>
      <c r="R74" s="146"/>
      <c r="S74" s="146"/>
    </row>
    <row r="75" spans="1:19" ht="17.25" thickBot="1">
      <c r="A75" s="111" t="s">
        <v>79</v>
      </c>
      <c r="B75" s="112">
        <v>213</v>
      </c>
      <c r="C75" s="71">
        <v>9.478673E-3</v>
      </c>
      <c r="D75" s="20">
        <v>214</v>
      </c>
      <c r="E75" s="21">
        <f t="shared" si="30"/>
        <v>4.6948356807511738E-3</v>
      </c>
      <c r="F75" s="22">
        <f>IF(ISNUMBER(D75), $B91 * E75, "")</f>
        <v>704.22535211267609</v>
      </c>
      <c r="G75" s="30">
        <v>219</v>
      </c>
      <c r="H75" s="21">
        <f t="shared" si="31"/>
        <v>2.8169014084507043E-2</v>
      </c>
      <c r="I75" s="95">
        <f>IF(ISNUMBER(G75), $B91 * H75, "")</f>
        <v>4225.3521126760561</v>
      </c>
      <c r="J75" s="20">
        <v>218</v>
      </c>
      <c r="K75" s="21">
        <f t="shared" si="32"/>
        <v>2.3474178403755867E-2</v>
      </c>
      <c r="L75" s="22">
        <f>IF(ISNUMBER(J75), $B91 * K75, "")</f>
        <v>3521.1267605633802</v>
      </c>
      <c r="M75" s="30">
        <v>217</v>
      </c>
      <c r="N75" s="21">
        <f t="shared" si="33"/>
        <v>1.8779342723004695E-2</v>
      </c>
      <c r="O75" s="22">
        <f>IF(ISNUMBER(M75), $B91 * N75, "")</f>
        <v>2816.9014084507044</v>
      </c>
      <c r="Q75" s="146"/>
      <c r="R75" s="146"/>
      <c r="S75" s="146"/>
    </row>
    <row r="76" spans="1:19" ht="17.25" thickBot="1">
      <c r="A76" s="109" t="s">
        <v>326</v>
      </c>
      <c r="B76" s="113">
        <v>221</v>
      </c>
      <c r="C76" s="73">
        <v>9.1324201000000001E-3</v>
      </c>
      <c r="D76" s="96">
        <v>226</v>
      </c>
      <c r="E76" s="97">
        <f>IF(ISNUMBER(D76), (D76 - $B76) / $B76, "")</f>
        <v>2.2624434389140271E-2</v>
      </c>
      <c r="F76" s="98">
        <f>IF(ISNUMBER(D76), $B91 * E76, "")</f>
        <v>3393.6651583710404</v>
      </c>
      <c r="G76" s="99">
        <v>231</v>
      </c>
      <c r="H76" s="97">
        <f>IF(ISNUMBER(G76), (G76 - $B76) / $B76, "")</f>
        <v>4.5248868778280542E-2</v>
      </c>
      <c r="I76" s="100">
        <f>IF(ISNUMBER(G76), $B91 * H76, "")</f>
        <v>6787.3303167420809</v>
      </c>
      <c r="J76" s="96">
        <v>230</v>
      </c>
      <c r="K76" s="97">
        <f>IF(ISNUMBER(J76), (J76 - $B76) / $B76, "")</f>
        <v>4.072398190045249E-2</v>
      </c>
      <c r="L76" s="98">
        <f>IF(ISNUMBER(J76), $B91 * K76, "")</f>
        <v>6108.5972850678736</v>
      </c>
      <c r="M76" s="99">
        <v>230</v>
      </c>
      <c r="N76" s="97">
        <f>IF(ISNUMBER(M76), (M76 - $B76) / $B76, "")</f>
        <v>4.072398190045249E-2</v>
      </c>
      <c r="O76" s="98">
        <f>IF(ISNUMBER(M76), $B91 * N76, "")</f>
        <v>6108.5972850678736</v>
      </c>
      <c r="Q76" s="146"/>
      <c r="R76" s="146"/>
      <c r="S76" s="146"/>
    </row>
    <row r="77" spans="1:19" ht="17.25" thickBot="1">
      <c r="A77" s="109" t="s">
        <v>183</v>
      </c>
      <c r="B77" s="110">
        <v>114</v>
      </c>
      <c r="C77" s="70">
        <v>8.8495575000000007E-3</v>
      </c>
      <c r="D77" s="15">
        <v>114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116</v>
      </c>
      <c r="H77" s="32">
        <f t="shared" ref="H77:H80" si="35">IF(ISNUMBER(G77), (G77 - $B77) / $B77, "")</f>
        <v>1.7543859649122806E-2</v>
      </c>
      <c r="I77" s="91">
        <f>IF(ISNUMBER(G77), $B91 * H77, "")</f>
        <v>2631.5789473684208</v>
      </c>
      <c r="J77" s="15">
        <v>115</v>
      </c>
      <c r="K77" s="32">
        <f t="shared" ref="K77:K80" si="36">IF(ISNUMBER(J77), (J77 - $B77) / $B77, "")</f>
        <v>8.771929824561403E-3</v>
      </c>
      <c r="L77" s="18">
        <f>IF(ISNUMBER(J77), $B91 * K77, "")</f>
        <v>1315.7894736842104</v>
      </c>
      <c r="M77" s="31">
        <v>115</v>
      </c>
      <c r="N77" s="32">
        <f t="shared" ref="N77:N80" si="37">IF(ISNUMBER(M77), (M77 - $B77) / $B77, "")</f>
        <v>8.771929824561403E-3</v>
      </c>
      <c r="O77" s="18">
        <f>IF(ISNUMBER(M77), $B91 * N77, "")</f>
        <v>1315.7894736842104</v>
      </c>
      <c r="Q77" s="146"/>
      <c r="R77" s="146"/>
      <c r="S77" s="146"/>
    </row>
    <row r="78" spans="1:19" ht="17.25" thickBot="1">
      <c r="A78" s="109" t="s">
        <v>85</v>
      </c>
      <c r="B78" s="110">
        <v>129</v>
      </c>
      <c r="C78" s="70">
        <v>7.8125E-3</v>
      </c>
      <c r="D78" s="15">
        <v>127</v>
      </c>
      <c r="E78" s="32">
        <f t="shared" si="34"/>
        <v>-1.5503875968992248E-2</v>
      </c>
      <c r="F78" s="18">
        <f>IF(ISNUMBER(D78), $B91 * E78, "")</f>
        <v>-2325.5813953488373</v>
      </c>
      <c r="G78" s="31">
        <v>131</v>
      </c>
      <c r="H78" s="32">
        <f t="shared" si="35"/>
        <v>1.5503875968992248E-2</v>
      </c>
      <c r="I78" s="91">
        <f>IF(ISNUMBER(G78), $B91 * H78, "")</f>
        <v>2325.5813953488373</v>
      </c>
      <c r="J78" s="15">
        <v>131</v>
      </c>
      <c r="K78" s="32">
        <f t="shared" si="36"/>
        <v>1.5503875968992248E-2</v>
      </c>
      <c r="L78" s="18">
        <f>IF(ISNUMBER(J78), $B91 * K78, "")</f>
        <v>2325.5813953488373</v>
      </c>
      <c r="M78" s="31">
        <v>130</v>
      </c>
      <c r="N78" s="32">
        <f t="shared" si="37"/>
        <v>7.7519379844961239E-3</v>
      </c>
      <c r="O78" s="18">
        <f>IF(ISNUMBER(M78), $B91 * N78, "")</f>
        <v>1162.7906976744187</v>
      </c>
      <c r="Q78" s="146"/>
      <c r="R78" s="146"/>
      <c r="S78" s="146"/>
    </row>
    <row r="79" spans="1:19" ht="17.25" thickBot="1">
      <c r="A79" s="109" t="s">
        <v>321</v>
      </c>
      <c r="B79" s="110">
        <v>150</v>
      </c>
      <c r="C79" s="70">
        <v>6.7114093999999999E-3</v>
      </c>
      <c r="D79" s="15">
        <v>151</v>
      </c>
      <c r="E79" s="32">
        <f t="shared" si="34"/>
        <v>6.6666666666666671E-3</v>
      </c>
      <c r="F79" s="18">
        <f>IF(ISNUMBER(D79), $B91 * E79, "")</f>
        <v>1000.0000000000001</v>
      </c>
      <c r="G79" s="31">
        <v>153</v>
      </c>
      <c r="H79" s="32">
        <f t="shared" si="35"/>
        <v>0.02</v>
      </c>
      <c r="I79" s="91">
        <f>IF(ISNUMBER(G79), $B91 * H79, "")</f>
        <v>3000</v>
      </c>
      <c r="J79" s="15">
        <v>154</v>
      </c>
      <c r="K79" s="32">
        <f t="shared" si="36"/>
        <v>2.6666666666666668E-2</v>
      </c>
      <c r="L79" s="18">
        <f>IF(ISNUMBER(J79), $B91 * K79, "")</f>
        <v>4000.0000000000005</v>
      </c>
      <c r="M79" s="31">
        <v>153</v>
      </c>
      <c r="N79" s="32">
        <f t="shared" si="37"/>
        <v>0.02</v>
      </c>
      <c r="O79" s="18">
        <f>IF(ISNUMBER(M79), $B91 * N79, "")</f>
        <v>3000</v>
      </c>
      <c r="Q79" s="33"/>
      <c r="R79" s="33"/>
    </row>
    <row r="80" spans="1:19" ht="17.25" thickBot="1">
      <c r="A80" s="114" t="s">
        <v>231</v>
      </c>
      <c r="B80" s="115">
        <v>303</v>
      </c>
      <c r="C80" s="72">
        <v>6.6445183E-3</v>
      </c>
      <c r="D80" s="24">
        <v>301</v>
      </c>
      <c r="E80" s="25">
        <f t="shared" si="34"/>
        <v>-6.6006600660066007E-3</v>
      </c>
      <c r="F80" s="94">
        <f>IF(ISNUMBER(D80), $B91 * E80, "")</f>
        <v>-990.09900990099015</v>
      </c>
      <c r="G80" s="92">
        <v>305</v>
      </c>
      <c r="H80" s="25">
        <f t="shared" si="35"/>
        <v>6.6006600660066007E-3</v>
      </c>
      <c r="I80" s="93">
        <f>IF(ISNUMBER(G80), $B91 * H80, "")</f>
        <v>990.09900990099015</v>
      </c>
      <c r="J80" s="24">
        <v>305</v>
      </c>
      <c r="K80" s="25">
        <f t="shared" si="36"/>
        <v>6.6006600660066007E-3</v>
      </c>
      <c r="L80" s="94">
        <f>IF(ISNUMBER(J80), $B91 * K80, "")</f>
        <v>990.09900990099015</v>
      </c>
      <c r="M80" s="92">
        <v>305</v>
      </c>
      <c r="N80" s="25">
        <f t="shared" si="37"/>
        <v>6.6006600660066007E-3</v>
      </c>
      <c r="O80" s="94">
        <f>IF(ISNUMBER(M80), $B91 * N80, "")</f>
        <v>990.09900990099015</v>
      </c>
      <c r="Q80" s="147"/>
      <c r="R80" s="148"/>
      <c r="S80" s="149"/>
    </row>
    <row r="81" spans="1:19">
      <c r="A81" s="107" t="s">
        <v>103</v>
      </c>
      <c r="B81" s="108">
        <v>190</v>
      </c>
      <c r="C81" s="69">
        <v>5.2910053000000002E-3</v>
      </c>
      <c r="D81" s="13">
        <v>190</v>
      </c>
      <c r="E81" s="14">
        <f>IF(ISNUMBER(D81), (D81 - $B81) / $B81, "")</f>
        <v>0</v>
      </c>
      <c r="F81" s="16">
        <f>IF(ISNUMBER(D81), $B91 * E81, "")</f>
        <v>0</v>
      </c>
      <c r="G81" s="29">
        <v>196</v>
      </c>
      <c r="H81" s="14">
        <f>IF(ISNUMBER(G81), (G81 - $B81) / $B81, "")</f>
        <v>3.1578947368421054E-2</v>
      </c>
      <c r="I81" s="90">
        <f>IF(ISNUMBER(G81), $B91 * H81, "")</f>
        <v>4736.8421052631584</v>
      </c>
      <c r="J81" s="13">
        <v>197</v>
      </c>
      <c r="K81" s="14">
        <f>IF(ISNUMBER(J81), (J81 - $B81) / $B81, "")</f>
        <v>3.6842105263157891E-2</v>
      </c>
      <c r="L81" s="16">
        <f>IF(ISNUMBER(J81), $B91 * K81, "")</f>
        <v>5526.3157894736833</v>
      </c>
      <c r="M81" s="29">
        <v>197</v>
      </c>
      <c r="N81" s="14">
        <f>IF(ISNUMBER(M81), (M81 - $B81) / $B81, "")</f>
        <v>3.6842105263157891E-2</v>
      </c>
      <c r="O81" s="16">
        <f>IF(ISNUMBER(M81), $B91 * N81, "")</f>
        <v>5526.3157894736833</v>
      </c>
      <c r="Q81" s="150"/>
      <c r="R81" s="151"/>
      <c r="S81" s="152"/>
    </row>
    <row r="82" spans="1:19" ht="17.25" thickBot="1">
      <c r="A82" s="109" t="s">
        <v>317</v>
      </c>
      <c r="B82" s="110">
        <v>571</v>
      </c>
      <c r="C82" s="70">
        <v>5.2816900999999999E-3</v>
      </c>
      <c r="D82" s="15">
        <v>557</v>
      </c>
      <c r="E82" s="32">
        <f t="shared" ref="E82:E85" si="38">IF(ISNUMBER(D82), (D82 - $B82) / $B82, "")</f>
        <v>-2.4518388791593695E-2</v>
      </c>
      <c r="F82" s="18">
        <f>IF(ISNUMBER(D82), $B91 * E82, "")</f>
        <v>-3677.7583187390542</v>
      </c>
      <c r="G82" s="31">
        <v>564</v>
      </c>
      <c r="H82" s="32">
        <f t="shared" ref="H82:H85" si="39">IF(ISNUMBER(G82), (G82 - $B82) / $B82, "")</f>
        <v>-1.2259194395796848E-2</v>
      </c>
      <c r="I82" s="91">
        <f>IF(ISNUMBER(G82), $B91 * H82, "")</f>
        <v>-1838.8791593695271</v>
      </c>
      <c r="J82" s="15">
        <v>564</v>
      </c>
      <c r="K82" s="32">
        <f t="shared" ref="K82:K85" si="40">IF(ISNUMBER(J82), (J82 - $B82) / $B82, "")</f>
        <v>-1.2259194395796848E-2</v>
      </c>
      <c r="L82" s="18">
        <f>IF(ISNUMBER(J82), $B91 * K82, "")</f>
        <v>-1838.8791593695271</v>
      </c>
      <c r="M82" s="31">
        <v>566</v>
      </c>
      <c r="N82" s="32">
        <f t="shared" ref="N82:N85" si="41">IF(ISNUMBER(M82), (M82 - $B82) / $B82, "")</f>
        <v>-8.7565674255691769E-3</v>
      </c>
      <c r="O82" s="18">
        <f>IF(ISNUMBER(M82), $B91 * N82, "")</f>
        <v>-1313.4851138353765</v>
      </c>
      <c r="Q82" s="153"/>
      <c r="R82" s="154"/>
      <c r="S82" s="155"/>
    </row>
    <row r="83" spans="1:19" ht="17.25" thickBot="1">
      <c r="A83" s="109" t="s">
        <v>157</v>
      </c>
      <c r="B83" s="110">
        <v>200</v>
      </c>
      <c r="C83" s="70">
        <v>5.0251256000000003E-3</v>
      </c>
      <c r="D83" s="15">
        <v>202</v>
      </c>
      <c r="E83" s="32">
        <f t="shared" si="38"/>
        <v>0.01</v>
      </c>
      <c r="F83" s="18">
        <f>IF(ISNUMBER(D83), $B91 * E83, "")</f>
        <v>1500</v>
      </c>
      <c r="G83" s="31">
        <v>203</v>
      </c>
      <c r="H83" s="32">
        <f t="shared" si="39"/>
        <v>1.4999999999999999E-2</v>
      </c>
      <c r="I83" s="91">
        <f>IF(ISNUMBER(G83), $B91 * H83, "")</f>
        <v>2250</v>
      </c>
      <c r="J83" s="15">
        <v>205</v>
      </c>
      <c r="K83" s="32">
        <f t="shared" si="40"/>
        <v>2.5000000000000001E-2</v>
      </c>
      <c r="L83" s="18">
        <f>IF(ISNUMBER(J83), $B91 * K83, "")</f>
        <v>3750</v>
      </c>
      <c r="M83" s="31">
        <v>204</v>
      </c>
      <c r="N83" s="32">
        <f t="shared" si="41"/>
        <v>0.02</v>
      </c>
      <c r="O83" s="18">
        <f>IF(ISNUMBER(M83), $B91 * N83, "")</f>
        <v>3000</v>
      </c>
      <c r="Q83" s="146"/>
      <c r="R83" s="146"/>
      <c r="S83" s="146"/>
    </row>
    <row r="84" spans="1:19" ht="17.25" thickBot="1">
      <c r="A84" s="109" t="s">
        <v>239</v>
      </c>
      <c r="B84" s="110">
        <v>408</v>
      </c>
      <c r="C84" s="70">
        <v>4.9261084000000004E-3</v>
      </c>
      <c r="D84" s="15">
        <v>409</v>
      </c>
      <c r="E84" s="32">
        <f t="shared" si="38"/>
        <v>2.4509803921568627E-3</v>
      </c>
      <c r="F84" s="18">
        <f>IF(ISNUMBER(D84), $B91 * E84, "")</f>
        <v>367.64705882352939</v>
      </c>
      <c r="G84" s="31">
        <v>411</v>
      </c>
      <c r="H84" s="32">
        <f t="shared" si="39"/>
        <v>7.3529411764705881E-3</v>
      </c>
      <c r="I84" s="91">
        <f>IF(ISNUMBER(G84), $B91 * H84, "")</f>
        <v>1102.9411764705883</v>
      </c>
      <c r="J84" s="15">
        <v>411</v>
      </c>
      <c r="K84" s="32">
        <f t="shared" si="40"/>
        <v>7.3529411764705881E-3</v>
      </c>
      <c r="L84" s="18">
        <f>IF(ISNUMBER(J84), $B91 * K84, "")</f>
        <v>1102.9411764705883</v>
      </c>
      <c r="M84" s="31">
        <v>410</v>
      </c>
      <c r="N84" s="32">
        <f t="shared" si="41"/>
        <v>4.9019607843137254E-3</v>
      </c>
      <c r="O84" s="18">
        <f>IF(ISNUMBER(M84), $B91 * N84, "")</f>
        <v>735.29411764705878</v>
      </c>
      <c r="Q84" s="156"/>
      <c r="R84" s="156"/>
      <c r="S84" s="156"/>
    </row>
    <row r="85" spans="1:19" ht="17.25" thickBot="1">
      <c r="A85" s="111" t="s">
        <v>199</v>
      </c>
      <c r="B85" s="112">
        <v>263</v>
      </c>
      <c r="C85" s="71">
        <v>3.8167939000000001E-3</v>
      </c>
      <c r="D85" s="20">
        <v>263</v>
      </c>
      <c r="E85" s="21">
        <f t="shared" si="38"/>
        <v>0</v>
      </c>
      <c r="F85" s="22">
        <f>IF(ISNUMBER(D85), $B91 * E85, "")</f>
        <v>0</v>
      </c>
      <c r="G85" s="30">
        <v>266</v>
      </c>
      <c r="H85" s="21">
        <f t="shared" si="39"/>
        <v>1.1406844106463879E-2</v>
      </c>
      <c r="I85" s="95">
        <f>IF(ISNUMBER(G85), $B91 * H85, "")</f>
        <v>1711.0266159695818</v>
      </c>
      <c r="J85" s="20">
        <v>267</v>
      </c>
      <c r="K85" s="21">
        <f t="shared" si="40"/>
        <v>1.5209125475285171E-2</v>
      </c>
      <c r="L85" s="22">
        <f>IF(ISNUMBER(J85), $B91 * K85, "")</f>
        <v>2281.3688212927755</v>
      </c>
      <c r="M85" s="30">
        <v>267</v>
      </c>
      <c r="N85" s="21">
        <f t="shared" si="41"/>
        <v>1.5209125475285171E-2</v>
      </c>
      <c r="O85" s="22">
        <f>IF(ISNUMBER(M85), $B91 * N85, "")</f>
        <v>2281.3688212927755</v>
      </c>
      <c r="Q85" s="156"/>
      <c r="R85" s="156"/>
      <c r="S85" s="156"/>
    </row>
    <row r="86" spans="1:19" ht="17.25" thickBot="1">
      <c r="A86" s="109" t="s">
        <v>176</v>
      </c>
      <c r="B86" s="113">
        <v>274</v>
      </c>
      <c r="C86" s="73">
        <v>3.6630037E-3</v>
      </c>
      <c r="D86" s="96">
        <v>278</v>
      </c>
      <c r="E86" s="97">
        <f>IF(ISNUMBER(D86), (D86 - $B86) / $B86, "")</f>
        <v>1.4598540145985401E-2</v>
      </c>
      <c r="F86" s="98">
        <f>IF(ISNUMBER(D86), $B91 * E86, "")</f>
        <v>2189.7810218978102</v>
      </c>
      <c r="G86" s="99">
        <v>279</v>
      </c>
      <c r="H86" s="97">
        <f>IF(ISNUMBER(G86), (G86 - $B86) / $B86, "")</f>
        <v>1.824817518248175E-2</v>
      </c>
      <c r="I86" s="100">
        <f>IF(ISNUMBER(G86), $B91 * H86, "")</f>
        <v>2737.2262773722628</v>
      </c>
      <c r="J86" s="96">
        <v>280</v>
      </c>
      <c r="K86" s="97">
        <f>IF(ISNUMBER(J86), (J86 - $B86) / $B86, "")</f>
        <v>2.1897810218978103E-2</v>
      </c>
      <c r="L86" s="98">
        <f>IF(ISNUMBER(J86), $B91 * K86, "")</f>
        <v>3284.6715328467153</v>
      </c>
      <c r="M86" s="99">
        <v>281</v>
      </c>
      <c r="N86" s="97">
        <f>IF(ISNUMBER(M86), (M86 - $B86) / $B86, "")</f>
        <v>2.5547445255474453E-2</v>
      </c>
      <c r="O86" s="98">
        <f>IF(ISNUMBER(M86), $B91 * N86, "")</f>
        <v>3832.1167883211679</v>
      </c>
      <c r="Q86" s="146"/>
      <c r="R86" s="146"/>
      <c r="S86" s="146"/>
    </row>
    <row r="87" spans="1:19" ht="17.25" thickBot="1">
      <c r="A87" s="109" t="s">
        <v>149</v>
      </c>
      <c r="B87" s="110">
        <v>307</v>
      </c>
      <c r="C87" s="70">
        <v>3.2679738999999998E-3</v>
      </c>
      <c r="D87" s="15">
        <v>306</v>
      </c>
      <c r="E87" s="32">
        <f t="shared" ref="E87:E90" si="42">IF(ISNUMBER(D87), (D87 - $B87) / $B87, "")</f>
        <v>-3.2573289902280132E-3</v>
      </c>
      <c r="F87" s="18">
        <f>IF(ISNUMBER(D87), $B91 * E87, "")</f>
        <v>-488.59934853420197</v>
      </c>
      <c r="G87" s="31">
        <v>315</v>
      </c>
      <c r="H87" s="32">
        <f t="shared" ref="H87:H90" si="43">IF(ISNUMBER(G87), (G87 - $B87) / $B87, "")</f>
        <v>2.6058631921824105E-2</v>
      </c>
      <c r="I87" s="91">
        <f>IF(ISNUMBER(G87), $B91 * H87, "")</f>
        <v>3908.7947882736157</v>
      </c>
      <c r="J87" s="15">
        <v>313</v>
      </c>
      <c r="K87" s="32">
        <f t="shared" ref="K87:K90" si="44">IF(ISNUMBER(J87), (J87 - $B87) / $B87, "")</f>
        <v>1.9543973941368076E-2</v>
      </c>
      <c r="L87" s="18">
        <f>IF(ISNUMBER(J87), $B91 * K87, "")</f>
        <v>2931.5960912052115</v>
      </c>
      <c r="M87" s="31">
        <v>314</v>
      </c>
      <c r="N87" s="32">
        <f t="shared" ref="N87:N90" si="45">IF(ISNUMBER(M87), (M87 - $B87) / $B87, "")</f>
        <v>2.2801302931596091E-2</v>
      </c>
      <c r="O87" s="18">
        <f>IF(ISNUMBER(M87), $B91 * N87, "")</f>
        <v>3420.1954397394138</v>
      </c>
      <c r="Q87" s="146"/>
      <c r="R87" s="146"/>
      <c r="S87" s="146"/>
    </row>
    <row r="88" spans="1:19" ht="17.25" thickBot="1">
      <c r="A88" s="109" t="s">
        <v>81</v>
      </c>
      <c r="B88" s="110">
        <v>314</v>
      </c>
      <c r="C88" s="70">
        <v>3.1948882E-3</v>
      </c>
      <c r="D88" s="15">
        <v>319</v>
      </c>
      <c r="E88" s="32">
        <f t="shared" si="42"/>
        <v>1.5923566878980892E-2</v>
      </c>
      <c r="F88" s="18">
        <f>IF(ISNUMBER(D88), $B91 * E88, "")</f>
        <v>2388.5350318471337</v>
      </c>
      <c r="G88" s="31">
        <v>324</v>
      </c>
      <c r="H88" s="32">
        <f t="shared" si="43"/>
        <v>3.1847133757961783E-2</v>
      </c>
      <c r="I88" s="91">
        <f>IF(ISNUMBER(G88), $B91 * H88, "")</f>
        <v>4777.0700636942674</v>
      </c>
      <c r="J88" s="15">
        <v>324</v>
      </c>
      <c r="K88" s="32">
        <f t="shared" si="44"/>
        <v>3.1847133757961783E-2</v>
      </c>
      <c r="L88" s="18">
        <f>IF(ISNUMBER(J88), $B91 * K88, "")</f>
        <v>4777.0700636942674</v>
      </c>
      <c r="M88" s="31">
        <v>322</v>
      </c>
      <c r="N88" s="32">
        <f t="shared" si="45"/>
        <v>2.5477707006369428E-2</v>
      </c>
      <c r="O88" s="18">
        <f>IF(ISNUMBER(M88), $B91 * N88, "")</f>
        <v>3821.6560509554142</v>
      </c>
      <c r="Q88" s="146"/>
      <c r="R88" s="146"/>
      <c r="S88" s="146"/>
    </row>
    <row r="89" spans="1:19">
      <c r="A89" s="109" t="s">
        <v>219</v>
      </c>
      <c r="B89" s="110">
        <v>330</v>
      </c>
      <c r="C89" s="70">
        <v>3.0395137E-3</v>
      </c>
      <c r="D89" s="15">
        <v>330</v>
      </c>
      <c r="E89" s="32">
        <f t="shared" si="42"/>
        <v>0</v>
      </c>
      <c r="F89" s="18">
        <f>IF(ISNUMBER(D89), $B91 * E89, "")</f>
        <v>0</v>
      </c>
      <c r="G89" s="31">
        <v>333</v>
      </c>
      <c r="H89" s="32">
        <f t="shared" si="43"/>
        <v>9.0909090909090905E-3</v>
      </c>
      <c r="I89" s="91">
        <f>IF(ISNUMBER(G89), $B91 * H89, "")</f>
        <v>1363.6363636363635</v>
      </c>
      <c r="J89" s="15">
        <v>334</v>
      </c>
      <c r="K89" s="32">
        <f t="shared" si="44"/>
        <v>1.2121212121212121E-2</v>
      </c>
      <c r="L89" s="18">
        <f>IF(ISNUMBER(J89), $B91 * K89, "")</f>
        <v>1818.1818181818182</v>
      </c>
      <c r="M89" s="31">
        <v>334</v>
      </c>
      <c r="N89" s="32">
        <f t="shared" si="45"/>
        <v>1.2121212121212121E-2</v>
      </c>
      <c r="O89" s="18">
        <f>IF(ISNUMBER(M89), $B91 * N89, "")</f>
        <v>1818.1818181818182</v>
      </c>
      <c r="Q89" s="135"/>
      <c r="R89" s="136"/>
      <c r="S89" s="137"/>
    </row>
    <row r="90" spans="1:19" ht="17.25" thickBot="1">
      <c r="A90" s="114" t="s">
        <v>111</v>
      </c>
      <c r="B90" s="115">
        <v>489</v>
      </c>
      <c r="C90" s="72">
        <v>2.0491802999999999E-3</v>
      </c>
      <c r="D90" s="24">
        <v>497</v>
      </c>
      <c r="E90" s="25">
        <f t="shared" si="42"/>
        <v>1.6359918200408999E-2</v>
      </c>
      <c r="F90" s="94">
        <f>IF(ISNUMBER(D90), $B91 * E90, "")</f>
        <v>2453.9877300613498</v>
      </c>
      <c r="G90" s="92">
        <v>514</v>
      </c>
      <c r="H90" s="25">
        <f t="shared" si="43"/>
        <v>5.112474437627812E-2</v>
      </c>
      <c r="I90" s="93">
        <f>IF(ISNUMBER(G90), $B91 * H90, "")</f>
        <v>7668.7116564417183</v>
      </c>
      <c r="J90" s="24">
        <v>513</v>
      </c>
      <c r="K90" s="25">
        <f t="shared" si="44"/>
        <v>4.9079754601226995E-2</v>
      </c>
      <c r="L90" s="94">
        <f>IF(ISNUMBER(J90), $B91 * K90, "")</f>
        <v>7361.9631901840494</v>
      </c>
      <c r="M90" s="92">
        <v>518</v>
      </c>
      <c r="N90" s="25">
        <f t="shared" si="45"/>
        <v>5.9304703476482618E-2</v>
      </c>
      <c r="O90" s="94">
        <f>IF(ISNUMBER(M90), $B91 * N90, "")</f>
        <v>8895.7055214723932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1.8884717122081105E-3</v>
      </c>
      <c r="F91" s="28">
        <f>SUM(F71:F90)</f>
        <v>5665.4151366243304</v>
      </c>
      <c r="G91" s="26" t="s">
        <v>258</v>
      </c>
      <c r="H91" s="27">
        <f>IF(COUNT(H71:H90), SUM(H71:H90) / COUNT(H71:H90), 0)</f>
        <v>1.934907153877622E-2</v>
      </c>
      <c r="I91" s="28">
        <f>SUM(I71:I90)</f>
        <v>58047.214616328652</v>
      </c>
      <c r="J91" s="26" t="s">
        <v>258</v>
      </c>
      <c r="K91" s="27">
        <f>IF(COUNT(K71:K90), SUM(K71:K90) / COUNT(K71:K90), 0)</f>
        <v>1.9032578300882022E-2</v>
      </c>
      <c r="L91" s="28">
        <f>SUM(L71:L90)</f>
        <v>57097.734902646051</v>
      </c>
      <c r="M91" s="26" t="s">
        <v>258</v>
      </c>
      <c r="N91" s="27">
        <f>IF(COUNT(N71:N90), SUM(N71:N90) / COUNT(N71:N90), 0)</f>
        <v>1.8257516635851401E-2</v>
      </c>
      <c r="O91" s="28">
        <f>SUM(O71:O90)</f>
        <v>54772.549907554203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21539000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1.0224474E-3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2023-01-02(월) 오전 00:00</v>
      </c>
      <c r="C96" s="198"/>
      <c r="D96" s="170" t="str">
        <f>TEXT($G$1, "[$-ko-KR]yyyy-mm-dd(ddd) ") &amp; "오후 14:00"</f>
        <v>2023-01-02(월) 오후 14:00</v>
      </c>
      <c r="E96" s="171"/>
      <c r="F96" s="172"/>
      <c r="G96" s="170" t="str">
        <f>TEXT($G$1, "[$-ko-KR]yyyy-mm-dd(ddd) ") &amp; "오후 19:00"</f>
        <v>2023-01-02(월) 오후 19:00</v>
      </c>
      <c r="H96" s="171"/>
      <c r="I96" s="172"/>
      <c r="J96" s="170" t="str">
        <f>TEXT($G$1, "[$-ko-KR]yyyy-mm-dd(ddd) ") &amp; "오후 21:00"</f>
        <v>2023-01-02(월) 오후 21:00</v>
      </c>
      <c r="K96" s="171"/>
      <c r="L96" s="172"/>
      <c r="M96" s="170" t="str">
        <f>TEXT($G$1+1, "[$-ko-KR]yyyy-mm-dd(ddd) ") &amp; "오전 00:00"</f>
        <v>2023-01-03(화)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191</v>
      </c>
      <c r="B98" s="108">
        <v>48.9</v>
      </c>
      <c r="C98" s="69">
        <v>8.1858407100000002E-2</v>
      </c>
      <c r="D98" s="13">
        <v>51.8</v>
      </c>
      <c r="E98" s="14">
        <f>IF(ISNUMBER(D98), (D98 - $B98) / $B98, "")</f>
        <v>5.930470347648259E-2</v>
      </c>
      <c r="F98" s="16">
        <f>IF(ISNUMBER(D98), $B118 * E98, "")</f>
        <v>8895.7055214723878</v>
      </c>
      <c r="G98" s="29">
        <v>50.4</v>
      </c>
      <c r="H98" s="14">
        <f>IF(ISNUMBER(G98), (G98 - $B98) / $B98, "")</f>
        <v>3.0674846625766871E-2</v>
      </c>
      <c r="I98" s="90">
        <f>IF(ISNUMBER(G98), $B118 * H98, "")</f>
        <v>4601.2269938650306</v>
      </c>
      <c r="J98" s="13">
        <v>50.3</v>
      </c>
      <c r="K98" s="14">
        <f>IF(ISNUMBER(J98), (J98 - $B98) / $B98, "")</f>
        <v>2.8629856850715719E-2</v>
      </c>
      <c r="L98" s="16">
        <f>IF(ISNUMBER(J98), $B118 * K98, "")</f>
        <v>4294.478527607358</v>
      </c>
      <c r="M98" s="29">
        <v>50.2</v>
      </c>
      <c r="N98" s="14">
        <f>IF(ISNUMBER(M98), (M98 - $B98) / $B98, "")</f>
        <v>2.6584867075664709E-2</v>
      </c>
      <c r="O98" s="16">
        <f>IF(ISNUMBER(M98), $B118 * N98, "")</f>
        <v>3987.7300613497064</v>
      </c>
      <c r="Q98" s="156"/>
      <c r="R98" s="156"/>
      <c r="S98" s="156"/>
    </row>
    <row r="99" spans="1:19" ht="17.25" thickBot="1">
      <c r="A99" s="109" t="s">
        <v>120</v>
      </c>
      <c r="B99" s="110">
        <v>101</v>
      </c>
      <c r="C99" s="70">
        <v>5.7591623000000002E-2</v>
      </c>
      <c r="D99" s="15">
        <v>101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103</v>
      </c>
      <c r="H99" s="32">
        <f t="shared" ref="H99:H102" si="47">IF(ISNUMBER(G99), (G99 - $B99) / $B99, "")</f>
        <v>1.9801980198019802E-2</v>
      </c>
      <c r="I99" s="91">
        <f>IF(ISNUMBER(G99), $B118 * H99, "")</f>
        <v>2970.2970297029701</v>
      </c>
      <c r="J99" s="15">
        <v>103</v>
      </c>
      <c r="K99" s="32">
        <f t="shared" ref="K99:K102" si="48">IF(ISNUMBER(J99), (J99 - $B99) / $B99, "")</f>
        <v>1.9801980198019802E-2</v>
      </c>
      <c r="L99" s="18">
        <f>IF(ISNUMBER(J99), $B118 * K99, "")</f>
        <v>2970.2970297029701</v>
      </c>
      <c r="M99" s="31">
        <v>102</v>
      </c>
      <c r="N99" s="32">
        <f t="shared" ref="N99:N102" si="49">IF(ISNUMBER(M99), (M99 - $B99) / $B99, "")</f>
        <v>9.9009900990099011E-3</v>
      </c>
      <c r="O99" s="18">
        <f>IF(ISNUMBER(M99), $B118 * N99, "")</f>
        <v>1485.1485148514851</v>
      </c>
      <c r="Q99" s="156"/>
      <c r="R99" s="156"/>
      <c r="S99" s="156"/>
    </row>
    <row r="100" spans="1:19" ht="17.25" thickBot="1">
      <c r="A100" s="109" t="s">
        <v>62</v>
      </c>
      <c r="B100" s="110">
        <v>8185</v>
      </c>
      <c r="C100" s="70">
        <v>4.5338441899999998E-2</v>
      </c>
      <c r="D100" s="15">
        <v>8135</v>
      </c>
      <c r="E100" s="32">
        <f t="shared" si="46"/>
        <v>-6.1087354917532073E-3</v>
      </c>
      <c r="F100" s="18">
        <f>IF(ISNUMBER(D100), $B118 * E100, "")</f>
        <v>-916.31032376298106</v>
      </c>
      <c r="G100" s="31">
        <v>8220</v>
      </c>
      <c r="H100" s="32">
        <f t="shared" si="47"/>
        <v>4.2761148442272447E-3</v>
      </c>
      <c r="I100" s="91">
        <f>IF(ISNUMBER(G100), $B118 * H100, "")</f>
        <v>641.41722663408666</v>
      </c>
      <c r="J100" s="15">
        <v>8215</v>
      </c>
      <c r="K100" s="32">
        <f t="shared" si="48"/>
        <v>3.6652412950519244E-3</v>
      </c>
      <c r="L100" s="18">
        <f>IF(ISNUMBER(J100), $B118 * K100, "")</f>
        <v>549.78619425778868</v>
      </c>
      <c r="M100" s="31">
        <v>8195</v>
      </c>
      <c r="N100" s="32">
        <f t="shared" si="49"/>
        <v>1.2217470983506415E-3</v>
      </c>
      <c r="O100" s="18">
        <f>IF(ISNUMBER(M100), $B118 * N100, "")</f>
        <v>183.26206475259622</v>
      </c>
      <c r="Q100" s="146"/>
      <c r="R100" s="146"/>
      <c r="S100" s="146"/>
    </row>
    <row r="101" spans="1:19" ht="17.25" thickBot="1">
      <c r="A101" s="109" t="s">
        <v>71</v>
      </c>
      <c r="B101" s="110">
        <v>9.81</v>
      </c>
      <c r="C101" s="70">
        <v>4.02969247E-2</v>
      </c>
      <c r="D101" s="15">
        <v>9.9499999999999993</v>
      </c>
      <c r="E101" s="32">
        <f t="shared" si="46"/>
        <v>1.4271151885830662E-2</v>
      </c>
      <c r="F101" s="18">
        <f>IF(ISNUMBER(D101), $B118 * E101, "")</f>
        <v>2140.6727828745993</v>
      </c>
      <c r="G101" s="31">
        <v>9.93</v>
      </c>
      <c r="H101" s="32">
        <f t="shared" si="47"/>
        <v>1.2232415902140593E-2</v>
      </c>
      <c r="I101" s="91">
        <f>IF(ISNUMBER(G101), $B118 * H101, "")</f>
        <v>1834.8623853210891</v>
      </c>
      <c r="J101" s="15">
        <v>9.93</v>
      </c>
      <c r="K101" s="32">
        <f t="shared" si="48"/>
        <v>1.2232415902140593E-2</v>
      </c>
      <c r="L101" s="18">
        <f>IF(ISNUMBER(J101), $B118 * K101, "")</f>
        <v>1834.8623853210891</v>
      </c>
      <c r="M101" s="31">
        <v>9.92</v>
      </c>
      <c r="N101" s="32">
        <f t="shared" si="49"/>
        <v>1.1213047910295558E-2</v>
      </c>
      <c r="O101" s="18">
        <f>IF(ISNUMBER(M101), $B118 * N101, "")</f>
        <v>1681.9571865443338</v>
      </c>
      <c r="Q101" s="146"/>
      <c r="R101" s="146"/>
      <c r="S101" s="146"/>
    </row>
    <row r="102" spans="1:19" ht="17.25" thickBot="1">
      <c r="A102" s="111" t="s">
        <v>205</v>
      </c>
      <c r="B102" s="112">
        <v>90.3</v>
      </c>
      <c r="C102" s="71">
        <v>2.61363636E-2</v>
      </c>
      <c r="D102" s="20">
        <v>93.8</v>
      </c>
      <c r="E102" s="21">
        <f t="shared" si="46"/>
        <v>3.875968992248062E-2</v>
      </c>
      <c r="F102" s="22">
        <f>IF(ISNUMBER(D102), $B118 * E102, "")</f>
        <v>5813.9534883720926</v>
      </c>
      <c r="G102" s="30">
        <v>91.4</v>
      </c>
      <c r="H102" s="21">
        <f t="shared" si="47"/>
        <v>1.2181616832779718E-2</v>
      </c>
      <c r="I102" s="95">
        <f>IF(ISNUMBER(G102), $B118 * H102, "")</f>
        <v>1827.2425249169576</v>
      </c>
      <c r="J102" s="20">
        <v>91.6</v>
      </c>
      <c r="K102" s="21">
        <f t="shared" si="48"/>
        <v>1.4396456256921342E-2</v>
      </c>
      <c r="L102" s="22">
        <f>IF(ISNUMBER(J102), $B118 * K102, "")</f>
        <v>2159.4684385382011</v>
      </c>
      <c r="M102" s="30">
        <v>91.4</v>
      </c>
      <c r="N102" s="21">
        <f t="shared" si="49"/>
        <v>1.2181616832779718E-2</v>
      </c>
      <c r="O102" s="22">
        <f>IF(ISNUMBER(M102), $B118 * N102, "")</f>
        <v>1827.2425249169576</v>
      </c>
      <c r="Q102" s="146"/>
      <c r="R102" s="146"/>
      <c r="S102" s="146"/>
    </row>
    <row r="103" spans="1:19" ht="17.25" thickBot="1">
      <c r="A103" s="109" t="s">
        <v>241</v>
      </c>
      <c r="B103" s="113">
        <v>86.9</v>
      </c>
      <c r="C103" s="73">
        <v>2.47641509E-2</v>
      </c>
      <c r="D103" s="96">
        <v>86.8</v>
      </c>
      <c r="E103" s="97">
        <f>IF(ISNUMBER(D103), (D103 - $B103) / $B103, "")</f>
        <v>-1.1507479861911222E-3</v>
      </c>
      <c r="F103" s="98">
        <f>IF(ISNUMBER(D103), $B118 * E103, "")</f>
        <v>-172.61219792866834</v>
      </c>
      <c r="G103" s="99">
        <v>87.1</v>
      </c>
      <c r="H103" s="97">
        <f>IF(ISNUMBER(G103), (G103 - $B103) / $B103, "")</f>
        <v>2.3014959723819174E-3</v>
      </c>
      <c r="I103" s="100">
        <f>IF(ISNUMBER(G103), $B118 * H103, "")</f>
        <v>345.22439585728762</v>
      </c>
      <c r="J103" s="96">
        <v>87.2</v>
      </c>
      <c r="K103" s="97">
        <f>IF(ISNUMBER(J103), (J103 - $B103) / $B103, "")</f>
        <v>3.4522439585730398E-3</v>
      </c>
      <c r="L103" s="98">
        <f>IF(ISNUMBER(J103), $B118 * K103, "")</f>
        <v>517.83659378595598</v>
      </c>
      <c r="M103" s="99">
        <v>87</v>
      </c>
      <c r="N103" s="97">
        <f>IF(ISNUMBER(M103), (M103 - $B103) / $B103, "")</f>
        <v>1.1507479861909587E-3</v>
      </c>
      <c r="O103" s="98">
        <f>IF(ISNUMBER(M103), $B118 * N103, "")</f>
        <v>172.61219792864381</v>
      </c>
      <c r="Q103" s="146"/>
      <c r="R103" s="146"/>
      <c r="S103" s="146"/>
    </row>
    <row r="104" spans="1:19" ht="17.25" thickBot="1">
      <c r="A104" s="109" t="s">
        <v>172</v>
      </c>
      <c r="B104" s="110">
        <v>2380</v>
      </c>
      <c r="C104" s="70">
        <v>1.9271948600000002E-2</v>
      </c>
      <c r="D104" s="15">
        <v>2380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2420</v>
      </c>
      <c r="H104" s="32">
        <f t="shared" ref="H104:H107" si="51">IF(ISNUMBER(G104), (G104 - $B104) / $B104, "")</f>
        <v>1.680672268907563E-2</v>
      </c>
      <c r="I104" s="91">
        <f>IF(ISNUMBER(G104), $B118 * H104, "")</f>
        <v>2521.0084033613443</v>
      </c>
      <c r="J104" s="15">
        <v>2410</v>
      </c>
      <c r="K104" s="32">
        <f t="shared" ref="K104:K107" si="52">IF(ISNUMBER(J104), (J104 - $B104) / $B104, "")</f>
        <v>1.2605042016806723E-2</v>
      </c>
      <c r="L104" s="18">
        <f>IF(ISNUMBER(J104), $B118 * K104, "")</f>
        <v>1890.7563025210084</v>
      </c>
      <c r="M104" s="31">
        <v>2415</v>
      </c>
      <c r="N104" s="32">
        <f t="shared" ref="N104:N107" si="53">IF(ISNUMBER(M104), (M104 - $B104) / $B104, "")</f>
        <v>1.4705882352941176E-2</v>
      </c>
      <c r="O104" s="18">
        <f>IF(ISNUMBER(M104), $B118 * N104, "")</f>
        <v>2205.8823529411766</v>
      </c>
      <c r="Q104" s="146"/>
      <c r="R104" s="146"/>
      <c r="S104" s="146"/>
    </row>
    <row r="105" spans="1:19" ht="17.25" thickBot="1">
      <c r="A105" s="109" t="s">
        <v>134</v>
      </c>
      <c r="B105" s="110">
        <v>1330</v>
      </c>
      <c r="C105" s="70">
        <v>1.9157088100000001E-2</v>
      </c>
      <c r="D105" s="15">
        <v>1315</v>
      </c>
      <c r="E105" s="32">
        <f t="shared" si="50"/>
        <v>-1.1278195488721804E-2</v>
      </c>
      <c r="F105" s="18">
        <f>IF(ISNUMBER(D105), $B118 * E105, "")</f>
        <v>-1691.7293233082705</v>
      </c>
      <c r="G105" s="31">
        <v>1340</v>
      </c>
      <c r="H105" s="32">
        <f t="shared" si="51"/>
        <v>7.5187969924812026E-3</v>
      </c>
      <c r="I105" s="91">
        <f>IF(ISNUMBER(G105), $B118 * H105, "")</f>
        <v>1127.8195488721803</v>
      </c>
      <c r="J105" s="15">
        <v>1335</v>
      </c>
      <c r="K105" s="32">
        <f t="shared" si="52"/>
        <v>3.7593984962406013E-3</v>
      </c>
      <c r="L105" s="18">
        <f>IF(ISNUMBER(J105), $B118 * K105, "")</f>
        <v>563.90977443609017</v>
      </c>
      <c r="M105" s="31">
        <v>1340</v>
      </c>
      <c r="N105" s="32">
        <f t="shared" si="53"/>
        <v>7.5187969924812026E-3</v>
      </c>
      <c r="O105" s="18">
        <f>IF(ISNUMBER(M105), $B118 * N105, "")</f>
        <v>1127.8195488721803</v>
      </c>
      <c r="Q105" s="146"/>
      <c r="R105" s="146"/>
      <c r="S105" s="146"/>
    </row>
    <row r="106" spans="1:19" ht="17.25" thickBot="1">
      <c r="A106" s="109" t="s">
        <v>324</v>
      </c>
      <c r="B106" s="110">
        <v>72.400000000000006</v>
      </c>
      <c r="C106" s="70">
        <v>1.68539326E-2</v>
      </c>
      <c r="D106" s="15">
        <v>72.3</v>
      </c>
      <c r="E106" s="32">
        <f t="shared" si="50"/>
        <v>-1.3812154696133774E-3</v>
      </c>
      <c r="F106" s="18">
        <f>IF(ISNUMBER(D106), $B118 * E106, "")</f>
        <v>-207.18232044200661</v>
      </c>
      <c r="G106" s="31">
        <v>73</v>
      </c>
      <c r="H106" s="32">
        <f t="shared" si="51"/>
        <v>8.2872928176794796E-3</v>
      </c>
      <c r="I106" s="91">
        <f>IF(ISNUMBER(G106), $B118 * H106, "")</f>
        <v>1243.093922651922</v>
      </c>
      <c r="J106" s="15">
        <v>73</v>
      </c>
      <c r="K106" s="32">
        <f t="shared" si="52"/>
        <v>8.2872928176794796E-3</v>
      </c>
      <c r="L106" s="18">
        <f>IF(ISNUMBER(J106), $B118 * K106, "")</f>
        <v>1243.093922651922</v>
      </c>
      <c r="M106" s="31">
        <v>72.7</v>
      </c>
      <c r="N106" s="32">
        <f t="shared" si="53"/>
        <v>4.1436464088397398E-3</v>
      </c>
      <c r="O106" s="18">
        <f>IF(ISNUMBER(M106), $B118 * N106, "")</f>
        <v>621.54696132596098</v>
      </c>
      <c r="Q106" s="33"/>
      <c r="R106" s="33"/>
    </row>
    <row r="107" spans="1:19" ht="17.25" thickBot="1">
      <c r="A107" s="114" t="s">
        <v>101</v>
      </c>
      <c r="B107" s="115">
        <v>195</v>
      </c>
      <c r="C107" s="72">
        <v>1.5625E-2</v>
      </c>
      <c r="D107" s="24">
        <v>193</v>
      </c>
      <c r="E107" s="25">
        <f t="shared" si="50"/>
        <v>-1.0256410256410256E-2</v>
      </c>
      <c r="F107" s="94">
        <f>IF(ISNUMBER(D107), $B118 * E107, "")</f>
        <v>-1538.4615384615386</v>
      </c>
      <c r="G107" s="92">
        <v>196</v>
      </c>
      <c r="H107" s="25">
        <f t="shared" si="51"/>
        <v>5.1282051282051282E-3</v>
      </c>
      <c r="I107" s="93">
        <f>IF(ISNUMBER(G107), $B118 * H107, "")</f>
        <v>769.23076923076928</v>
      </c>
      <c r="J107" s="24">
        <v>195</v>
      </c>
      <c r="K107" s="25">
        <f t="shared" si="52"/>
        <v>0</v>
      </c>
      <c r="L107" s="94">
        <f>IF(ISNUMBER(J107), $B118 * K107, "")</f>
        <v>0</v>
      </c>
      <c r="M107" s="92">
        <v>195</v>
      </c>
      <c r="N107" s="25">
        <f t="shared" si="53"/>
        <v>0</v>
      </c>
      <c r="O107" s="94">
        <f>IF(ISNUMBER(M107), $B118 * N107, "")</f>
        <v>0</v>
      </c>
      <c r="Q107" s="147"/>
      <c r="R107" s="148"/>
      <c r="S107" s="149"/>
    </row>
    <row r="108" spans="1:19">
      <c r="A108" s="107" t="s">
        <v>213</v>
      </c>
      <c r="B108" s="108">
        <v>404</v>
      </c>
      <c r="C108" s="69">
        <v>1.50753769E-2</v>
      </c>
      <c r="D108" s="13">
        <v>404</v>
      </c>
      <c r="E108" s="14">
        <f>IF(ISNUMBER(D108), (D108 - $B108) / $B108, "")</f>
        <v>0</v>
      </c>
      <c r="F108" s="16">
        <f>IF(ISNUMBER(D108), $B118 * E108, "")</f>
        <v>0</v>
      </c>
      <c r="G108" s="29">
        <v>407</v>
      </c>
      <c r="H108" s="14">
        <f>IF(ISNUMBER(G108), (G108 - $B108) / $B108, "")</f>
        <v>7.4257425742574254E-3</v>
      </c>
      <c r="I108" s="90">
        <f>IF(ISNUMBER(G108), $B118 * H108, "")</f>
        <v>1113.8613861386139</v>
      </c>
      <c r="J108" s="13">
        <v>406</v>
      </c>
      <c r="K108" s="14">
        <f>IF(ISNUMBER(J108), (J108 - $B108) / $B108, "")</f>
        <v>4.9504950495049506E-3</v>
      </c>
      <c r="L108" s="16">
        <f>IF(ISNUMBER(J108), $B118 * K108, "")</f>
        <v>742.57425742574253</v>
      </c>
      <c r="M108" s="29">
        <v>405</v>
      </c>
      <c r="N108" s="14">
        <f>IF(ISNUMBER(M108), (M108 - $B108) / $B108, "")</f>
        <v>2.4752475247524753E-3</v>
      </c>
      <c r="O108" s="16">
        <f>IF(ISNUMBER(M108), $B118 * N108, "")</f>
        <v>371.28712871287127</v>
      </c>
      <c r="Q108" s="150"/>
      <c r="R108" s="151"/>
      <c r="S108" s="152"/>
    </row>
    <row r="109" spans="1:19" ht="17.25" thickBot="1">
      <c r="A109" s="109" t="s">
        <v>209</v>
      </c>
      <c r="B109" s="110">
        <v>70</v>
      </c>
      <c r="C109" s="70">
        <v>1.44927536E-2</v>
      </c>
      <c r="D109" s="15">
        <v>70.5</v>
      </c>
      <c r="E109" s="32">
        <f t="shared" ref="E109:E112" si="54">IF(ISNUMBER(D109), (D109 - $B109) / $B109, "")</f>
        <v>7.1428571428571426E-3</v>
      </c>
      <c r="F109" s="18">
        <f>IF(ISNUMBER(D109), $B118 * E109, "")</f>
        <v>1071.4285714285713</v>
      </c>
      <c r="G109" s="31">
        <v>70.400000000000006</v>
      </c>
      <c r="H109" s="32">
        <f t="shared" ref="H109:H112" si="55">IF(ISNUMBER(G109), (G109 - $B109) / $B109, "")</f>
        <v>5.7142857142857958E-3</v>
      </c>
      <c r="I109" s="91">
        <f>IF(ISNUMBER(G109), $B118 * H109, "")</f>
        <v>857.14285714286939</v>
      </c>
      <c r="J109" s="15">
        <v>70.3</v>
      </c>
      <c r="K109" s="32">
        <f t="shared" ref="K109:K112" si="56">IF(ISNUMBER(J109), (J109 - $B109) / $B109, "")</f>
        <v>4.2857142857142452E-3</v>
      </c>
      <c r="L109" s="18">
        <f>IF(ISNUMBER(J109), $B118 * K109, "")</f>
        <v>642.85714285713675</v>
      </c>
      <c r="M109" s="31">
        <v>70.5</v>
      </c>
      <c r="N109" s="32">
        <f t="shared" ref="N109:N112" si="57">IF(ISNUMBER(M109), (M109 - $B109) / $B109, "")</f>
        <v>7.1428571428571426E-3</v>
      </c>
      <c r="O109" s="18">
        <f>IF(ISNUMBER(M109), $B118 * N109, "")</f>
        <v>1071.4285714285713</v>
      </c>
      <c r="Q109" s="153"/>
      <c r="R109" s="154"/>
      <c r="S109" s="155"/>
    </row>
    <row r="110" spans="1:19" ht="17.25" thickBot="1">
      <c r="A110" s="109" t="s">
        <v>323</v>
      </c>
      <c r="B110" s="110">
        <v>2.81E-2</v>
      </c>
      <c r="C110" s="70">
        <v>1.44404332E-2</v>
      </c>
      <c r="D110" s="15">
        <v>2.8000000000000001E-2</v>
      </c>
      <c r="E110" s="32">
        <f t="shared" si="54"/>
        <v>-3.558718861209943E-3</v>
      </c>
      <c r="F110" s="18">
        <f>IF(ISNUMBER(D110), $B118 * E110, "")</f>
        <v>-533.80782918149146</v>
      </c>
      <c r="G110" s="31">
        <v>2.8500000000000001E-2</v>
      </c>
      <c r="H110" s="32">
        <f t="shared" si="55"/>
        <v>1.4234875444839895E-2</v>
      </c>
      <c r="I110" s="91">
        <f>IF(ISNUMBER(G110), $B118 * H110, "")</f>
        <v>2135.2313167259845</v>
      </c>
      <c r="J110" s="15">
        <v>2.8199999999999999E-2</v>
      </c>
      <c r="K110" s="32">
        <f t="shared" si="56"/>
        <v>3.558718861209943E-3</v>
      </c>
      <c r="L110" s="18">
        <f>IF(ISNUMBER(J110), $B118 * K110, "")</f>
        <v>533.80782918149146</v>
      </c>
      <c r="M110" s="31">
        <v>2.8299999999999999E-2</v>
      </c>
      <c r="N110" s="32">
        <f t="shared" si="57"/>
        <v>7.117437722419886E-3</v>
      </c>
      <c r="O110" s="18">
        <f>IF(ISNUMBER(M110), $B118 * N110, "")</f>
        <v>1067.6156583629829</v>
      </c>
      <c r="Q110" s="146"/>
      <c r="R110" s="146"/>
      <c r="S110" s="146"/>
    </row>
    <row r="111" spans="1:19" ht="17.25" thickBot="1">
      <c r="A111" s="109" t="s">
        <v>169</v>
      </c>
      <c r="B111" s="110">
        <v>218</v>
      </c>
      <c r="C111" s="70">
        <v>1.39534884E-2</v>
      </c>
      <c r="D111" s="15">
        <v>219</v>
      </c>
      <c r="E111" s="32">
        <f t="shared" si="54"/>
        <v>4.5871559633027525E-3</v>
      </c>
      <c r="F111" s="18">
        <f>IF(ISNUMBER(D111), $B118 * E111, "")</f>
        <v>688.07339449541291</v>
      </c>
      <c r="G111" s="31">
        <v>225</v>
      </c>
      <c r="H111" s="32">
        <f t="shared" si="55"/>
        <v>3.2110091743119268E-2</v>
      </c>
      <c r="I111" s="91">
        <f>IF(ISNUMBER(G111), $B118 * H111, "")</f>
        <v>4816.5137614678906</v>
      </c>
      <c r="J111" s="15">
        <v>224</v>
      </c>
      <c r="K111" s="32">
        <f t="shared" si="56"/>
        <v>2.7522935779816515E-2</v>
      </c>
      <c r="L111" s="18">
        <f>IF(ISNUMBER(J111), $B118 * K111, "")</f>
        <v>4128.440366972477</v>
      </c>
      <c r="M111" s="31">
        <v>226</v>
      </c>
      <c r="N111" s="32">
        <f t="shared" si="57"/>
        <v>3.669724770642202E-2</v>
      </c>
      <c r="O111" s="18">
        <f>IF(ISNUMBER(M111), $B118 * N111, "")</f>
        <v>5504.5871559633033</v>
      </c>
      <c r="Q111" s="156"/>
      <c r="R111" s="156"/>
      <c r="S111" s="156"/>
    </row>
    <row r="112" spans="1:19" ht="17.25" thickBot="1">
      <c r="A112" s="111" t="s">
        <v>225</v>
      </c>
      <c r="B112" s="112">
        <v>51.2</v>
      </c>
      <c r="C112" s="71">
        <v>1.18577075E-2</v>
      </c>
      <c r="D112" s="20">
        <v>52.1</v>
      </c>
      <c r="E112" s="21">
        <f t="shared" si="54"/>
        <v>1.7578124999999972E-2</v>
      </c>
      <c r="F112" s="22">
        <f>IF(ISNUMBER(D112), $B118 * E112, "")</f>
        <v>2636.7187499999959</v>
      </c>
      <c r="G112" s="30">
        <v>52.5</v>
      </c>
      <c r="H112" s="21">
        <f t="shared" si="55"/>
        <v>2.5390624999999944E-2</v>
      </c>
      <c r="I112" s="95">
        <f>IF(ISNUMBER(G112), $B118 * H112, "")</f>
        <v>3808.5937499999918</v>
      </c>
      <c r="J112" s="20">
        <v>52.2</v>
      </c>
      <c r="K112" s="21">
        <f t="shared" si="56"/>
        <v>1.953125E-2</v>
      </c>
      <c r="L112" s="22">
        <f>IF(ISNUMBER(J112), $B118 * K112, "")</f>
        <v>2929.6875</v>
      </c>
      <c r="M112" s="30">
        <v>51.7</v>
      </c>
      <c r="N112" s="21">
        <f t="shared" si="57"/>
        <v>9.765625E-3</v>
      </c>
      <c r="O112" s="22">
        <f>IF(ISNUMBER(M112), $B118 * N112, "")</f>
        <v>1464.84375</v>
      </c>
      <c r="Q112" s="156"/>
      <c r="R112" s="156"/>
      <c r="S112" s="156"/>
    </row>
    <row r="113" spans="1:19" ht="17.25" thickBot="1">
      <c r="A113" s="109" t="s">
        <v>138</v>
      </c>
      <c r="B113" s="113">
        <v>19.8</v>
      </c>
      <c r="C113" s="73">
        <v>1.02040816E-2</v>
      </c>
      <c r="D113" s="96">
        <v>19.899999999999999</v>
      </c>
      <c r="E113" s="97">
        <f>IF(ISNUMBER(D113), (D113 - $B113) / $B113, "")</f>
        <v>5.0505050505049425E-3</v>
      </c>
      <c r="F113" s="98">
        <f>IF(ISNUMBER(D113), $B118 * E113, "")</f>
        <v>757.57575757574136</v>
      </c>
      <c r="G113" s="99">
        <v>20.2</v>
      </c>
      <c r="H113" s="97">
        <f>IF(ISNUMBER(G113), (G113 - $B113) / $B113, "")</f>
        <v>2.0202020202020131E-2</v>
      </c>
      <c r="I113" s="100">
        <f>IF(ISNUMBER(G113), $B118 * H113, "")</f>
        <v>3030.3030303030196</v>
      </c>
      <c r="J113" s="96">
        <v>20.100000000000001</v>
      </c>
      <c r="K113" s="97">
        <f>IF(ISNUMBER(J113), (J113 - $B113) / $B113, "")</f>
        <v>1.5151515151515187E-2</v>
      </c>
      <c r="L113" s="98">
        <f>IF(ISNUMBER(J113), $B118 * K113, "")</f>
        <v>2272.727272727278</v>
      </c>
      <c r="M113" s="99">
        <v>20</v>
      </c>
      <c r="N113" s="97">
        <f>IF(ISNUMBER(M113), (M113 - $B113) / $B113, "")</f>
        <v>1.0101010101010065E-2</v>
      </c>
      <c r="O113" s="98">
        <f>IF(ISNUMBER(M113), $B118 * N113, "")</f>
        <v>1515.1515151515098</v>
      </c>
      <c r="Q113" s="146"/>
      <c r="R113" s="146"/>
      <c r="S113" s="146"/>
    </row>
    <row r="114" spans="1:19" ht="17.25" thickBot="1">
      <c r="A114" s="109" t="s">
        <v>122</v>
      </c>
      <c r="B114" s="110">
        <v>20.399999999999999</v>
      </c>
      <c r="C114" s="70">
        <v>9.9009900999999997E-3</v>
      </c>
      <c r="D114" s="15">
        <v>20.3</v>
      </c>
      <c r="E114" s="32">
        <f t="shared" ref="E114:E117" si="58">IF(ISNUMBER(D114), (D114 - $B114) / $B114, "")</f>
        <v>-4.9019607843136213E-3</v>
      </c>
      <c r="F114" s="18">
        <f>IF(ISNUMBER(D114), $B118 * E114, "")</f>
        <v>-735.29411764704321</v>
      </c>
      <c r="G114" s="31">
        <v>20.6</v>
      </c>
      <c r="H114" s="32">
        <f t="shared" ref="H114:H117" si="59">IF(ISNUMBER(G114), (G114 - $B114) / $B114, "")</f>
        <v>9.8039215686275914E-3</v>
      </c>
      <c r="I114" s="91">
        <f>IF(ISNUMBER(G114), $B118 * H114, "")</f>
        <v>1470.5882352941387</v>
      </c>
      <c r="J114" s="15">
        <v>20.6</v>
      </c>
      <c r="K114" s="32">
        <f t="shared" ref="K114:K117" si="60">IF(ISNUMBER(J114), (J114 - $B114) / $B114, "")</f>
        <v>9.8039215686275914E-3</v>
      </c>
      <c r="L114" s="18">
        <f>IF(ISNUMBER(J114), $B118 * K114, "")</f>
        <v>1470.5882352941387</v>
      </c>
      <c r="M114" s="31">
        <v>20.399999999999999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146"/>
      <c r="R114" s="146"/>
      <c r="S114" s="146"/>
    </row>
    <row r="115" spans="1:19" ht="17.25" thickBot="1">
      <c r="A115" s="109" t="s">
        <v>79</v>
      </c>
      <c r="B115" s="110">
        <v>213</v>
      </c>
      <c r="C115" s="70">
        <v>9.478673E-3</v>
      </c>
      <c r="D115" s="15">
        <v>214</v>
      </c>
      <c r="E115" s="32">
        <f t="shared" si="58"/>
        <v>4.6948356807511738E-3</v>
      </c>
      <c r="F115" s="18">
        <f>IF(ISNUMBER(D115), $B118 * E115, "")</f>
        <v>704.22535211267609</v>
      </c>
      <c r="G115" s="31">
        <v>219</v>
      </c>
      <c r="H115" s="32">
        <f t="shared" si="59"/>
        <v>2.8169014084507043E-2</v>
      </c>
      <c r="I115" s="91">
        <f>IF(ISNUMBER(G115), $B118 * H115, "")</f>
        <v>4225.3521126760561</v>
      </c>
      <c r="J115" s="15">
        <v>218</v>
      </c>
      <c r="K115" s="32">
        <f t="shared" si="60"/>
        <v>2.3474178403755867E-2</v>
      </c>
      <c r="L115" s="18">
        <f>IF(ISNUMBER(J115), $B118 * K115, "")</f>
        <v>3521.1267605633802</v>
      </c>
      <c r="M115" s="31">
        <v>217</v>
      </c>
      <c r="N115" s="32">
        <f t="shared" si="61"/>
        <v>1.8779342723004695E-2</v>
      </c>
      <c r="O115" s="18">
        <f>IF(ISNUMBER(M115), $B118 * N115, "")</f>
        <v>2816.9014084507044</v>
      </c>
      <c r="Q115" s="146"/>
      <c r="R115" s="146"/>
      <c r="S115" s="146"/>
    </row>
    <row r="116" spans="1:19">
      <c r="A116" s="109" t="s">
        <v>326</v>
      </c>
      <c r="B116" s="110">
        <v>221</v>
      </c>
      <c r="C116" s="70">
        <v>9.1324201000000001E-3</v>
      </c>
      <c r="D116" s="15">
        <v>226</v>
      </c>
      <c r="E116" s="32">
        <f t="shared" si="58"/>
        <v>2.2624434389140271E-2</v>
      </c>
      <c r="F116" s="18">
        <f>IF(ISNUMBER(D116), $B118 * E116, "")</f>
        <v>3393.6651583710404</v>
      </c>
      <c r="G116" s="31">
        <v>231</v>
      </c>
      <c r="H116" s="32">
        <f t="shared" si="59"/>
        <v>4.5248868778280542E-2</v>
      </c>
      <c r="I116" s="91">
        <f>IF(ISNUMBER(G116), $B118 * H116, "")</f>
        <v>6787.3303167420809</v>
      </c>
      <c r="J116" s="15">
        <v>230</v>
      </c>
      <c r="K116" s="32">
        <f t="shared" si="60"/>
        <v>4.072398190045249E-2</v>
      </c>
      <c r="L116" s="18">
        <f>IF(ISNUMBER(J116), $B118 * K116, "")</f>
        <v>6108.5972850678736</v>
      </c>
      <c r="M116" s="31">
        <v>230</v>
      </c>
      <c r="N116" s="32">
        <f t="shared" si="61"/>
        <v>4.072398190045249E-2</v>
      </c>
      <c r="O116" s="18">
        <f>IF(ISNUMBER(M116), $B118 * N116, "")</f>
        <v>6108.5972850678736</v>
      </c>
      <c r="Q116" s="135"/>
      <c r="R116" s="136"/>
      <c r="S116" s="137"/>
    </row>
    <row r="117" spans="1:19" ht="17.25" thickBot="1">
      <c r="A117" s="114" t="s">
        <v>147</v>
      </c>
      <c r="B117" s="115">
        <v>7765</v>
      </c>
      <c r="C117" s="72">
        <v>9.0968161000000002E-3</v>
      </c>
      <c r="D117" s="24">
        <v>7960</v>
      </c>
      <c r="E117" s="25">
        <f t="shared" si="58"/>
        <v>2.5112685125563427E-2</v>
      </c>
      <c r="F117" s="94">
        <f>IF(ISNUMBER(D117), $B118 * E117, "")</f>
        <v>3766.9027688345141</v>
      </c>
      <c r="G117" s="92">
        <v>8125</v>
      </c>
      <c r="H117" s="25">
        <f t="shared" si="59"/>
        <v>4.6361880231809399E-2</v>
      </c>
      <c r="I117" s="93">
        <f>IF(ISNUMBER(G117), $B118 * H117, "")</f>
        <v>6954.2820347714096</v>
      </c>
      <c r="J117" s="24">
        <v>8130</v>
      </c>
      <c r="K117" s="25">
        <f t="shared" si="60"/>
        <v>4.7005795235028978E-2</v>
      </c>
      <c r="L117" s="94">
        <f>IF(ISNUMBER(J117), $B118 * K117, "")</f>
        <v>7050.8692852543463</v>
      </c>
      <c r="M117" s="92">
        <v>8085</v>
      </c>
      <c r="N117" s="25">
        <f t="shared" si="61"/>
        <v>4.12105602060528E-2</v>
      </c>
      <c r="O117" s="94">
        <f>IF(ISNUMBER(M117), $B118 * N117, "")</f>
        <v>6181.5840309079204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8.0245079649350105E-3</v>
      </c>
      <c r="F118" s="28">
        <f>SUM(F98:F117)</f>
        <v>24073.523894805032</v>
      </c>
      <c r="G118" s="26" t="s">
        <v>258</v>
      </c>
      <c r="H118" s="27">
        <f>IF(COUNT(H98:H117), SUM(H98:H117) / COUNT(H98:H117), 0)</f>
        <v>1.7693540667225234E-2</v>
      </c>
      <c r="I118" s="28">
        <f>SUM(I98:I117)</f>
        <v>53080.622001675692</v>
      </c>
      <c r="J118" s="26" t="s">
        <v>258</v>
      </c>
      <c r="K118" s="27">
        <f>IF(COUNT(K98:K117), SUM(K98:K117) / COUNT(K98:K117), 0)</f>
        <v>1.514192170138875E-2</v>
      </c>
      <c r="L118" s="28">
        <f>SUM(L98:L117)</f>
        <v>45425.765104166247</v>
      </c>
      <c r="M118" s="26" t="s">
        <v>258</v>
      </c>
      <c r="N118" s="27">
        <f>IF(COUNT(N98:N117), SUM(N98:N117) / COUNT(N98:N117), 0)</f>
        <v>1.3131732639176257E-2</v>
      </c>
      <c r="O118" s="28">
        <f>SUM(O98:O117)</f>
        <v>39395.197917528778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21539000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1.0224474E-3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2023-01-02(월) 오전 00:00</v>
      </c>
      <c r="C123" s="198"/>
      <c r="D123" s="170" t="str">
        <f>TEXT($G$1, "[$-ko-KR]yyyy-mm-dd(ddd) ") &amp; "오후 14:00"</f>
        <v>2023-01-02(월) 오후 14:00</v>
      </c>
      <c r="E123" s="171"/>
      <c r="F123" s="172"/>
      <c r="G123" s="170" t="str">
        <f>TEXT($G$1, "[$-ko-KR]yyyy-mm-dd(ddd) ") &amp; "오후 19:00"</f>
        <v>2023-01-02(월) 오후 19:00</v>
      </c>
      <c r="H123" s="171"/>
      <c r="I123" s="172"/>
      <c r="J123" s="170" t="str">
        <f>TEXT($G$1, "[$-ko-KR]yyyy-mm-dd(ddd) ") &amp; "오후 21:00"</f>
        <v>2023-01-02(월) 오후 21:00</v>
      </c>
      <c r="K123" s="171"/>
      <c r="L123" s="172"/>
      <c r="M123" s="170" t="str">
        <f>TEXT($G$1+1, "[$-ko-KR]yyyy-mm-dd(ddd) ") &amp; "오전 00:00"</f>
        <v>2023-01-03(화)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97</v>
      </c>
      <c r="B125" s="108">
        <v>8.0000000000000004E-4</v>
      </c>
      <c r="C125" s="69">
        <v>0</v>
      </c>
      <c r="D125" s="13">
        <v>8.0000000000000004E-4</v>
      </c>
      <c r="E125" s="14">
        <f>IF(ISNUMBER(D125), (D125 - $B125) / $B125, "")</f>
        <v>0</v>
      </c>
      <c r="F125" s="16">
        <f>IF(ISNUMBER(D125), $B145 * E125, "")</f>
        <v>0</v>
      </c>
      <c r="G125" s="29">
        <v>6.9999999999999999E-4</v>
      </c>
      <c r="H125" s="14">
        <f>IF(ISNUMBER(G125), (G125 - $B125) / $B125, "")</f>
        <v>-0.12500000000000006</v>
      </c>
      <c r="I125" s="90">
        <f>IF(ISNUMBER(G125), $B145 * H125, "")</f>
        <v>-18750.000000000007</v>
      </c>
      <c r="J125" s="13">
        <v>8.0000000000000004E-4</v>
      </c>
      <c r="K125" s="14">
        <f>IF(ISNUMBER(J125), (J125 - $B125) / $B125, "")</f>
        <v>0</v>
      </c>
      <c r="L125" s="16">
        <f>IF(ISNUMBER(J125), $B145 * K125, "")</f>
        <v>0</v>
      </c>
      <c r="M125" s="29">
        <v>8.0000000000000004E-4</v>
      </c>
      <c r="N125" s="14">
        <f>IF(ISNUMBER(M125), (M125 - $B125) / $B125, "")</f>
        <v>0</v>
      </c>
      <c r="O125" s="16">
        <f>IF(ISNUMBER(M125), $B145 * N125, "")</f>
        <v>0</v>
      </c>
      <c r="Q125" s="156"/>
      <c r="R125" s="156"/>
      <c r="S125" s="156"/>
    </row>
    <row r="126" spans="1:19" ht="17.25" thickBot="1">
      <c r="A126" s="109" t="s">
        <v>203</v>
      </c>
      <c r="B126" s="110">
        <v>2.91</v>
      </c>
      <c r="C126" s="70">
        <v>0</v>
      </c>
      <c r="D126" s="15">
        <v>2.9</v>
      </c>
      <c r="E126" s="32">
        <f t="shared" ref="E126:E129" si="62">IF(ISNUMBER(D126), (D126 - $B126) / $B126, "")</f>
        <v>-3.4364261168385673E-3</v>
      </c>
      <c r="F126" s="18">
        <f>IF(ISNUMBER(D126), $B145 * E126, "")</f>
        <v>-515.46391752578506</v>
      </c>
      <c r="G126" s="31">
        <v>2.94</v>
      </c>
      <c r="H126" s="32">
        <f t="shared" ref="H126:H129" si="63">IF(ISNUMBER(G126), (G126 - $B126) / $B126, "")</f>
        <v>1.0309278350515396E-2</v>
      </c>
      <c r="I126" s="91">
        <f>IF(ISNUMBER(G126), $B145 * H126, "")</f>
        <v>1546.3917525773095</v>
      </c>
      <c r="J126" s="15">
        <v>2.94</v>
      </c>
      <c r="K126" s="32">
        <f t="shared" ref="K126:K129" si="64">IF(ISNUMBER(J126), (J126 - $B126) / $B126, "")</f>
        <v>1.0309278350515396E-2</v>
      </c>
      <c r="L126" s="18">
        <f>IF(ISNUMBER(J126), $B145 * K126, "")</f>
        <v>1546.3917525773095</v>
      </c>
      <c r="M126" s="31">
        <v>2.94</v>
      </c>
      <c r="N126" s="32">
        <f t="shared" ref="N126:N129" si="65">IF(ISNUMBER(M126), (M126 - $B126) / $B126, "")</f>
        <v>1.0309278350515396E-2</v>
      </c>
      <c r="O126" s="18">
        <f>IF(ISNUMBER(M126), $B145 * N126, "")</f>
        <v>1546.3917525773095</v>
      </c>
      <c r="Q126" s="156"/>
      <c r="R126" s="156"/>
      <c r="S126" s="156"/>
    </row>
    <row r="127" spans="1:19" ht="17.25" thickBot="1">
      <c r="A127" s="109" t="s">
        <v>193</v>
      </c>
      <c r="B127" s="110">
        <v>14.8</v>
      </c>
      <c r="C127" s="70">
        <v>0</v>
      </c>
      <c r="D127" s="15">
        <v>15</v>
      </c>
      <c r="E127" s="32">
        <f t="shared" si="62"/>
        <v>1.3513513513513466E-2</v>
      </c>
      <c r="F127" s="18">
        <f>IF(ISNUMBER(D127), $B145 * E127, "")</f>
        <v>2027.0270270270198</v>
      </c>
      <c r="G127" s="31">
        <v>15.1</v>
      </c>
      <c r="H127" s="32">
        <f t="shared" si="63"/>
        <v>2.0270270270270199E-2</v>
      </c>
      <c r="I127" s="91">
        <f>IF(ISNUMBER(G127), $B145 * H127, "")</f>
        <v>3040.5405405405299</v>
      </c>
      <c r="J127" s="15">
        <v>15.2</v>
      </c>
      <c r="K127" s="32">
        <f t="shared" si="64"/>
        <v>2.7027027027026931E-2</v>
      </c>
      <c r="L127" s="18">
        <f>IF(ISNUMBER(J127), $B145 * K127, "")</f>
        <v>4054.0540540540396</v>
      </c>
      <c r="M127" s="31">
        <v>15.1</v>
      </c>
      <c r="N127" s="32">
        <f t="shared" si="65"/>
        <v>2.0270270270270199E-2</v>
      </c>
      <c r="O127" s="18">
        <f>IF(ISNUMBER(M127), $B145 * N127, "")</f>
        <v>3040.5405405405299</v>
      </c>
      <c r="Q127" s="146"/>
      <c r="R127" s="146"/>
      <c r="S127" s="146"/>
    </row>
    <row r="128" spans="1:19" ht="17.25" thickBot="1">
      <c r="A128" s="109" t="s">
        <v>124</v>
      </c>
      <c r="B128" s="110">
        <v>26.8</v>
      </c>
      <c r="C128" s="70">
        <v>0</v>
      </c>
      <c r="D128" s="15">
        <v>26.9</v>
      </c>
      <c r="E128" s="32">
        <f t="shared" si="62"/>
        <v>3.7313432835820101E-3</v>
      </c>
      <c r="F128" s="18">
        <f>IF(ISNUMBER(D128), $B145 * E128, "")</f>
        <v>559.70149253730153</v>
      </c>
      <c r="G128" s="31">
        <v>27.1</v>
      </c>
      <c r="H128" s="32">
        <f t="shared" si="63"/>
        <v>1.1194029850746294E-2</v>
      </c>
      <c r="I128" s="91">
        <f>IF(ISNUMBER(G128), $B145 * H128, "")</f>
        <v>1679.104477611944</v>
      </c>
      <c r="J128" s="15">
        <v>27</v>
      </c>
      <c r="K128" s="32">
        <f t="shared" si="64"/>
        <v>7.4626865671641521E-3</v>
      </c>
      <c r="L128" s="18">
        <f>IF(ISNUMBER(J128), $B145 * K128, "")</f>
        <v>1119.4029850746228</v>
      </c>
      <c r="M128" s="31">
        <v>27</v>
      </c>
      <c r="N128" s="32">
        <f t="shared" si="65"/>
        <v>7.4626865671641521E-3</v>
      </c>
      <c r="O128" s="18">
        <f>IF(ISNUMBER(M128), $B145 * N128, "")</f>
        <v>1119.4029850746228</v>
      </c>
      <c r="Q128" s="146"/>
      <c r="R128" s="146"/>
      <c r="S128" s="146"/>
    </row>
    <row r="129" spans="1:19" ht="17.25" thickBot="1">
      <c r="A129" s="111" t="s">
        <v>118</v>
      </c>
      <c r="B129" s="112">
        <v>4.5</v>
      </c>
      <c r="C129" s="71">
        <v>0</v>
      </c>
      <c r="D129" s="20">
        <v>4.53</v>
      </c>
      <c r="E129" s="21">
        <f t="shared" si="62"/>
        <v>6.6666666666667217E-3</v>
      </c>
      <c r="F129" s="22">
        <f>IF(ISNUMBER(D129), $B145 * E129, "")</f>
        <v>1000.0000000000083</v>
      </c>
      <c r="G129" s="30">
        <v>4.63</v>
      </c>
      <c r="H129" s="21">
        <f t="shared" si="63"/>
        <v>2.8888888888888867E-2</v>
      </c>
      <c r="I129" s="95">
        <f>IF(ISNUMBER(G129), $B145 * H129, "")</f>
        <v>4333.3333333333303</v>
      </c>
      <c r="J129" s="20">
        <v>4.58</v>
      </c>
      <c r="K129" s="21">
        <f t="shared" si="64"/>
        <v>1.7777777777777795E-2</v>
      </c>
      <c r="L129" s="22">
        <f>IF(ISNUMBER(J129), $B145 * K129, "")</f>
        <v>2666.6666666666692</v>
      </c>
      <c r="M129" s="30">
        <v>4.6399999999999997</v>
      </c>
      <c r="N129" s="21">
        <f t="shared" si="65"/>
        <v>3.1111111111111041E-2</v>
      </c>
      <c r="O129" s="22">
        <f>IF(ISNUMBER(M129), $B145 * N129, "")</f>
        <v>4666.6666666666561</v>
      </c>
      <c r="Q129" s="146"/>
      <c r="R129" s="146"/>
      <c r="S129" s="146"/>
    </row>
    <row r="130" spans="1:19" ht="17.25" thickBot="1">
      <c r="A130" s="109" t="s">
        <v>126</v>
      </c>
      <c r="B130" s="113">
        <v>20.2</v>
      </c>
      <c r="C130" s="73">
        <v>0</v>
      </c>
      <c r="D130" s="96">
        <v>20.6</v>
      </c>
      <c r="E130" s="97">
        <f>IF(ISNUMBER(D130), (D130 - $B130) / $B130, "")</f>
        <v>1.980198019801991E-2</v>
      </c>
      <c r="F130" s="98">
        <f>IF(ISNUMBER(D130), $B145 * E130, "")</f>
        <v>2970.2970297029865</v>
      </c>
      <c r="G130" s="99">
        <v>21.2</v>
      </c>
      <c r="H130" s="97">
        <f>IF(ISNUMBER(G130), (G130 - $B130) / $B130, "")</f>
        <v>4.9504950495049507E-2</v>
      </c>
      <c r="I130" s="100">
        <f>IF(ISNUMBER(G130), $B145 * H130, "")</f>
        <v>7425.742574257426</v>
      </c>
      <c r="J130" s="96">
        <v>21.1</v>
      </c>
      <c r="K130" s="97">
        <f>IF(ISNUMBER(J130), (J130 - $B130) / $B130, "")</f>
        <v>4.4554455445544663E-2</v>
      </c>
      <c r="L130" s="98">
        <f>IF(ISNUMBER(J130), $B145 * K130, "")</f>
        <v>6683.1683168316995</v>
      </c>
      <c r="M130" s="99">
        <v>21.1</v>
      </c>
      <c r="N130" s="97">
        <f>IF(ISNUMBER(M130), (M130 - $B130) / $B130, "")</f>
        <v>4.4554455445544663E-2</v>
      </c>
      <c r="O130" s="98">
        <f>IF(ISNUMBER(M130), $B145 * N130, "")</f>
        <v>6683.1683168316995</v>
      </c>
      <c r="Q130" s="146"/>
      <c r="R130" s="146"/>
      <c r="S130" s="146"/>
    </row>
    <row r="131" spans="1:19" ht="17.25" thickBot="1">
      <c r="A131" s="109" t="s">
        <v>207</v>
      </c>
      <c r="B131" s="110">
        <v>58.4</v>
      </c>
      <c r="C131" s="70">
        <v>-1.7094017E-3</v>
      </c>
      <c r="D131" s="15">
        <v>58.1</v>
      </c>
      <c r="E131" s="32">
        <f t="shared" ref="E131:E134" si="66">IF(ISNUMBER(D131), (D131 - $B131) / $B131, "")</f>
        <v>-5.1369863013698142E-3</v>
      </c>
      <c r="F131" s="18">
        <f>IF(ISNUMBER(D131), $B145 * E131, "")</f>
        <v>-770.54794520547216</v>
      </c>
      <c r="G131" s="31">
        <v>59.1</v>
      </c>
      <c r="H131" s="32">
        <f t="shared" ref="H131:H134" si="67">IF(ISNUMBER(G131), (G131 - $B131) / $B131, "")</f>
        <v>1.1986301369863063E-2</v>
      </c>
      <c r="I131" s="91">
        <f>IF(ISNUMBER(G131), $B145 * H131, "")</f>
        <v>1797.9452054794594</v>
      </c>
      <c r="J131" s="15">
        <v>58.8</v>
      </c>
      <c r="K131" s="32">
        <f t="shared" ref="K131:K134" si="68">IF(ISNUMBER(J131), (J131 - $B131) / $B131, "")</f>
        <v>6.8493150684931269E-3</v>
      </c>
      <c r="L131" s="18">
        <f>IF(ISNUMBER(J131), $B145 * K131, "")</f>
        <v>1027.3972602739691</v>
      </c>
      <c r="M131" s="31">
        <v>59</v>
      </c>
      <c r="N131" s="32">
        <f t="shared" ref="N131:N134" si="69">IF(ISNUMBER(M131), (M131 - $B131) / $B131, "")</f>
        <v>1.0273972602739751E-2</v>
      </c>
      <c r="O131" s="18">
        <f>IF(ISNUMBER(M131), $B145 * N131, "")</f>
        <v>1541.0958904109627</v>
      </c>
      <c r="Q131" s="146"/>
      <c r="R131" s="146"/>
      <c r="S131" s="146"/>
    </row>
    <row r="132" spans="1:19" ht="17.25" thickBot="1">
      <c r="A132" s="109" t="s">
        <v>195</v>
      </c>
      <c r="B132" s="110">
        <v>5.46</v>
      </c>
      <c r="C132" s="70">
        <v>-1.8281536000000001E-3</v>
      </c>
      <c r="D132" s="15">
        <v>5.45</v>
      </c>
      <c r="E132" s="32">
        <f t="shared" si="66"/>
        <v>-1.8315018315017925E-3</v>
      </c>
      <c r="F132" s="18">
        <f>IF(ISNUMBER(D132), $B145 * E132, "")</f>
        <v>-274.72527472526889</v>
      </c>
      <c r="G132" s="31">
        <v>5.5</v>
      </c>
      <c r="H132" s="32">
        <f t="shared" si="67"/>
        <v>7.3260073260073329E-3</v>
      </c>
      <c r="I132" s="91">
        <f>IF(ISNUMBER(G132), $B145 * H132, "")</f>
        <v>1098.9010989010999</v>
      </c>
      <c r="J132" s="15">
        <v>5.49</v>
      </c>
      <c r="K132" s="32">
        <f t="shared" si="68"/>
        <v>5.49450549450554E-3</v>
      </c>
      <c r="L132" s="18">
        <f>IF(ISNUMBER(J132), $B145 * K132, "")</f>
        <v>824.17582417583105</v>
      </c>
      <c r="M132" s="31">
        <v>5.47</v>
      </c>
      <c r="N132" s="32">
        <f t="shared" si="69"/>
        <v>1.8315018315017925E-3</v>
      </c>
      <c r="O132" s="18">
        <f>IF(ISNUMBER(M132), $B145 * N132, "")</f>
        <v>274.72527472526889</v>
      </c>
      <c r="Q132" s="146"/>
      <c r="R132" s="146"/>
      <c r="S132" s="146"/>
    </row>
    <row r="133" spans="1:19" ht="17.25" thickBot="1">
      <c r="A133" s="109" t="s">
        <v>181</v>
      </c>
      <c r="B133" s="110">
        <v>3.83</v>
      </c>
      <c r="C133" s="70">
        <v>-2.6041667E-3</v>
      </c>
      <c r="D133" s="15">
        <v>3.83</v>
      </c>
      <c r="E133" s="32">
        <f t="shared" si="66"/>
        <v>0</v>
      </c>
      <c r="F133" s="18">
        <f>IF(ISNUMBER(D133), $B145 * E133, "")</f>
        <v>0</v>
      </c>
      <c r="G133" s="31">
        <v>3.83</v>
      </c>
      <c r="H133" s="32">
        <f t="shared" si="67"/>
        <v>0</v>
      </c>
      <c r="I133" s="91">
        <f>IF(ISNUMBER(G133), $B145 * H133, "")</f>
        <v>0</v>
      </c>
      <c r="J133" s="15">
        <v>3.85</v>
      </c>
      <c r="K133" s="32">
        <f t="shared" si="68"/>
        <v>5.2219321148825109E-3</v>
      </c>
      <c r="L133" s="18">
        <f>IF(ISNUMBER(J133), $B145 * K133, "")</f>
        <v>783.28981723237666</v>
      </c>
      <c r="M133" s="31">
        <v>3.83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14" t="s">
        <v>141</v>
      </c>
      <c r="B134" s="115">
        <v>2.87</v>
      </c>
      <c r="C134" s="72">
        <v>-3.4722222000000001E-3</v>
      </c>
      <c r="D134" s="24">
        <v>2.89</v>
      </c>
      <c r="E134" s="25">
        <f t="shared" si="66"/>
        <v>6.9686411149825845E-3</v>
      </c>
      <c r="F134" s="94">
        <f>IF(ISNUMBER(D134), $B145 * E134, "")</f>
        <v>1045.2961672473878</v>
      </c>
      <c r="G134" s="92">
        <v>2.92</v>
      </c>
      <c r="H134" s="25">
        <f t="shared" si="67"/>
        <v>1.7421602787456383E-2</v>
      </c>
      <c r="I134" s="93">
        <f>IF(ISNUMBER(G134), $B145 * H134, "")</f>
        <v>2613.2404181184575</v>
      </c>
      <c r="J134" s="24">
        <v>2.92</v>
      </c>
      <c r="K134" s="25">
        <f t="shared" si="68"/>
        <v>1.7421602787456383E-2</v>
      </c>
      <c r="L134" s="94">
        <f>IF(ISNUMBER(J134), $B145 * K134, "")</f>
        <v>2613.2404181184575</v>
      </c>
      <c r="M134" s="92">
        <v>2.91</v>
      </c>
      <c r="N134" s="25">
        <f t="shared" si="69"/>
        <v>1.3937282229965169E-2</v>
      </c>
      <c r="O134" s="94">
        <f>IF(ISNUMBER(M134), $B145 * N134, "")</f>
        <v>2090.5923344947755</v>
      </c>
      <c r="Q134" s="147"/>
      <c r="R134" s="148"/>
      <c r="S134" s="149"/>
    </row>
    <row r="135" spans="1:19">
      <c r="A135" s="107" t="s">
        <v>132</v>
      </c>
      <c r="B135" s="108">
        <v>40</v>
      </c>
      <c r="C135" s="69">
        <v>-4.9751244000000002E-3</v>
      </c>
      <c r="D135" s="13">
        <v>40</v>
      </c>
      <c r="E135" s="14">
        <f>IF(ISNUMBER(D135), (D135 - $B135) / $B135, "")</f>
        <v>0</v>
      </c>
      <c r="F135" s="16">
        <f>IF(ISNUMBER(D135), $B145 * E135, "")</f>
        <v>0</v>
      </c>
      <c r="G135" s="29">
        <v>40.9</v>
      </c>
      <c r="H135" s="14">
        <f>IF(ISNUMBER(G135), (G135 - $B135) / $B135, "")</f>
        <v>2.2499999999999964E-2</v>
      </c>
      <c r="I135" s="90">
        <f>IF(ISNUMBER(G135), $B145 * H135, "")</f>
        <v>3374.9999999999945</v>
      </c>
      <c r="J135" s="13">
        <v>40.799999999999997</v>
      </c>
      <c r="K135" s="14">
        <f>IF(ISNUMBER(J135), (J135 - $B135) / $B135, "")</f>
        <v>1.9999999999999928E-2</v>
      </c>
      <c r="L135" s="16">
        <f>IF(ISNUMBER(J135), $B145 * K135, "")</f>
        <v>2999.9999999999891</v>
      </c>
      <c r="M135" s="29">
        <v>40.700000000000003</v>
      </c>
      <c r="N135" s="14">
        <f>IF(ISNUMBER(M135), (M135 - $B135) / $B135, "")</f>
        <v>1.7500000000000071E-2</v>
      </c>
      <c r="O135" s="16">
        <f>IF(ISNUMBER(M135), $B145 * N135, "")</f>
        <v>2625.0000000000105</v>
      </c>
      <c r="Q135" s="150"/>
      <c r="R135" s="151"/>
      <c r="S135" s="152"/>
    </row>
    <row r="136" spans="1:19" ht="17.25" thickBot="1">
      <c r="A136" s="109" t="s">
        <v>197</v>
      </c>
      <c r="B136" s="110">
        <v>5.43</v>
      </c>
      <c r="C136" s="70">
        <v>-5.4945055E-3</v>
      </c>
      <c r="D136" s="15">
        <v>5.48</v>
      </c>
      <c r="E136" s="32">
        <f t="shared" ref="E136:E139" si="70">IF(ISNUMBER(D136), (D136 - $B136) / $B136, "")</f>
        <v>9.2081031307551953E-3</v>
      </c>
      <c r="F136" s="18">
        <f>IF(ISNUMBER(D136), $B145 * E136, "")</f>
        <v>1381.2154696132793</v>
      </c>
      <c r="G136" s="31">
        <v>5.54</v>
      </c>
      <c r="H136" s="32">
        <f t="shared" ref="H136:H139" si="71">IF(ISNUMBER(G136), (G136 - $B136) / $B136, "")</f>
        <v>2.0257826887661201E-2</v>
      </c>
      <c r="I136" s="91">
        <f>IF(ISNUMBER(G136), $B145 * H136, "")</f>
        <v>3038.6740331491801</v>
      </c>
      <c r="J136" s="15">
        <v>5.55</v>
      </c>
      <c r="K136" s="32">
        <f t="shared" ref="K136:K139" si="72">IF(ISNUMBER(J136), (J136 - $B136) / $B136, "")</f>
        <v>2.2099447513812175E-2</v>
      </c>
      <c r="L136" s="18">
        <f>IF(ISNUMBER(J136), $B145 * K136, "")</f>
        <v>3314.9171270718261</v>
      </c>
      <c r="M136" s="31">
        <v>5.54</v>
      </c>
      <c r="N136" s="32">
        <f t="shared" ref="N136:N139" si="73">IF(ISNUMBER(M136), (M136 - $B136) / $B136, "")</f>
        <v>2.0257826887661201E-2</v>
      </c>
      <c r="O136" s="18">
        <f>IF(ISNUMBER(M136), $B145 * N136, "")</f>
        <v>3038.6740331491801</v>
      </c>
      <c r="Q136" s="153"/>
      <c r="R136" s="154"/>
      <c r="S136" s="155"/>
    </row>
    <row r="137" spans="1:19" ht="17.25" thickBot="1">
      <c r="A137" s="109" t="s">
        <v>143</v>
      </c>
      <c r="B137" s="110">
        <v>3.27</v>
      </c>
      <c r="C137" s="70">
        <v>-6.0790274E-3</v>
      </c>
      <c r="D137" s="15">
        <v>3.32</v>
      </c>
      <c r="E137" s="32">
        <f t="shared" si="70"/>
        <v>1.5290519877675787E-2</v>
      </c>
      <c r="F137" s="18">
        <f>IF(ISNUMBER(D137), $B145 * E137, "")</f>
        <v>2293.5779816513682</v>
      </c>
      <c r="G137" s="31">
        <v>3.34</v>
      </c>
      <c r="H137" s="32">
        <f t="shared" si="71"/>
        <v>2.1406727828746128E-2</v>
      </c>
      <c r="I137" s="91">
        <f>IF(ISNUMBER(G137), $B145 * H137, "")</f>
        <v>3211.0091743119192</v>
      </c>
      <c r="J137" s="15">
        <v>3.35</v>
      </c>
      <c r="K137" s="32">
        <f t="shared" si="72"/>
        <v>2.4464831804281367E-2</v>
      </c>
      <c r="L137" s="18">
        <f>IF(ISNUMBER(J137), $B145 * K137, "")</f>
        <v>3669.7247706422049</v>
      </c>
      <c r="M137" s="31">
        <v>3.35</v>
      </c>
      <c r="N137" s="32">
        <f t="shared" si="73"/>
        <v>2.4464831804281367E-2</v>
      </c>
      <c r="O137" s="18">
        <f>IF(ISNUMBER(M137), $B145 * N137, "")</f>
        <v>3669.7247706422049</v>
      </c>
      <c r="Q137" s="146"/>
      <c r="R137" s="146"/>
      <c r="S137" s="146"/>
    </row>
    <row r="138" spans="1:19" ht="17.25" thickBot="1">
      <c r="A138" s="109" t="s">
        <v>253</v>
      </c>
      <c r="B138" s="110">
        <v>88.7</v>
      </c>
      <c r="C138" s="70">
        <v>-7.8299775999999995E-3</v>
      </c>
      <c r="D138" s="15">
        <v>89.1</v>
      </c>
      <c r="E138" s="32">
        <f t="shared" si="70"/>
        <v>4.5095828635850219E-3</v>
      </c>
      <c r="F138" s="18">
        <f>IF(ISNUMBER(D138), $B145 * E138, "")</f>
        <v>676.43742953775325</v>
      </c>
      <c r="G138" s="31">
        <v>91.7</v>
      </c>
      <c r="H138" s="32">
        <f t="shared" si="71"/>
        <v>3.3821871476888386E-2</v>
      </c>
      <c r="I138" s="91">
        <f>IF(ISNUMBER(G138), $B145 * H138, "")</f>
        <v>5073.2807215332577</v>
      </c>
      <c r="J138" s="15">
        <v>91.5</v>
      </c>
      <c r="K138" s="32">
        <f t="shared" si="72"/>
        <v>3.1567080045095793E-2</v>
      </c>
      <c r="L138" s="18">
        <f>IF(ISNUMBER(J138), $B145 * K138, "")</f>
        <v>4735.0620067643686</v>
      </c>
      <c r="M138" s="31">
        <v>91.4</v>
      </c>
      <c r="N138" s="32">
        <f t="shared" si="73"/>
        <v>3.0439684329199579E-2</v>
      </c>
      <c r="O138" s="18">
        <f>IF(ISNUMBER(M138), $B145 * N138, "")</f>
        <v>4565.9526493799367</v>
      </c>
      <c r="Q138" s="156"/>
      <c r="R138" s="156"/>
      <c r="S138" s="156"/>
    </row>
    <row r="139" spans="1:19" ht="17.25" thickBot="1">
      <c r="A139" s="111" t="s">
        <v>237</v>
      </c>
      <c r="B139" s="112">
        <v>25.2</v>
      </c>
      <c r="C139" s="71">
        <v>-7.8740157000000005E-3</v>
      </c>
      <c r="D139" s="20">
        <v>25.2</v>
      </c>
      <c r="E139" s="21">
        <f t="shared" si="70"/>
        <v>0</v>
      </c>
      <c r="F139" s="22">
        <f>IF(ISNUMBER(D139), $B145 * E139, "")</f>
        <v>0</v>
      </c>
      <c r="G139" s="30">
        <v>25.6</v>
      </c>
      <c r="H139" s="21">
        <f t="shared" si="71"/>
        <v>1.5873015873015959E-2</v>
      </c>
      <c r="I139" s="95">
        <f>IF(ISNUMBER(G139), $B145 * H139, "")</f>
        <v>2380.9523809523939</v>
      </c>
      <c r="J139" s="20">
        <v>25.6</v>
      </c>
      <c r="K139" s="21">
        <f t="shared" si="72"/>
        <v>1.5873015873015959E-2</v>
      </c>
      <c r="L139" s="22">
        <f>IF(ISNUMBER(J139), $B145 * K139, "")</f>
        <v>2380.9523809523939</v>
      </c>
      <c r="M139" s="30">
        <v>25.5</v>
      </c>
      <c r="N139" s="21">
        <f t="shared" si="73"/>
        <v>1.1904761904761934E-2</v>
      </c>
      <c r="O139" s="22">
        <f>IF(ISNUMBER(M139), $B145 * N139, "")</f>
        <v>1785.7142857142901</v>
      </c>
      <c r="Q139" s="156"/>
      <c r="R139" s="156"/>
      <c r="S139" s="156"/>
    </row>
    <row r="140" spans="1:19" ht="17.25" thickBot="1">
      <c r="A140" s="109" t="s">
        <v>107</v>
      </c>
      <c r="B140" s="113">
        <v>32.9</v>
      </c>
      <c r="C140" s="73">
        <v>-9.0361446000000005E-3</v>
      </c>
      <c r="D140" s="96">
        <v>33.4</v>
      </c>
      <c r="E140" s="97">
        <f>IF(ISNUMBER(D140), (D140 - $B140) / $B140, "")</f>
        <v>1.5197568389057751E-2</v>
      </c>
      <c r="F140" s="98">
        <f>IF(ISNUMBER(D140), $B145 * E140, "")</f>
        <v>2279.6352583586627</v>
      </c>
      <c r="G140" s="99">
        <v>33.6</v>
      </c>
      <c r="H140" s="97">
        <f>IF(ISNUMBER(G140), (G140 - $B140) / $B140, "")</f>
        <v>2.1276595744680937E-2</v>
      </c>
      <c r="I140" s="100">
        <f>IF(ISNUMBER(G140), $B145 * H140, "")</f>
        <v>3191.4893617021407</v>
      </c>
      <c r="J140" s="96">
        <v>33.4</v>
      </c>
      <c r="K140" s="97">
        <f>IF(ISNUMBER(J140), (J140 - $B140) / $B140, "")</f>
        <v>1.5197568389057751E-2</v>
      </c>
      <c r="L140" s="98">
        <f>IF(ISNUMBER(J140), $B145 * K140, "")</f>
        <v>2279.6352583586627</v>
      </c>
      <c r="M140" s="99">
        <v>33.4</v>
      </c>
      <c r="N140" s="97">
        <f>IF(ISNUMBER(M140), (M140 - $B140) / $B140, "")</f>
        <v>1.5197568389057751E-2</v>
      </c>
      <c r="O140" s="98">
        <f>IF(ISNUMBER(M140), $B145 * N140, "")</f>
        <v>2279.6352583586627</v>
      </c>
      <c r="Q140" s="146"/>
      <c r="R140" s="146"/>
      <c r="S140" s="146"/>
    </row>
    <row r="141" spans="1:19" ht="17.25" thickBot="1">
      <c r="A141" s="109" t="s">
        <v>227</v>
      </c>
      <c r="B141" s="110">
        <v>32.700000000000003</v>
      </c>
      <c r="C141" s="70">
        <v>-9.0909091000000008E-3</v>
      </c>
      <c r="D141" s="15">
        <v>33.200000000000003</v>
      </c>
      <c r="E141" s="32">
        <f t="shared" ref="E141:E144" si="74">IF(ISNUMBER(D141), (D141 - $B141) / $B141, "")</f>
        <v>1.5290519877675839E-2</v>
      </c>
      <c r="F141" s="18">
        <f>IF(ISNUMBER(D141), $B145 * E141, "")</f>
        <v>2293.5779816513759</v>
      </c>
      <c r="G141" s="31">
        <v>33.6</v>
      </c>
      <c r="H141" s="32">
        <f t="shared" ref="H141:H144" si="75">IF(ISNUMBER(G141), (G141 - $B141) / $B141, "")</f>
        <v>2.7522935779816467E-2</v>
      </c>
      <c r="I141" s="91">
        <f>IF(ISNUMBER(G141), $B145 * H141, "")</f>
        <v>4128.4403669724697</v>
      </c>
      <c r="J141" s="15">
        <v>33.299999999999997</v>
      </c>
      <c r="K141" s="32">
        <f t="shared" ref="K141:K144" si="76">IF(ISNUMBER(J141), (J141 - $B141) / $B141, "")</f>
        <v>1.8348623853210833E-2</v>
      </c>
      <c r="L141" s="18">
        <f>IF(ISNUMBER(J141), $B145 * K141, "")</f>
        <v>2752.2935779816248</v>
      </c>
      <c r="M141" s="31">
        <v>33.4</v>
      </c>
      <c r="N141" s="32">
        <f t="shared" ref="N141:N144" si="77">IF(ISNUMBER(M141), (M141 - $B141) / $B141, "")</f>
        <v>2.1406727828746044E-2</v>
      </c>
      <c r="O141" s="18">
        <f>IF(ISNUMBER(M141), $B145 * N141, "")</f>
        <v>3211.0091743119065</v>
      </c>
      <c r="Q141" s="146"/>
      <c r="R141" s="146"/>
      <c r="S141" s="146"/>
    </row>
    <row r="142" spans="1:19" ht="17.25" thickBot="1">
      <c r="A142" s="109" t="s">
        <v>221</v>
      </c>
      <c r="B142" s="110">
        <v>17.2</v>
      </c>
      <c r="C142" s="70">
        <v>-1.14942529E-2</v>
      </c>
      <c r="D142" s="15">
        <v>17.2</v>
      </c>
      <c r="E142" s="32">
        <f t="shared" si="74"/>
        <v>0</v>
      </c>
      <c r="F142" s="18">
        <f>IF(ISNUMBER(D142), $B145 * E142, "")</f>
        <v>0</v>
      </c>
      <c r="G142" s="31">
        <v>17.5</v>
      </c>
      <c r="H142" s="32">
        <f t="shared" si="75"/>
        <v>1.744186046511632E-2</v>
      </c>
      <c r="I142" s="91">
        <f>IF(ISNUMBER(G142), $B145 * H142, "")</f>
        <v>2616.2790697674482</v>
      </c>
      <c r="J142" s="15">
        <v>17.5</v>
      </c>
      <c r="K142" s="32">
        <f t="shared" si="76"/>
        <v>1.744186046511632E-2</v>
      </c>
      <c r="L142" s="18">
        <f>IF(ISNUMBER(J142), $B145 * K142, "")</f>
        <v>2616.2790697674482</v>
      </c>
      <c r="M142" s="31">
        <v>17.5</v>
      </c>
      <c r="N142" s="32">
        <f t="shared" si="77"/>
        <v>1.744186046511632E-2</v>
      </c>
      <c r="O142" s="18">
        <f>IF(ISNUMBER(M142), $B145 * N142, "")</f>
        <v>2616.2790697674482</v>
      </c>
      <c r="Q142" s="146"/>
      <c r="R142" s="146"/>
      <c r="S142" s="146"/>
    </row>
    <row r="143" spans="1:19">
      <c r="A143" s="109" t="s">
        <v>350</v>
      </c>
      <c r="B143" s="110">
        <v>5.54</v>
      </c>
      <c r="C143" s="70">
        <v>-1.7730496500000002E-2</v>
      </c>
      <c r="D143" s="15">
        <v>5.5</v>
      </c>
      <c r="E143" s="32">
        <f t="shared" si="74"/>
        <v>-7.2202166064982013E-3</v>
      </c>
      <c r="F143" s="18">
        <f>IF(ISNUMBER(D143), $B145 * E143, "")</f>
        <v>-1083.0324909747301</v>
      </c>
      <c r="G143" s="31">
        <v>5.57</v>
      </c>
      <c r="H143" s="32">
        <f t="shared" si="75"/>
        <v>5.4151624548736911E-3</v>
      </c>
      <c r="I143" s="91">
        <f>IF(ISNUMBER(G143), $B145 * H143, "")</f>
        <v>812.2743682310537</v>
      </c>
      <c r="J143" s="15">
        <v>5.57</v>
      </c>
      <c r="K143" s="32">
        <f t="shared" si="76"/>
        <v>5.4151624548736911E-3</v>
      </c>
      <c r="L143" s="18">
        <f>IF(ISNUMBER(J143), $B145 * K143, "")</f>
        <v>812.2743682310537</v>
      </c>
      <c r="M143" s="31">
        <v>5.56</v>
      </c>
      <c r="N143" s="32">
        <f t="shared" si="77"/>
        <v>3.6101083032490204E-3</v>
      </c>
      <c r="O143" s="18">
        <f>IF(ISNUMBER(M143), $B145 * N143, "")</f>
        <v>541.5162454873531</v>
      </c>
      <c r="Q143" s="135"/>
      <c r="R143" s="136"/>
      <c r="S143" s="137"/>
    </row>
    <row r="144" spans="1:19" ht="17.25" thickBot="1">
      <c r="A144" s="114" t="s">
        <v>349</v>
      </c>
      <c r="B144" s="115">
        <v>20.100000000000001</v>
      </c>
      <c r="C144" s="72">
        <v>-2.42718447E-2</v>
      </c>
      <c r="D144" s="24">
        <v>20</v>
      </c>
      <c r="E144" s="25">
        <f t="shared" si="74"/>
        <v>-4.9751243781095229E-3</v>
      </c>
      <c r="F144" s="94">
        <f>IF(ISNUMBER(D144), $B145 * E144, "")</f>
        <v>-746.26865671642838</v>
      </c>
      <c r="G144" s="92">
        <v>20.3</v>
      </c>
      <c r="H144" s="25">
        <f t="shared" si="75"/>
        <v>9.9502487562188689E-3</v>
      </c>
      <c r="I144" s="93">
        <f>IF(ISNUMBER(G144), $B145 * H144, "")</f>
        <v>1492.5373134328304</v>
      </c>
      <c r="J144" s="24">
        <v>20.399999999999999</v>
      </c>
      <c r="K144" s="25">
        <f t="shared" si="76"/>
        <v>1.4925373134328216E-2</v>
      </c>
      <c r="L144" s="94">
        <f>IF(ISNUMBER(J144), $B145 * K144, "")</f>
        <v>2238.8059701492325</v>
      </c>
      <c r="M144" s="92">
        <v>20.5</v>
      </c>
      <c r="N144" s="25">
        <f t="shared" si="77"/>
        <v>1.9900497512437738E-2</v>
      </c>
      <c r="O144" s="94">
        <f>IF(ISNUMBER(M144), $B145 * N144, "")</f>
        <v>2985.0746268656608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4.3789091840598189E-3</v>
      </c>
      <c r="F145" s="28">
        <f>SUM(F125:F144)</f>
        <v>13136.727552179458</v>
      </c>
      <c r="G145" s="26" t="s">
        <v>258</v>
      </c>
      <c r="H145" s="27">
        <f>IF(COUNT(H125:H144), SUM(H125:H144) / COUNT(H125:H144), 0)</f>
        <v>1.1368378730290745E-2</v>
      </c>
      <c r="I145" s="28">
        <f>SUM(I125:I144)</f>
        <v>34105.136190872239</v>
      </c>
      <c r="J145" s="26" t="s">
        <v>258</v>
      </c>
      <c r="K145" s="27">
        <f>IF(COUNT(K125:K144), SUM(K125:K144) / COUNT(K125:K144), 0)</f>
        <v>1.6372577208307926E-2</v>
      </c>
      <c r="L145" s="28">
        <f>SUM(L125:L144)</f>
        <v>49117.731624923785</v>
      </c>
      <c r="M145" s="26" t="s">
        <v>258</v>
      </c>
      <c r="N145" s="27">
        <f>IF(COUNT(N125:N144), SUM(N125:N144) / COUNT(N125:N144), 0)</f>
        <v>1.6093721291666158E-2</v>
      </c>
      <c r="O145" s="28">
        <f>SUM(O125:O144)</f>
        <v>48281.16387499847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21539000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1.0224474E-3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2023-01-02(월) 오전 00:00</v>
      </c>
      <c r="C150" s="198"/>
      <c r="D150" s="170" t="str">
        <f>TEXT($G$1, "[$-ko-KR]yyyy-mm-dd(ddd) ") &amp; "오후 14:00"</f>
        <v>2023-01-02(월) 오후 14:00</v>
      </c>
      <c r="E150" s="171"/>
      <c r="F150" s="172"/>
      <c r="G150" s="170" t="str">
        <f>TEXT($G$1, "[$-ko-KR]yyyy-mm-dd(ddd) ") &amp; "오후 19:00"</f>
        <v>2023-01-02(월) 오후 19:00</v>
      </c>
      <c r="H150" s="171"/>
      <c r="I150" s="172"/>
      <c r="J150" s="170" t="str">
        <f>TEXT($G$1, "[$-ko-KR]yyyy-mm-dd(ddd) ") &amp; "오후 21:00"</f>
        <v>2023-01-02(월) 오후 21:00</v>
      </c>
      <c r="K150" s="171"/>
      <c r="L150" s="172"/>
      <c r="M150" s="170" t="str">
        <f>TEXT($G$1+1, "[$-ko-KR]yyyy-mm-dd(ddd) ") &amp; "오전 00:00"</f>
        <v>2023-01-03(화)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153</v>
      </c>
      <c r="B152" s="108">
        <v>313</v>
      </c>
      <c r="C152" s="69">
        <v>0</v>
      </c>
      <c r="D152" s="13">
        <v>314</v>
      </c>
      <c r="E152" s="14">
        <f>IF(ISNUMBER(D152), (D152 - $B152) / $B152, "")</f>
        <v>3.1948881789137379E-3</v>
      </c>
      <c r="F152" s="16">
        <f>IF(ISNUMBER(D152), $B172 * E152, "")</f>
        <v>479.23322683706067</v>
      </c>
      <c r="G152" s="29">
        <v>320</v>
      </c>
      <c r="H152" s="14">
        <f>IF(ISNUMBER(G152), (G152 - $B152) / $B152, "")</f>
        <v>2.2364217252396165E-2</v>
      </c>
      <c r="I152" s="90">
        <f>IF(ISNUMBER(G152), $B172 * H152, "")</f>
        <v>3354.6325878594248</v>
      </c>
      <c r="J152" s="13">
        <v>319</v>
      </c>
      <c r="K152" s="14">
        <f>IF(ISNUMBER(J152), (J152 - $B152) / $B152, "")</f>
        <v>1.9169329073482427E-2</v>
      </c>
      <c r="L152" s="16">
        <f>IF(ISNUMBER(J152), $B172 * K152, "")</f>
        <v>2875.3993610223642</v>
      </c>
      <c r="M152" s="29">
        <v>320</v>
      </c>
      <c r="N152" s="14">
        <f>IF(ISNUMBER(M152), (M152 - $B152) / $B152, "")</f>
        <v>2.2364217252396165E-2</v>
      </c>
      <c r="O152" s="16">
        <f>IF(ISNUMBER(M152), $B172 * N152, "")</f>
        <v>3354.6325878594248</v>
      </c>
      <c r="Q152" s="156"/>
      <c r="R152" s="156"/>
      <c r="S152" s="156"/>
    </row>
    <row r="153" spans="1:19" ht="17.25" thickBot="1">
      <c r="A153" s="109" t="s">
        <v>109</v>
      </c>
      <c r="B153" s="110">
        <v>922</v>
      </c>
      <c r="C153" s="70">
        <v>0</v>
      </c>
      <c r="D153" s="15">
        <v>935</v>
      </c>
      <c r="E153" s="32">
        <f t="shared" ref="E153:E156" si="78">IF(ISNUMBER(D153), (D153 - $B153) / $B153, "")</f>
        <v>1.4099783080260303E-2</v>
      </c>
      <c r="F153" s="18">
        <f>IF(ISNUMBER(D153), $B172 * E153, "")</f>
        <v>2114.9674620390456</v>
      </c>
      <c r="G153" s="31">
        <v>953</v>
      </c>
      <c r="H153" s="32">
        <f t="shared" ref="H153:H156" si="79">IF(ISNUMBER(G153), (G153 - $B153) / $B153, "")</f>
        <v>3.3622559652928416E-2</v>
      </c>
      <c r="I153" s="91">
        <f>IF(ISNUMBER(G153), $B172 * H153, "")</f>
        <v>5043.3839479392627</v>
      </c>
      <c r="J153" s="15">
        <v>952</v>
      </c>
      <c r="K153" s="32">
        <f t="shared" ref="K153:K156" si="80">IF(ISNUMBER(J153), (J153 - $B153) / $B153, "")</f>
        <v>3.2537960954446853E-2</v>
      </c>
      <c r="L153" s="18">
        <f>IF(ISNUMBER(J153), $B172 * K153, "")</f>
        <v>4880.6941431670275</v>
      </c>
      <c r="M153" s="31">
        <v>951</v>
      </c>
      <c r="N153" s="32">
        <f t="shared" ref="N153:N156" si="81">IF(ISNUMBER(M153), (M153 - $B153) / $B153, "")</f>
        <v>3.1453362255965296E-2</v>
      </c>
      <c r="O153" s="18">
        <f>IF(ISNUMBER(M153), $B172 * N153, "")</f>
        <v>4718.0043383947941</v>
      </c>
      <c r="Q153" s="156"/>
      <c r="R153" s="156"/>
      <c r="S153" s="156"/>
    </row>
    <row r="154" spans="1:19" ht="17.25" thickBot="1">
      <c r="A154" s="109" t="s">
        <v>341</v>
      </c>
      <c r="B154" s="110">
        <v>604</v>
      </c>
      <c r="C154" s="70">
        <v>-1.6528926E-3</v>
      </c>
      <c r="D154" s="15">
        <v>610</v>
      </c>
      <c r="E154" s="32">
        <f t="shared" si="78"/>
        <v>9.9337748344370865E-3</v>
      </c>
      <c r="F154" s="18">
        <f>IF(ISNUMBER(D154), $B172 * E154, "")</f>
        <v>1490.0662251655631</v>
      </c>
      <c r="G154" s="31">
        <v>622</v>
      </c>
      <c r="H154" s="32">
        <f t="shared" si="79"/>
        <v>2.9801324503311258E-2</v>
      </c>
      <c r="I154" s="91">
        <f>IF(ISNUMBER(G154), $B172 * H154, "")</f>
        <v>4470.1986754966883</v>
      </c>
      <c r="J154" s="15">
        <v>621</v>
      </c>
      <c r="K154" s="32">
        <f t="shared" si="80"/>
        <v>2.8145695364238412E-2</v>
      </c>
      <c r="L154" s="18">
        <f>IF(ISNUMBER(J154), $B172 * K154, "")</f>
        <v>4221.8543046357618</v>
      </c>
      <c r="M154" s="31">
        <v>623</v>
      </c>
      <c r="N154" s="32">
        <f t="shared" si="81"/>
        <v>3.1456953642384107E-2</v>
      </c>
      <c r="O154" s="18">
        <f>IF(ISNUMBER(M154), $B172 * N154, "")</f>
        <v>4718.5430463576158</v>
      </c>
      <c r="Q154" s="146"/>
      <c r="R154" s="146"/>
      <c r="S154" s="146"/>
    </row>
    <row r="155" spans="1:19" ht="17.25" thickBot="1">
      <c r="A155" s="109" t="s">
        <v>89</v>
      </c>
      <c r="B155" s="110">
        <v>431</v>
      </c>
      <c r="C155" s="70">
        <v>-2.3148147999999999E-3</v>
      </c>
      <c r="D155" s="15">
        <v>419</v>
      </c>
      <c r="E155" s="32">
        <f t="shared" si="78"/>
        <v>-2.7842227378190254E-2</v>
      </c>
      <c r="F155" s="18">
        <f>IF(ISNUMBER(D155), $B172 * E155, "")</f>
        <v>-4176.3341067285382</v>
      </c>
      <c r="G155" s="31">
        <v>441</v>
      </c>
      <c r="H155" s="32">
        <f t="shared" si="79"/>
        <v>2.3201856148491878E-2</v>
      </c>
      <c r="I155" s="91">
        <f>IF(ISNUMBER(G155), $B172 * H155, "")</f>
        <v>3480.2784222737819</v>
      </c>
      <c r="J155" s="15">
        <v>438</v>
      </c>
      <c r="K155" s="32">
        <f t="shared" si="80"/>
        <v>1.6241299303944315E-2</v>
      </c>
      <c r="L155" s="18">
        <f>IF(ISNUMBER(J155), $B172 * K155, "")</f>
        <v>2436.1948955916473</v>
      </c>
      <c r="M155" s="31">
        <v>440</v>
      </c>
      <c r="N155" s="32">
        <f t="shared" si="81"/>
        <v>2.0881670533642691E-2</v>
      </c>
      <c r="O155" s="18">
        <f>IF(ISNUMBER(M155), $B172 * N155, "")</f>
        <v>3132.2505800464037</v>
      </c>
      <c r="Q155" s="146"/>
      <c r="R155" s="146"/>
      <c r="S155" s="146"/>
    </row>
    <row r="156" spans="1:19" ht="17.25" thickBot="1">
      <c r="A156" s="111" t="s">
        <v>95</v>
      </c>
      <c r="B156" s="112">
        <v>910</v>
      </c>
      <c r="C156" s="71">
        <v>-3.2858708E-3</v>
      </c>
      <c r="D156" s="20">
        <v>917</v>
      </c>
      <c r="E156" s="21">
        <f t="shared" si="78"/>
        <v>7.6923076923076927E-3</v>
      </c>
      <c r="F156" s="22">
        <f>IF(ISNUMBER(D156), $B172 * E156, "")</f>
        <v>1153.8461538461538</v>
      </c>
      <c r="G156" s="30">
        <v>929</v>
      </c>
      <c r="H156" s="21">
        <f t="shared" si="79"/>
        <v>2.0879120879120878E-2</v>
      </c>
      <c r="I156" s="95">
        <f>IF(ISNUMBER(G156), $B172 * H156, "")</f>
        <v>3131.8681318681315</v>
      </c>
      <c r="J156" s="20">
        <v>927</v>
      </c>
      <c r="K156" s="21">
        <f t="shared" si="80"/>
        <v>1.8681318681318681E-2</v>
      </c>
      <c r="L156" s="22">
        <f>IF(ISNUMBER(J156), $B172 * K156, "")</f>
        <v>2802.197802197802</v>
      </c>
      <c r="M156" s="30">
        <v>932</v>
      </c>
      <c r="N156" s="21">
        <f t="shared" si="81"/>
        <v>2.4175824175824177E-2</v>
      </c>
      <c r="O156" s="22">
        <f>IF(ISNUMBER(M156), $B172 * N156, "")</f>
        <v>3626.3736263736264</v>
      </c>
      <c r="Q156" s="146"/>
      <c r="R156" s="146"/>
      <c r="S156" s="146"/>
    </row>
    <row r="157" spans="1:19" ht="17.25" thickBot="1">
      <c r="A157" s="109" t="s">
        <v>330</v>
      </c>
      <c r="B157" s="113">
        <v>255</v>
      </c>
      <c r="C157" s="73">
        <v>-3.90625E-3</v>
      </c>
      <c r="D157" s="96">
        <v>256</v>
      </c>
      <c r="E157" s="97">
        <f>IF(ISNUMBER(D157), (D157 - $B157) / $B157, "")</f>
        <v>3.9215686274509803E-3</v>
      </c>
      <c r="F157" s="98">
        <f>IF(ISNUMBER(D157), $B172 * E157, "")</f>
        <v>588.23529411764707</v>
      </c>
      <c r="G157" s="99">
        <v>259</v>
      </c>
      <c r="H157" s="97">
        <f>IF(ISNUMBER(G157), (G157 - $B157) / $B157, "")</f>
        <v>1.5686274509803921E-2</v>
      </c>
      <c r="I157" s="100">
        <f>IF(ISNUMBER(G157), $B172 * H157, "")</f>
        <v>2352.9411764705883</v>
      </c>
      <c r="J157" s="96">
        <v>259</v>
      </c>
      <c r="K157" s="97">
        <f>IF(ISNUMBER(J157), (J157 - $B157) / $B157, "")</f>
        <v>1.5686274509803921E-2</v>
      </c>
      <c r="L157" s="98">
        <f>IF(ISNUMBER(J157), $B172 * K157, "")</f>
        <v>2352.9411764705883</v>
      </c>
      <c r="M157" s="99">
        <v>260</v>
      </c>
      <c r="N157" s="97">
        <f>IF(ISNUMBER(M157), (M157 - $B157) / $B157, "")</f>
        <v>1.9607843137254902E-2</v>
      </c>
      <c r="O157" s="98">
        <f>IF(ISNUMBER(M157), $B172 * N157, "")</f>
        <v>2941.1764705882351</v>
      </c>
      <c r="Q157" s="146"/>
      <c r="R157" s="146"/>
      <c r="S157" s="146"/>
    </row>
    <row r="158" spans="1:19" ht="17.25" thickBot="1">
      <c r="A158" s="109" t="s">
        <v>339</v>
      </c>
      <c r="B158" s="110">
        <v>962</v>
      </c>
      <c r="C158" s="70">
        <v>-4.1407867000000003E-3</v>
      </c>
      <c r="D158" s="15">
        <v>962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992</v>
      </c>
      <c r="H158" s="32">
        <f t="shared" ref="H158:H161" si="83">IF(ISNUMBER(G158), (G158 - $B158) / $B158, "")</f>
        <v>3.1185031185031187E-2</v>
      </c>
      <c r="I158" s="91">
        <f>IF(ISNUMBER(G158), $B172 * H158, "")</f>
        <v>4677.7546777546777</v>
      </c>
      <c r="J158" s="15">
        <v>991</v>
      </c>
      <c r="K158" s="32">
        <f t="shared" ref="K158:K161" si="84">IF(ISNUMBER(J158), (J158 - $B158) / $B158, "")</f>
        <v>3.0145530145530147E-2</v>
      </c>
      <c r="L158" s="18">
        <f>IF(ISNUMBER(J158), $B172 * K158, "")</f>
        <v>4521.8295218295225</v>
      </c>
      <c r="M158" s="31">
        <v>991</v>
      </c>
      <c r="N158" s="32">
        <f t="shared" ref="N158:N161" si="85">IF(ISNUMBER(M158), (M158 - $B158) / $B158, "")</f>
        <v>3.0145530145530147E-2</v>
      </c>
      <c r="O158" s="18">
        <f>IF(ISNUMBER(M158), $B172 * N158, "")</f>
        <v>4521.8295218295225</v>
      </c>
      <c r="Q158" s="146"/>
      <c r="R158" s="146"/>
      <c r="S158" s="146"/>
    </row>
    <row r="159" spans="1:19" ht="17.25" thickBot="1">
      <c r="A159" s="109" t="s">
        <v>223</v>
      </c>
      <c r="B159" s="110">
        <v>185</v>
      </c>
      <c r="C159" s="70">
        <v>-5.3763441000000004E-3</v>
      </c>
      <c r="D159" s="15">
        <v>187</v>
      </c>
      <c r="E159" s="32">
        <f t="shared" si="82"/>
        <v>1.0810810810810811E-2</v>
      </c>
      <c r="F159" s="18">
        <f>IF(ISNUMBER(D159), $B172 * E159, "")</f>
        <v>1621.6216216216217</v>
      </c>
      <c r="G159" s="31">
        <v>190</v>
      </c>
      <c r="H159" s="32">
        <f t="shared" si="83"/>
        <v>2.7027027027027029E-2</v>
      </c>
      <c r="I159" s="91">
        <f>IF(ISNUMBER(G159), $B172 * H159, "")</f>
        <v>4054.0540540540542</v>
      </c>
      <c r="J159" s="15">
        <v>188</v>
      </c>
      <c r="K159" s="32">
        <f t="shared" si="84"/>
        <v>1.6216216216216217E-2</v>
      </c>
      <c r="L159" s="18">
        <f>IF(ISNUMBER(J159), $B172 * K159, "")</f>
        <v>2432.4324324324325</v>
      </c>
      <c r="M159" s="31">
        <v>188</v>
      </c>
      <c r="N159" s="32">
        <f t="shared" si="85"/>
        <v>1.6216216216216217E-2</v>
      </c>
      <c r="O159" s="18">
        <f>IF(ISNUMBER(M159), $B172 * N159, "")</f>
        <v>2432.4324324324325</v>
      </c>
      <c r="Q159" s="146"/>
      <c r="R159" s="146"/>
      <c r="S159" s="146"/>
    </row>
    <row r="160" spans="1:19" ht="17.25" thickBot="1">
      <c r="A160" s="109" t="s">
        <v>105</v>
      </c>
      <c r="B160" s="110">
        <v>179</v>
      </c>
      <c r="C160" s="70">
        <v>-5.5555556000000004E-3</v>
      </c>
      <c r="D160" s="15">
        <v>181</v>
      </c>
      <c r="E160" s="32">
        <f t="shared" si="82"/>
        <v>1.11731843575419E-2</v>
      </c>
      <c r="F160" s="18">
        <f>IF(ISNUMBER(D160), $B172 * E160, "")</f>
        <v>1675.977653631285</v>
      </c>
      <c r="G160" s="31">
        <v>185</v>
      </c>
      <c r="H160" s="32">
        <f t="shared" si="83"/>
        <v>3.3519553072625698E-2</v>
      </c>
      <c r="I160" s="91">
        <f>IF(ISNUMBER(G160), $B172 * H160, "")</f>
        <v>5027.9329608938542</v>
      </c>
      <c r="J160" s="15">
        <v>184</v>
      </c>
      <c r="K160" s="32">
        <f t="shared" si="84"/>
        <v>2.7932960893854747E-2</v>
      </c>
      <c r="L160" s="18">
        <f>IF(ISNUMBER(J160), $B172 * K160, "")</f>
        <v>4189.9441340782123</v>
      </c>
      <c r="M160" s="31">
        <v>186</v>
      </c>
      <c r="N160" s="32">
        <f t="shared" si="85"/>
        <v>3.9106145251396648E-2</v>
      </c>
      <c r="O160" s="18">
        <f>IF(ISNUMBER(M160), $B172 * N160, "")</f>
        <v>5865.921787709497</v>
      </c>
      <c r="Q160" s="33"/>
      <c r="R160" s="33"/>
    </row>
    <row r="161" spans="1:19" ht="17.25" thickBot="1">
      <c r="A161" s="114" t="s">
        <v>235</v>
      </c>
      <c r="B161" s="115">
        <v>493</v>
      </c>
      <c r="C161" s="72">
        <v>-6.0483871000000002E-3</v>
      </c>
      <c r="D161" s="24">
        <v>493</v>
      </c>
      <c r="E161" s="25">
        <f t="shared" si="82"/>
        <v>0</v>
      </c>
      <c r="F161" s="94">
        <f>IF(ISNUMBER(D161), $B172 * E161, "")</f>
        <v>0</v>
      </c>
      <c r="G161" s="92">
        <v>502</v>
      </c>
      <c r="H161" s="25">
        <f t="shared" si="83"/>
        <v>1.8255578093306288E-2</v>
      </c>
      <c r="I161" s="93">
        <f>IF(ISNUMBER(G161), $B172 * H161, "")</f>
        <v>2738.3367139959432</v>
      </c>
      <c r="J161" s="24">
        <v>499</v>
      </c>
      <c r="K161" s="25">
        <f t="shared" si="84"/>
        <v>1.2170385395537525E-2</v>
      </c>
      <c r="L161" s="94">
        <f>IF(ISNUMBER(J161), $B172 * K161, "")</f>
        <v>1825.5578093306287</v>
      </c>
      <c r="M161" s="92">
        <v>498</v>
      </c>
      <c r="N161" s="25">
        <f t="shared" si="85"/>
        <v>1.0141987829614604E-2</v>
      </c>
      <c r="O161" s="94">
        <f>IF(ISNUMBER(M161), $B172 * N161, "")</f>
        <v>1521.2981744421907</v>
      </c>
      <c r="Q161" s="147"/>
      <c r="R161" s="148"/>
      <c r="S161" s="149"/>
    </row>
    <row r="162" spans="1:19">
      <c r="A162" s="107" t="s">
        <v>130</v>
      </c>
      <c r="B162" s="108">
        <v>577</v>
      </c>
      <c r="C162" s="69">
        <v>-6.8846816000000003E-3</v>
      </c>
      <c r="D162" s="13">
        <v>578</v>
      </c>
      <c r="E162" s="14">
        <f>IF(ISNUMBER(D162), (D162 - $B162) / $B162, "")</f>
        <v>1.7331022530329288E-3</v>
      </c>
      <c r="F162" s="16">
        <f>IF(ISNUMBER(D162), $B172 * E162, "")</f>
        <v>259.96533795493934</v>
      </c>
      <c r="G162" s="29">
        <v>589</v>
      </c>
      <c r="H162" s="14">
        <f>IF(ISNUMBER(G162), (G162 - $B162) / $B162, "")</f>
        <v>2.0797227036395149E-2</v>
      </c>
      <c r="I162" s="90">
        <f>IF(ISNUMBER(G162), $B172 * H162, "")</f>
        <v>3119.5840554592723</v>
      </c>
      <c r="J162" s="13">
        <v>590</v>
      </c>
      <c r="K162" s="14">
        <f>IF(ISNUMBER(J162), (J162 - $B162) / $B162, "")</f>
        <v>2.2530329289428077E-2</v>
      </c>
      <c r="L162" s="16">
        <f>IF(ISNUMBER(J162), $B172 * K162, "")</f>
        <v>3379.5493934142114</v>
      </c>
      <c r="M162" s="29">
        <v>590</v>
      </c>
      <c r="N162" s="14">
        <f>IF(ISNUMBER(M162), (M162 - $B162) / $B162, "")</f>
        <v>2.2530329289428077E-2</v>
      </c>
      <c r="O162" s="16">
        <f>IF(ISNUMBER(M162), $B172 * N162, "")</f>
        <v>3379.5493934142114</v>
      </c>
      <c r="Q162" s="150"/>
      <c r="R162" s="151"/>
      <c r="S162" s="152"/>
    </row>
    <row r="163" spans="1:19" ht="17.25" thickBot="1">
      <c r="A163" s="109" t="s">
        <v>189</v>
      </c>
      <c r="B163" s="110">
        <v>828</v>
      </c>
      <c r="C163" s="70">
        <v>-7.1942446E-3</v>
      </c>
      <c r="D163" s="15">
        <v>832</v>
      </c>
      <c r="E163" s="32">
        <f t="shared" ref="E163:E166" si="86">IF(ISNUMBER(D163), (D163 - $B163) / $B163, "")</f>
        <v>4.830917874396135E-3</v>
      </c>
      <c r="F163" s="18">
        <f>IF(ISNUMBER(D163), $B172 * E163, "")</f>
        <v>724.63768115942025</v>
      </c>
      <c r="G163" s="31">
        <v>853</v>
      </c>
      <c r="H163" s="32">
        <f t="shared" ref="H163:H166" si="87">IF(ISNUMBER(G163), (G163 - $B163) / $B163, "")</f>
        <v>3.0193236714975844E-2</v>
      </c>
      <c r="I163" s="91">
        <f>IF(ISNUMBER(G163), $B172 * H163, "")</f>
        <v>4528.985507246377</v>
      </c>
      <c r="J163" s="15">
        <v>847</v>
      </c>
      <c r="K163" s="32">
        <f t="shared" ref="K163:K166" si="88">IF(ISNUMBER(J163), (J163 - $B163) / $B163, "")</f>
        <v>2.2946859903381644E-2</v>
      </c>
      <c r="L163" s="18">
        <f>IF(ISNUMBER(J163), $B172 * K163, "")</f>
        <v>3442.0289855072465</v>
      </c>
      <c r="M163" s="31">
        <v>846</v>
      </c>
      <c r="N163" s="32">
        <f t="shared" ref="N163:N166" si="89">IF(ISNUMBER(M163), (M163 - $B163) / $B163, "")</f>
        <v>2.1739130434782608E-2</v>
      </c>
      <c r="O163" s="18">
        <f>IF(ISNUMBER(M163), $B172 * N163, "")</f>
        <v>3260.869565217391</v>
      </c>
      <c r="Q163" s="153"/>
      <c r="R163" s="154"/>
      <c r="S163" s="155"/>
    </row>
    <row r="164" spans="1:19" ht="17.25" thickBot="1">
      <c r="A164" s="109" t="s">
        <v>345</v>
      </c>
      <c r="B164" s="110">
        <v>106</v>
      </c>
      <c r="C164" s="70">
        <v>-9.3457943999999994E-3</v>
      </c>
      <c r="D164" s="15">
        <v>107</v>
      </c>
      <c r="E164" s="32">
        <f t="shared" si="86"/>
        <v>9.433962264150943E-3</v>
      </c>
      <c r="F164" s="18">
        <f>IF(ISNUMBER(D164), $B172 * E164, "")</f>
        <v>1415.0943396226414</v>
      </c>
      <c r="G164" s="31">
        <v>109</v>
      </c>
      <c r="H164" s="32">
        <f t="shared" si="87"/>
        <v>2.8301886792452831E-2</v>
      </c>
      <c r="I164" s="91">
        <f>IF(ISNUMBER(G164), $B172 * H164, "")</f>
        <v>4245.2830188679245</v>
      </c>
      <c r="J164" s="15">
        <v>109</v>
      </c>
      <c r="K164" s="32">
        <f t="shared" si="88"/>
        <v>2.8301886792452831E-2</v>
      </c>
      <c r="L164" s="18">
        <f>IF(ISNUMBER(J164), $B172 * K164, "")</f>
        <v>4245.2830188679245</v>
      </c>
      <c r="M164" s="31">
        <v>108</v>
      </c>
      <c r="N164" s="32">
        <f t="shared" si="89"/>
        <v>1.8867924528301886E-2</v>
      </c>
      <c r="O164" s="18">
        <f>IF(ISNUMBER(M164), $B172 * N164, "")</f>
        <v>2830.1886792452829</v>
      </c>
      <c r="Q164" s="146"/>
      <c r="R164" s="146"/>
      <c r="S164" s="146"/>
    </row>
    <row r="165" spans="1:19" ht="17.25" thickBot="1">
      <c r="A165" s="109" t="s">
        <v>211</v>
      </c>
      <c r="B165" s="110">
        <v>908</v>
      </c>
      <c r="C165" s="70">
        <v>-9.8146129000000002E-3</v>
      </c>
      <c r="D165" s="15">
        <v>914</v>
      </c>
      <c r="E165" s="32">
        <f t="shared" si="86"/>
        <v>6.6079295154185024E-3</v>
      </c>
      <c r="F165" s="18">
        <f>IF(ISNUMBER(D165), $B172 * E165, "")</f>
        <v>991.18942731277536</v>
      </c>
      <c r="G165" s="31">
        <v>920</v>
      </c>
      <c r="H165" s="32">
        <f t="shared" si="87"/>
        <v>1.3215859030837005E-2</v>
      </c>
      <c r="I165" s="91">
        <f>IF(ISNUMBER(G165), $B172 * H165, "")</f>
        <v>1982.3788546255507</v>
      </c>
      <c r="J165" s="15">
        <v>915</v>
      </c>
      <c r="K165" s="32">
        <f t="shared" si="88"/>
        <v>7.709251101321586E-3</v>
      </c>
      <c r="L165" s="18">
        <f>IF(ISNUMBER(J165), $B172 * K165, "")</f>
        <v>1156.387665198238</v>
      </c>
      <c r="M165" s="31">
        <v>917</v>
      </c>
      <c r="N165" s="32">
        <f t="shared" si="89"/>
        <v>9.911894273127754E-3</v>
      </c>
      <c r="O165" s="18">
        <f>IF(ISNUMBER(M165), $B172 * N165, "")</f>
        <v>1486.784140969163</v>
      </c>
      <c r="Q165" s="156"/>
      <c r="R165" s="156"/>
      <c r="S165" s="156"/>
    </row>
    <row r="166" spans="1:19" ht="17.25" thickBot="1">
      <c r="A166" s="111" t="s">
        <v>161</v>
      </c>
      <c r="B166" s="112">
        <v>271</v>
      </c>
      <c r="C166" s="71">
        <v>-1.09489051E-2</v>
      </c>
      <c r="D166" s="20">
        <v>271</v>
      </c>
      <c r="E166" s="21">
        <f t="shared" si="86"/>
        <v>0</v>
      </c>
      <c r="F166" s="22">
        <f>IF(ISNUMBER(D166), $B172 * E166, "")</f>
        <v>0</v>
      </c>
      <c r="G166" s="30">
        <v>276</v>
      </c>
      <c r="H166" s="21">
        <f t="shared" si="87"/>
        <v>1.8450184501845018E-2</v>
      </c>
      <c r="I166" s="95">
        <f>IF(ISNUMBER(G166), $B172 * H166, "")</f>
        <v>2767.5276752767527</v>
      </c>
      <c r="J166" s="20">
        <v>274</v>
      </c>
      <c r="K166" s="21">
        <f t="shared" si="88"/>
        <v>1.107011070110701E-2</v>
      </c>
      <c r="L166" s="22">
        <f>IF(ISNUMBER(J166), $B172 * K166, "")</f>
        <v>1660.5166051660515</v>
      </c>
      <c r="M166" s="30">
        <v>275</v>
      </c>
      <c r="N166" s="21">
        <f t="shared" si="89"/>
        <v>1.4760147601476014E-2</v>
      </c>
      <c r="O166" s="22">
        <f>IF(ISNUMBER(M166), $B172 * N166, "")</f>
        <v>2214.022140221402</v>
      </c>
      <c r="Q166" s="156"/>
      <c r="R166" s="156"/>
      <c r="S166" s="156"/>
    </row>
    <row r="167" spans="1:19" ht="17.25" thickBot="1">
      <c r="A167" s="109" t="s">
        <v>187</v>
      </c>
      <c r="B167" s="113">
        <v>703</v>
      </c>
      <c r="C167" s="73">
        <v>-1.12517581E-2</v>
      </c>
      <c r="D167" s="96">
        <v>706</v>
      </c>
      <c r="E167" s="97">
        <f>IF(ISNUMBER(D167), (D167 - $B167) / $B167, "")</f>
        <v>4.2674253200568994E-3</v>
      </c>
      <c r="F167" s="98">
        <f>IF(ISNUMBER(D167), $B172 * E167, "")</f>
        <v>640.1137980085349</v>
      </c>
      <c r="G167" s="99">
        <v>712</v>
      </c>
      <c r="H167" s="97">
        <f>IF(ISNUMBER(G167), (G167 - $B167) / $B167, "")</f>
        <v>1.2802275960170697E-2</v>
      </c>
      <c r="I167" s="100">
        <f>IF(ISNUMBER(G167), $B172 * H167, "")</f>
        <v>1920.3413940256046</v>
      </c>
      <c r="J167" s="96">
        <v>712</v>
      </c>
      <c r="K167" s="97">
        <f>IF(ISNUMBER(J167), (J167 - $B167) / $B167, "")</f>
        <v>1.2802275960170697E-2</v>
      </c>
      <c r="L167" s="98">
        <f>IF(ISNUMBER(J167), $B172 * K167, "")</f>
        <v>1920.3413940256046</v>
      </c>
      <c r="M167" s="99">
        <v>712</v>
      </c>
      <c r="N167" s="97">
        <f>IF(ISNUMBER(M167), (M167 - $B167) / $B167, "")</f>
        <v>1.2802275960170697E-2</v>
      </c>
      <c r="O167" s="98">
        <f>IF(ISNUMBER(M167), $B172 * N167, "")</f>
        <v>1920.3413940256046</v>
      </c>
      <c r="Q167" s="146"/>
      <c r="R167" s="146"/>
      <c r="S167" s="146"/>
    </row>
    <row r="168" spans="1:19" ht="17.25" thickBot="1">
      <c r="A168" s="109" t="s">
        <v>229</v>
      </c>
      <c r="B168" s="110">
        <v>226</v>
      </c>
      <c r="C168" s="70">
        <v>-1.3100436700000001E-2</v>
      </c>
      <c r="D168" s="15">
        <v>227</v>
      </c>
      <c r="E168" s="32">
        <f t="shared" ref="E168:E171" si="90">IF(ISNUMBER(D168), (D168 - $B168) / $B168, "")</f>
        <v>4.4247787610619468E-3</v>
      </c>
      <c r="F168" s="18">
        <f>IF(ISNUMBER(D168), $B172 * E168, "")</f>
        <v>663.71681415929197</v>
      </c>
      <c r="G168" s="31">
        <v>231</v>
      </c>
      <c r="H168" s="32">
        <f t="shared" ref="H168:H171" si="91">IF(ISNUMBER(G168), (G168 - $B168) / $B168, "")</f>
        <v>2.2123893805309734E-2</v>
      </c>
      <c r="I168" s="91">
        <f>IF(ISNUMBER(G168), $B172 * H168, "")</f>
        <v>3318.5840707964603</v>
      </c>
      <c r="J168" s="15">
        <v>231</v>
      </c>
      <c r="K168" s="32">
        <f t="shared" ref="K168:K171" si="92">IF(ISNUMBER(J168), (J168 - $B168) / $B168, "")</f>
        <v>2.2123893805309734E-2</v>
      </c>
      <c r="L168" s="18">
        <f>IF(ISNUMBER(J168), $B172 * K168, "")</f>
        <v>3318.5840707964603</v>
      </c>
      <c r="M168" s="31">
        <v>231</v>
      </c>
      <c r="N168" s="32">
        <f t="shared" ref="N168:N171" si="93">IF(ISNUMBER(M168), (M168 - $B168) / $B168, "")</f>
        <v>2.2123893805309734E-2</v>
      </c>
      <c r="O168" s="18">
        <f>IF(ISNUMBER(M168), $B172 * N168, "")</f>
        <v>3318.5840707964603</v>
      </c>
      <c r="Q168" s="146"/>
      <c r="R168" s="146"/>
      <c r="S168" s="146"/>
    </row>
    <row r="169" spans="1:19" ht="17.25" thickBot="1">
      <c r="A169" s="109" t="s">
        <v>68</v>
      </c>
      <c r="B169" s="110">
        <v>225</v>
      </c>
      <c r="C169" s="70">
        <v>-1.3157894700000001E-2</v>
      </c>
      <c r="D169" s="15">
        <v>223</v>
      </c>
      <c r="E169" s="32">
        <f t="shared" si="90"/>
        <v>-8.8888888888888889E-3</v>
      </c>
      <c r="F169" s="18">
        <f>IF(ISNUMBER(D169), $B172 * E169, "")</f>
        <v>-1333.3333333333333</v>
      </c>
      <c r="G169" s="31">
        <v>229</v>
      </c>
      <c r="H169" s="32">
        <f t="shared" si="91"/>
        <v>1.7777777777777778E-2</v>
      </c>
      <c r="I169" s="91">
        <f>IF(ISNUMBER(G169), $B172 * H169, "")</f>
        <v>2666.6666666666665</v>
      </c>
      <c r="J169" s="15">
        <v>231</v>
      </c>
      <c r="K169" s="32">
        <f t="shared" si="92"/>
        <v>2.6666666666666668E-2</v>
      </c>
      <c r="L169" s="18">
        <f>IF(ISNUMBER(J169), $B172 * K169, "")</f>
        <v>4000.0000000000005</v>
      </c>
      <c r="M169" s="31">
        <v>231</v>
      </c>
      <c r="N169" s="32">
        <f t="shared" si="93"/>
        <v>2.6666666666666668E-2</v>
      </c>
      <c r="O169" s="18">
        <f>IF(ISNUMBER(M169), $B172 * N169, "")</f>
        <v>4000.0000000000005</v>
      </c>
      <c r="Q169" s="146"/>
      <c r="R169" s="146"/>
      <c r="S169" s="146"/>
    </row>
    <row r="170" spans="1:19">
      <c r="A170" s="109" t="s">
        <v>165</v>
      </c>
      <c r="B170" s="110">
        <v>871</v>
      </c>
      <c r="C170" s="70">
        <v>-2.0247469099999998E-2</v>
      </c>
      <c r="D170" s="15">
        <v>872</v>
      </c>
      <c r="E170" s="32">
        <f t="shared" si="90"/>
        <v>1.148105625717566E-3</v>
      </c>
      <c r="F170" s="18">
        <f>IF(ISNUMBER(D170), $B172 * E170, "")</f>
        <v>172.21584385763489</v>
      </c>
      <c r="G170" s="31">
        <v>886</v>
      </c>
      <c r="H170" s="32">
        <f t="shared" si="91"/>
        <v>1.7221584385763489E-2</v>
      </c>
      <c r="I170" s="91">
        <f>IF(ISNUMBER(G170), $B172 * H170, "")</f>
        <v>2583.2376578645235</v>
      </c>
      <c r="J170" s="15">
        <v>883</v>
      </c>
      <c r="K170" s="32">
        <f t="shared" si="92"/>
        <v>1.3777267508610792E-2</v>
      </c>
      <c r="L170" s="18">
        <f>IF(ISNUMBER(J170), $B172 * K170, "")</f>
        <v>2066.5901262916186</v>
      </c>
      <c r="M170" s="31">
        <v>878</v>
      </c>
      <c r="N170" s="32">
        <f t="shared" si="93"/>
        <v>8.0367393800229621E-3</v>
      </c>
      <c r="O170" s="18">
        <f>IF(ISNUMBER(M170), $B172 * N170, "")</f>
        <v>1205.5109070034443</v>
      </c>
      <c r="Q170" s="135"/>
      <c r="R170" s="136"/>
      <c r="S170" s="137"/>
    </row>
    <row r="171" spans="1:19" ht="17.25" thickBot="1">
      <c r="A171" s="114" t="s">
        <v>116</v>
      </c>
      <c r="B171" s="115">
        <v>928</v>
      </c>
      <c r="C171" s="72">
        <v>-7.1071071099999994E-2</v>
      </c>
      <c r="D171" s="24">
        <v>901</v>
      </c>
      <c r="E171" s="25">
        <f t="shared" si="90"/>
        <v>-2.9094827586206896E-2</v>
      </c>
      <c r="F171" s="94">
        <f>IF(ISNUMBER(D171), $B172 * E171, "")</f>
        <v>-4364.2241379310344</v>
      </c>
      <c r="G171" s="92">
        <v>914</v>
      </c>
      <c r="H171" s="25">
        <f t="shared" si="91"/>
        <v>-1.5086206896551725E-2</v>
      </c>
      <c r="I171" s="93">
        <f>IF(ISNUMBER(G171), $B172 * H171, "")</f>
        <v>-2262.9310344827586</v>
      </c>
      <c r="J171" s="24">
        <v>913</v>
      </c>
      <c r="K171" s="25">
        <f t="shared" si="92"/>
        <v>-1.6163793103448277E-2</v>
      </c>
      <c r="L171" s="94">
        <f>IF(ISNUMBER(J171), $B172 * K171, "")</f>
        <v>-2424.5689655172414</v>
      </c>
      <c r="M171" s="92">
        <v>914</v>
      </c>
      <c r="N171" s="25">
        <f t="shared" si="93"/>
        <v>-1.5086206896551725E-2</v>
      </c>
      <c r="O171" s="94">
        <f>IF(ISNUMBER(M171), $B172 * N171, "")</f>
        <v>-2262.9310344827586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1.37232976711357E-3</v>
      </c>
      <c r="F172" s="28">
        <f>SUM(F152:F171)</f>
        <v>4116.9893013407072</v>
      </c>
      <c r="G172" s="26" t="s">
        <v>258</v>
      </c>
      <c r="H172" s="27">
        <f>IF(COUNT(H152:H171), SUM(H152:H171) / COUNT(H152:H171), 0)</f>
        <v>2.1067013071650927E-2</v>
      </c>
      <c r="I172" s="28">
        <f>SUM(I152:I171)</f>
        <v>63201.039214952783</v>
      </c>
      <c r="J172" s="26" t="s">
        <v>258</v>
      </c>
      <c r="K172" s="27">
        <f>IF(COUNT(K152:K171), SUM(K152:K171) / COUNT(K152:K171), 0)</f>
        <v>1.84345859581687E-2</v>
      </c>
      <c r="L172" s="28">
        <f>SUM(L152:L171)</f>
        <v>55303.757874506096</v>
      </c>
      <c r="M172" s="26" t="s">
        <v>258</v>
      </c>
      <c r="N172" s="27">
        <f>IF(COUNT(N152:N171), SUM(N152:N171) / COUNT(N152:N171), 0)</f>
        <v>1.9395127274147984E-2</v>
      </c>
      <c r="O172" s="28">
        <f>SUM(O152:O171)</f>
        <v>58185.381822443953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21539000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1.0224474E-3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2023-01-02(월) 오전 00:00</v>
      </c>
      <c r="C177" s="198"/>
      <c r="D177" s="170" t="str">
        <f>TEXT($G$1, "[$-ko-KR]yyyy-mm-dd(ddd) ") &amp; "오후 14:00"</f>
        <v>2023-01-02(월) 오후 14:00</v>
      </c>
      <c r="E177" s="171"/>
      <c r="F177" s="172"/>
      <c r="G177" s="170" t="str">
        <f>TEXT($G$1, "[$-ko-KR]yyyy-mm-dd(ddd) ") &amp; "오후 19:00"</f>
        <v>2023-01-02(월) 오후 19:00</v>
      </c>
      <c r="H177" s="171"/>
      <c r="I177" s="172"/>
      <c r="J177" s="170" t="str">
        <f>TEXT($G$1, "[$-ko-KR]yyyy-mm-dd(ddd) ") &amp; "오후 21:00"</f>
        <v>2023-01-02(월) 오후 21:00</v>
      </c>
      <c r="K177" s="171"/>
      <c r="L177" s="172"/>
      <c r="M177" s="170" t="str">
        <f>TEXT($G$1+1, "[$-ko-KR]yyyy-mm-dd(ddd) ") &amp; "오전 00:00"</f>
        <v>2023-01-03(화)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163</v>
      </c>
      <c r="B179" s="108">
        <v>5340</v>
      </c>
      <c r="C179" s="69">
        <v>-8.3565459999999994E-3</v>
      </c>
      <c r="D179" s="13">
        <v>5335</v>
      </c>
      <c r="E179" s="14">
        <f>IF(ISNUMBER(D179), (D179 - $B179) / $B179, "")</f>
        <v>-9.3632958801498128E-4</v>
      </c>
      <c r="F179" s="16">
        <f>IF(ISNUMBER(D179), $B199 * E179, "")</f>
        <v>-140.44943820224719</v>
      </c>
      <c r="G179" s="29">
        <v>5400</v>
      </c>
      <c r="H179" s="14">
        <f>IF(ISNUMBER(G179), (G179 - $B179) / $B179, "")</f>
        <v>1.1235955056179775E-2</v>
      </c>
      <c r="I179" s="90">
        <f>IF(ISNUMBER(G179), $B199 * H179, "")</f>
        <v>1685.3932584269662</v>
      </c>
      <c r="J179" s="13">
        <v>5405</v>
      </c>
      <c r="K179" s="14">
        <f>IF(ISNUMBER(J179), (J179 - $B179) / $B179, "")</f>
        <v>1.2172284644194757E-2</v>
      </c>
      <c r="L179" s="16">
        <f>IF(ISNUMBER(J179), $B199 * K179, "")</f>
        <v>1825.8426966292136</v>
      </c>
      <c r="M179" s="29">
        <v>5420</v>
      </c>
      <c r="N179" s="14">
        <f>IF(ISNUMBER(M179), (M179 - $B179) / $B179, "")</f>
        <v>1.4981273408239701E-2</v>
      </c>
      <c r="O179" s="16">
        <f>IF(ISNUMBER(M179), $B199 * N179, "")</f>
        <v>2247.1910112359551</v>
      </c>
      <c r="Q179" s="156"/>
      <c r="R179" s="156"/>
      <c r="S179" s="156"/>
    </row>
    <row r="180" spans="1:19" ht="17.25" thickBot="1">
      <c r="A180" s="109" t="s">
        <v>107</v>
      </c>
      <c r="B180" s="110">
        <v>32.9</v>
      </c>
      <c r="C180" s="70">
        <v>-9.0361446000000005E-3</v>
      </c>
      <c r="D180" s="15">
        <v>33.4</v>
      </c>
      <c r="E180" s="32">
        <f t="shared" ref="E180:E183" si="94">IF(ISNUMBER(D180), (D180 - $B180) / $B180, "")</f>
        <v>1.5197568389057751E-2</v>
      </c>
      <c r="F180" s="18">
        <f>IF(ISNUMBER(D180), $B199 * E180, "")</f>
        <v>2279.6352583586627</v>
      </c>
      <c r="G180" s="31">
        <v>33.6</v>
      </c>
      <c r="H180" s="32">
        <f t="shared" ref="H180:H183" si="95">IF(ISNUMBER(G180), (G180 - $B180) / $B180, "")</f>
        <v>2.1276595744680937E-2</v>
      </c>
      <c r="I180" s="91">
        <f>IF(ISNUMBER(G180), $B199 * H180, "")</f>
        <v>3191.4893617021407</v>
      </c>
      <c r="J180" s="15">
        <v>33.4</v>
      </c>
      <c r="K180" s="32">
        <f t="shared" ref="K180:K183" si="96">IF(ISNUMBER(J180), (J180 - $B180) / $B180, "")</f>
        <v>1.5197568389057751E-2</v>
      </c>
      <c r="L180" s="18">
        <f>IF(ISNUMBER(J180), $B199 * K180, "")</f>
        <v>2279.6352583586627</v>
      </c>
      <c r="M180" s="31">
        <v>33.4</v>
      </c>
      <c r="N180" s="32">
        <f t="shared" ref="N180:N183" si="97">IF(ISNUMBER(M180), (M180 - $B180) / $B180, "")</f>
        <v>1.5197568389057751E-2</v>
      </c>
      <c r="O180" s="18">
        <f>IF(ISNUMBER(M180), $B199 * N180, "")</f>
        <v>2279.6352583586627</v>
      </c>
      <c r="Q180" s="156"/>
      <c r="R180" s="156"/>
      <c r="S180" s="156"/>
    </row>
    <row r="181" spans="1:19" ht="17.25" thickBot="1">
      <c r="A181" s="109" t="s">
        <v>227</v>
      </c>
      <c r="B181" s="110">
        <v>32.700000000000003</v>
      </c>
      <c r="C181" s="70">
        <v>-9.0909091000000008E-3</v>
      </c>
      <c r="D181" s="15">
        <v>33.200000000000003</v>
      </c>
      <c r="E181" s="32">
        <f t="shared" si="94"/>
        <v>1.5290519877675839E-2</v>
      </c>
      <c r="F181" s="18">
        <f>IF(ISNUMBER(D181), $B199 * E181, "")</f>
        <v>2293.5779816513759</v>
      </c>
      <c r="G181" s="31">
        <v>33.6</v>
      </c>
      <c r="H181" s="32">
        <f t="shared" si="95"/>
        <v>2.7522935779816467E-2</v>
      </c>
      <c r="I181" s="91">
        <f>IF(ISNUMBER(G181), $B199 * H181, "")</f>
        <v>4128.4403669724697</v>
      </c>
      <c r="J181" s="15">
        <v>33.299999999999997</v>
      </c>
      <c r="K181" s="32">
        <f t="shared" si="96"/>
        <v>1.8348623853210833E-2</v>
      </c>
      <c r="L181" s="18">
        <f>IF(ISNUMBER(J181), $B199 * K181, "")</f>
        <v>2752.2935779816248</v>
      </c>
      <c r="M181" s="31">
        <v>33.4</v>
      </c>
      <c r="N181" s="32">
        <f t="shared" si="97"/>
        <v>2.1406727828746044E-2</v>
      </c>
      <c r="O181" s="18">
        <f>IF(ISNUMBER(M181), $B199 * N181, "")</f>
        <v>3211.0091743119065</v>
      </c>
      <c r="Q181" s="146"/>
      <c r="R181" s="146"/>
      <c r="S181" s="146"/>
    </row>
    <row r="182" spans="1:19" ht="17.25" thickBot="1">
      <c r="A182" s="109" t="s">
        <v>345</v>
      </c>
      <c r="B182" s="110">
        <v>106</v>
      </c>
      <c r="C182" s="70">
        <v>-9.3457943999999994E-3</v>
      </c>
      <c r="D182" s="15">
        <v>107</v>
      </c>
      <c r="E182" s="32">
        <f t="shared" si="94"/>
        <v>9.433962264150943E-3</v>
      </c>
      <c r="F182" s="18">
        <f>IF(ISNUMBER(D182), $B199 * E182, "")</f>
        <v>1415.0943396226414</v>
      </c>
      <c r="G182" s="31">
        <v>109</v>
      </c>
      <c r="H182" s="32">
        <f t="shared" si="95"/>
        <v>2.8301886792452831E-2</v>
      </c>
      <c r="I182" s="91">
        <f>IF(ISNUMBER(G182), $B199 * H182, "")</f>
        <v>4245.2830188679245</v>
      </c>
      <c r="J182" s="15">
        <v>109</v>
      </c>
      <c r="K182" s="32">
        <f t="shared" si="96"/>
        <v>2.8301886792452831E-2</v>
      </c>
      <c r="L182" s="18">
        <f>IF(ISNUMBER(J182), $B199 * K182, "")</f>
        <v>4245.2830188679245</v>
      </c>
      <c r="M182" s="31">
        <v>108</v>
      </c>
      <c r="N182" s="32">
        <f t="shared" si="97"/>
        <v>1.8867924528301886E-2</v>
      </c>
      <c r="O182" s="18">
        <f>IF(ISNUMBER(M182), $B199 * N182, "")</f>
        <v>2830.1886792452829</v>
      </c>
      <c r="Q182" s="146"/>
      <c r="R182" s="146"/>
      <c r="S182" s="146"/>
    </row>
    <row r="183" spans="1:19" ht="17.25" thickBot="1">
      <c r="A183" s="111" t="s">
        <v>211</v>
      </c>
      <c r="B183" s="112">
        <v>908</v>
      </c>
      <c r="C183" s="71">
        <v>-9.8146129000000002E-3</v>
      </c>
      <c r="D183" s="20">
        <v>914</v>
      </c>
      <c r="E183" s="21">
        <f t="shared" si="94"/>
        <v>6.6079295154185024E-3</v>
      </c>
      <c r="F183" s="22">
        <f>IF(ISNUMBER(D183), $B199 * E183, "")</f>
        <v>991.18942731277536</v>
      </c>
      <c r="G183" s="30">
        <v>920</v>
      </c>
      <c r="H183" s="21">
        <f t="shared" si="95"/>
        <v>1.3215859030837005E-2</v>
      </c>
      <c r="I183" s="95">
        <f>IF(ISNUMBER(G183), $B199 * H183, "")</f>
        <v>1982.3788546255507</v>
      </c>
      <c r="J183" s="20">
        <v>915</v>
      </c>
      <c r="K183" s="21">
        <f t="shared" si="96"/>
        <v>7.709251101321586E-3</v>
      </c>
      <c r="L183" s="22">
        <f>IF(ISNUMBER(J183), $B199 * K183, "")</f>
        <v>1156.387665198238</v>
      </c>
      <c r="M183" s="30">
        <v>917</v>
      </c>
      <c r="N183" s="21">
        <f t="shared" si="97"/>
        <v>9.911894273127754E-3</v>
      </c>
      <c r="O183" s="22">
        <f>IF(ISNUMBER(M183), $B199 * N183, "")</f>
        <v>1486.784140969163</v>
      </c>
      <c r="Q183" s="146"/>
      <c r="R183" s="146"/>
      <c r="S183" s="146"/>
    </row>
    <row r="184" spans="1:19" ht="17.25" thickBot="1">
      <c r="A184" s="109" t="s">
        <v>161</v>
      </c>
      <c r="B184" s="113">
        <v>271</v>
      </c>
      <c r="C184" s="73">
        <v>-1.09489051E-2</v>
      </c>
      <c r="D184" s="96">
        <v>271</v>
      </c>
      <c r="E184" s="97">
        <f>IF(ISNUMBER(D184), (D184 - $B184) / $B184, "")</f>
        <v>0</v>
      </c>
      <c r="F184" s="98">
        <f>IF(ISNUMBER(D184), $B199 * E184, "")</f>
        <v>0</v>
      </c>
      <c r="G184" s="99">
        <v>276</v>
      </c>
      <c r="H184" s="97">
        <f>IF(ISNUMBER(G184), (G184 - $B184) / $B184, "")</f>
        <v>1.8450184501845018E-2</v>
      </c>
      <c r="I184" s="100">
        <f>IF(ISNUMBER(G184), $B199 * H184, "")</f>
        <v>2767.5276752767527</v>
      </c>
      <c r="J184" s="96">
        <v>274</v>
      </c>
      <c r="K184" s="97">
        <f>IF(ISNUMBER(J184), (J184 - $B184) / $B184, "")</f>
        <v>1.107011070110701E-2</v>
      </c>
      <c r="L184" s="98">
        <f>IF(ISNUMBER(J184), $B199 * K184, "")</f>
        <v>1660.5166051660515</v>
      </c>
      <c r="M184" s="99">
        <v>275</v>
      </c>
      <c r="N184" s="97">
        <f>IF(ISNUMBER(M184), (M184 - $B184) / $B184, "")</f>
        <v>1.4760147601476014E-2</v>
      </c>
      <c r="O184" s="98">
        <f>IF(ISNUMBER(M184), $B199 * N184, "")</f>
        <v>2214.022140221402</v>
      </c>
      <c r="Q184" s="146"/>
      <c r="R184" s="146"/>
      <c r="S184" s="146"/>
    </row>
    <row r="185" spans="1:19" ht="17.25" thickBot="1">
      <c r="A185" s="109" t="s">
        <v>343</v>
      </c>
      <c r="B185" s="110">
        <v>12550</v>
      </c>
      <c r="C185" s="70">
        <v>-1.1032308899999999E-2</v>
      </c>
      <c r="D185" s="15">
        <v>12710</v>
      </c>
      <c r="E185" s="32">
        <f t="shared" ref="E185:E188" si="98">IF(ISNUMBER(D185), (D185 - $B185) / $B185, "")</f>
        <v>1.2749003984063745E-2</v>
      </c>
      <c r="F185" s="18">
        <f>IF(ISNUMBER(D185), $B199 * E185, "")</f>
        <v>1912.3505976095619</v>
      </c>
      <c r="G185" s="31">
        <v>14220</v>
      </c>
      <c r="H185" s="32">
        <f t="shared" ref="H185:H188" si="99">IF(ISNUMBER(G185), (G185 - $B185) / $B185, "")</f>
        <v>0.13306772908366535</v>
      </c>
      <c r="I185" s="91">
        <f>IF(ISNUMBER(G185), $B199 * H185, "")</f>
        <v>19960.159362549803</v>
      </c>
      <c r="J185" s="15">
        <v>14020</v>
      </c>
      <c r="K185" s="32">
        <f t="shared" ref="K185:K188" si="100">IF(ISNUMBER(J185), (J185 - $B185) / $B185, "")</f>
        <v>0.11713147410358565</v>
      </c>
      <c r="L185" s="18">
        <f>IF(ISNUMBER(J185), $B199 * K185, "")</f>
        <v>17569.721115537846</v>
      </c>
      <c r="M185" s="31">
        <v>14150</v>
      </c>
      <c r="N185" s="32">
        <f t="shared" ref="N185:N188" si="101">IF(ISNUMBER(M185), (M185 - $B185) / $B185, "")</f>
        <v>0.12749003984063745</v>
      </c>
      <c r="O185" s="18">
        <f>IF(ISNUMBER(M185), $B199 * N185, "")</f>
        <v>19123.505976095617</v>
      </c>
      <c r="Q185" s="146"/>
      <c r="R185" s="146"/>
      <c r="S185" s="146"/>
    </row>
    <row r="186" spans="1:19" ht="17.25" thickBot="1">
      <c r="A186" s="109" t="s">
        <v>187</v>
      </c>
      <c r="B186" s="110">
        <v>703</v>
      </c>
      <c r="C186" s="70">
        <v>-1.12517581E-2</v>
      </c>
      <c r="D186" s="15">
        <v>706</v>
      </c>
      <c r="E186" s="32">
        <f t="shared" si="98"/>
        <v>4.2674253200568994E-3</v>
      </c>
      <c r="F186" s="18">
        <f>IF(ISNUMBER(D186), $B199 * E186, "")</f>
        <v>640.1137980085349</v>
      </c>
      <c r="G186" s="31">
        <v>712</v>
      </c>
      <c r="H186" s="32">
        <f t="shared" si="99"/>
        <v>1.2802275960170697E-2</v>
      </c>
      <c r="I186" s="91">
        <f>IF(ISNUMBER(G186), $B199 * H186, "")</f>
        <v>1920.3413940256046</v>
      </c>
      <c r="J186" s="15">
        <v>712</v>
      </c>
      <c r="K186" s="32">
        <f t="shared" si="100"/>
        <v>1.2802275960170697E-2</v>
      </c>
      <c r="L186" s="18">
        <f>IF(ISNUMBER(J186), $B199 * K186, "")</f>
        <v>1920.3413940256046</v>
      </c>
      <c r="M186" s="31">
        <v>712</v>
      </c>
      <c r="N186" s="32">
        <f t="shared" si="101"/>
        <v>1.2802275960170697E-2</v>
      </c>
      <c r="O186" s="18">
        <f>IF(ISNUMBER(M186), $B199 * N186, "")</f>
        <v>1920.3413940256046</v>
      </c>
      <c r="Q186" s="146"/>
      <c r="R186" s="146"/>
      <c r="S186" s="146"/>
    </row>
    <row r="187" spans="1:19" ht="17.25" thickBot="1">
      <c r="A187" s="109" t="s">
        <v>174</v>
      </c>
      <c r="B187" s="110">
        <v>11370</v>
      </c>
      <c r="C187" s="70">
        <v>-1.13043478E-2</v>
      </c>
      <c r="D187" s="15">
        <v>11450</v>
      </c>
      <c r="E187" s="32">
        <f t="shared" si="98"/>
        <v>7.0360598065083556E-3</v>
      </c>
      <c r="F187" s="18">
        <f>IF(ISNUMBER(D187), $B199 * E187, "")</f>
        <v>1055.4089709762534</v>
      </c>
      <c r="G187" s="31">
        <v>11580</v>
      </c>
      <c r="H187" s="32">
        <f t="shared" si="99"/>
        <v>1.8469656992084433E-2</v>
      </c>
      <c r="I187" s="91">
        <f>IF(ISNUMBER(G187), $B199 * H187, "")</f>
        <v>2770.4485488126647</v>
      </c>
      <c r="J187" s="15">
        <v>11510</v>
      </c>
      <c r="K187" s="32">
        <f t="shared" si="100"/>
        <v>1.2313104661389622E-2</v>
      </c>
      <c r="L187" s="18">
        <f>IF(ISNUMBER(J187), $B199 * K187, "")</f>
        <v>1846.9656992084433</v>
      </c>
      <c r="M187" s="31">
        <v>11580</v>
      </c>
      <c r="N187" s="32">
        <f t="shared" si="101"/>
        <v>1.8469656992084433E-2</v>
      </c>
      <c r="O187" s="18">
        <f>IF(ISNUMBER(M187), $B199 * N187, "")</f>
        <v>2770.4485488126647</v>
      </c>
      <c r="Q187" s="33"/>
      <c r="R187" s="33"/>
    </row>
    <row r="188" spans="1:19" ht="17.25" thickBot="1">
      <c r="A188" s="114" t="s">
        <v>221</v>
      </c>
      <c r="B188" s="115">
        <v>17.2</v>
      </c>
      <c r="C188" s="72">
        <v>-1.14942529E-2</v>
      </c>
      <c r="D188" s="24">
        <v>17.2</v>
      </c>
      <c r="E188" s="25">
        <f t="shared" si="98"/>
        <v>0</v>
      </c>
      <c r="F188" s="94">
        <f>IF(ISNUMBER(D188), $B199 * E188, "")</f>
        <v>0</v>
      </c>
      <c r="G188" s="92">
        <v>17.5</v>
      </c>
      <c r="H188" s="25">
        <f t="shared" si="99"/>
        <v>1.744186046511632E-2</v>
      </c>
      <c r="I188" s="93">
        <f>IF(ISNUMBER(G188), $B199 * H188, "")</f>
        <v>2616.2790697674482</v>
      </c>
      <c r="J188" s="24">
        <v>17.5</v>
      </c>
      <c r="K188" s="25">
        <f t="shared" si="100"/>
        <v>1.744186046511632E-2</v>
      </c>
      <c r="L188" s="94">
        <f>IF(ISNUMBER(J188), $B199 * K188, "")</f>
        <v>2616.2790697674482</v>
      </c>
      <c r="M188" s="92">
        <v>17.5</v>
      </c>
      <c r="N188" s="25">
        <f t="shared" si="101"/>
        <v>1.744186046511632E-2</v>
      </c>
      <c r="O188" s="94">
        <f>IF(ISNUMBER(M188), $B199 * N188, "")</f>
        <v>2616.2790697674482</v>
      </c>
      <c r="Q188" s="147"/>
      <c r="R188" s="148"/>
      <c r="S188" s="149"/>
    </row>
    <row r="189" spans="1:19">
      <c r="A189" s="107" t="s">
        <v>229</v>
      </c>
      <c r="B189" s="108">
        <v>226</v>
      </c>
      <c r="C189" s="69">
        <v>-1.3100436700000001E-2</v>
      </c>
      <c r="D189" s="13">
        <v>227</v>
      </c>
      <c r="E189" s="14">
        <f>IF(ISNUMBER(D189), (D189 - $B189) / $B189, "")</f>
        <v>4.4247787610619468E-3</v>
      </c>
      <c r="F189" s="16">
        <f>IF(ISNUMBER(D189), $B199 * E189, "")</f>
        <v>663.71681415929197</v>
      </c>
      <c r="G189" s="29">
        <v>231</v>
      </c>
      <c r="H189" s="14">
        <f>IF(ISNUMBER(G189), (G189 - $B189) / $B189, "")</f>
        <v>2.2123893805309734E-2</v>
      </c>
      <c r="I189" s="90">
        <f>IF(ISNUMBER(G189), $B199 * H189, "")</f>
        <v>3318.5840707964603</v>
      </c>
      <c r="J189" s="13">
        <v>231</v>
      </c>
      <c r="K189" s="14">
        <f>IF(ISNUMBER(J189), (J189 - $B189) / $B189, "")</f>
        <v>2.2123893805309734E-2</v>
      </c>
      <c r="L189" s="16">
        <f>IF(ISNUMBER(J189), $B199 * K189, "")</f>
        <v>3318.5840707964603</v>
      </c>
      <c r="M189" s="29">
        <v>231</v>
      </c>
      <c r="N189" s="14">
        <f>IF(ISNUMBER(M189), (M189 - $B189) / $B189, "")</f>
        <v>2.2123893805309734E-2</v>
      </c>
      <c r="O189" s="16">
        <f>IF(ISNUMBER(M189), $B199 * N189, "")</f>
        <v>3318.5840707964603</v>
      </c>
      <c r="Q189" s="150"/>
      <c r="R189" s="151"/>
      <c r="S189" s="152"/>
    </row>
    <row r="190" spans="1:19" ht="17.25" thickBot="1">
      <c r="A190" s="109" t="s">
        <v>68</v>
      </c>
      <c r="B190" s="110">
        <v>225</v>
      </c>
      <c r="C190" s="70">
        <v>-1.3157894700000001E-2</v>
      </c>
      <c r="D190" s="15">
        <v>223</v>
      </c>
      <c r="E190" s="32">
        <f t="shared" ref="E190:E193" si="102">IF(ISNUMBER(D190), (D190 - $B190) / $B190, "")</f>
        <v>-8.8888888888888889E-3</v>
      </c>
      <c r="F190" s="18">
        <f>IF(ISNUMBER(D190), $B199 * E190, "")</f>
        <v>-1333.3333333333333</v>
      </c>
      <c r="G190" s="31">
        <v>229</v>
      </c>
      <c r="H190" s="32">
        <f t="shared" ref="H190:H193" si="103">IF(ISNUMBER(G190), (G190 - $B190) / $B190, "")</f>
        <v>1.7777777777777778E-2</v>
      </c>
      <c r="I190" s="91">
        <f>IF(ISNUMBER(G190), $B199 * H190, "")</f>
        <v>2666.6666666666665</v>
      </c>
      <c r="J190" s="15">
        <v>231</v>
      </c>
      <c r="K190" s="32">
        <f t="shared" ref="K190:K193" si="104">IF(ISNUMBER(J190), (J190 - $B190) / $B190, "")</f>
        <v>2.6666666666666668E-2</v>
      </c>
      <c r="L190" s="18">
        <f>IF(ISNUMBER(J190), $B199 * K190, "")</f>
        <v>4000.0000000000005</v>
      </c>
      <c r="M190" s="31">
        <v>231</v>
      </c>
      <c r="N190" s="32">
        <f t="shared" ref="N190:N193" si="105">IF(ISNUMBER(M190), (M190 - $B190) / $B190, "")</f>
        <v>2.6666666666666668E-2</v>
      </c>
      <c r="O190" s="18">
        <f>IF(ISNUMBER(M190), $B199 * N190, "")</f>
        <v>4000.0000000000005</v>
      </c>
      <c r="Q190" s="153"/>
      <c r="R190" s="154"/>
      <c r="S190" s="155"/>
    </row>
    <row r="191" spans="1:19" ht="17.25" thickBot="1">
      <c r="A191" s="109" t="s">
        <v>178</v>
      </c>
      <c r="B191" s="110">
        <v>1325</v>
      </c>
      <c r="C191" s="70">
        <v>-1.4869888499999999E-2</v>
      </c>
      <c r="D191" s="15">
        <v>1340</v>
      </c>
      <c r="E191" s="32">
        <f t="shared" si="102"/>
        <v>1.1320754716981131E-2</v>
      </c>
      <c r="F191" s="18">
        <f>IF(ISNUMBER(D191), $B199 * E191, "")</f>
        <v>1698.1132075471696</v>
      </c>
      <c r="G191" s="31">
        <v>1340</v>
      </c>
      <c r="H191" s="32">
        <f t="shared" si="103"/>
        <v>1.1320754716981131E-2</v>
      </c>
      <c r="I191" s="91">
        <f>IF(ISNUMBER(G191), $B199 * H191, "")</f>
        <v>1698.1132075471696</v>
      </c>
      <c r="J191" s="15">
        <v>1345</v>
      </c>
      <c r="K191" s="32">
        <f t="shared" si="104"/>
        <v>1.509433962264151E-2</v>
      </c>
      <c r="L191" s="18">
        <f>IF(ISNUMBER(J191), $B199 * K191, "")</f>
        <v>2264.1509433962265</v>
      </c>
      <c r="M191" s="31">
        <v>1340</v>
      </c>
      <c r="N191" s="32">
        <f t="shared" si="105"/>
        <v>1.1320754716981131E-2</v>
      </c>
      <c r="O191" s="18">
        <f>IF(ISNUMBER(M191), $B199 * N191, "")</f>
        <v>1698.1132075471696</v>
      </c>
      <c r="Q191" s="146"/>
      <c r="R191" s="146"/>
      <c r="S191" s="146"/>
    </row>
    <row r="192" spans="1:19" ht="17.25" thickBot="1">
      <c r="A192" s="109" t="s">
        <v>347</v>
      </c>
      <c r="B192" s="110">
        <v>13690</v>
      </c>
      <c r="C192" s="70">
        <v>-1.58159597E-2</v>
      </c>
      <c r="D192" s="15">
        <v>13870</v>
      </c>
      <c r="E192" s="32">
        <f t="shared" si="102"/>
        <v>1.3148283418553688E-2</v>
      </c>
      <c r="F192" s="18">
        <f>IF(ISNUMBER(D192), $B199 * E192, "")</f>
        <v>1972.2425127830534</v>
      </c>
      <c r="G192" s="31">
        <v>14210</v>
      </c>
      <c r="H192" s="32">
        <f t="shared" si="103"/>
        <v>3.7983929875821769E-2</v>
      </c>
      <c r="I192" s="91">
        <f>IF(ISNUMBER(G192), $B199 * H192, "")</f>
        <v>5697.5894813732657</v>
      </c>
      <c r="J192" s="15">
        <v>14190</v>
      </c>
      <c r="K192" s="32">
        <f t="shared" si="104"/>
        <v>3.6523009495982466E-2</v>
      </c>
      <c r="L192" s="18">
        <f>IF(ISNUMBER(J192), $B199 * K192, "")</f>
        <v>5478.4514243973699</v>
      </c>
      <c r="M192" s="31">
        <v>14200</v>
      </c>
      <c r="N192" s="32">
        <f t="shared" si="105"/>
        <v>3.7253469685902117E-2</v>
      </c>
      <c r="O192" s="18">
        <f>IF(ISNUMBER(M192), $B199 * N192, "")</f>
        <v>5588.0204528853174</v>
      </c>
      <c r="Q192" s="156"/>
      <c r="R192" s="156"/>
      <c r="S192" s="156"/>
    </row>
    <row r="193" spans="1:19" ht="17.25" thickBot="1">
      <c r="A193" s="111" t="s">
        <v>350</v>
      </c>
      <c r="B193" s="112">
        <v>5.54</v>
      </c>
      <c r="C193" s="71">
        <v>-1.7730496500000002E-2</v>
      </c>
      <c r="D193" s="20">
        <v>5.5</v>
      </c>
      <c r="E193" s="21">
        <f t="shared" si="102"/>
        <v>-7.2202166064982013E-3</v>
      </c>
      <c r="F193" s="22">
        <f>IF(ISNUMBER(D193), $B199 * E193, "")</f>
        <v>-1083.0324909747301</v>
      </c>
      <c r="G193" s="30">
        <v>5.57</v>
      </c>
      <c r="H193" s="21">
        <f t="shared" si="103"/>
        <v>5.4151624548736911E-3</v>
      </c>
      <c r="I193" s="95">
        <f>IF(ISNUMBER(G193), $B199 * H193, "")</f>
        <v>812.2743682310537</v>
      </c>
      <c r="J193" s="20">
        <v>5.57</v>
      </c>
      <c r="K193" s="21">
        <f t="shared" si="104"/>
        <v>5.4151624548736911E-3</v>
      </c>
      <c r="L193" s="22">
        <f>IF(ISNUMBER(J193), $B199 * K193, "")</f>
        <v>812.2743682310537</v>
      </c>
      <c r="M193" s="30">
        <v>5.56</v>
      </c>
      <c r="N193" s="21">
        <f t="shared" si="105"/>
        <v>3.6101083032490204E-3</v>
      </c>
      <c r="O193" s="22">
        <f>IF(ISNUMBER(M193), $B199 * N193, "")</f>
        <v>541.5162454873531</v>
      </c>
      <c r="Q193" s="156"/>
      <c r="R193" s="156"/>
      <c r="S193" s="156"/>
    </row>
    <row r="194" spans="1:19" ht="17.25" thickBot="1">
      <c r="A194" s="109" t="s">
        <v>151</v>
      </c>
      <c r="B194" s="113">
        <v>1640</v>
      </c>
      <c r="C194" s="73">
        <v>-1.79640719E-2</v>
      </c>
      <c r="D194" s="96">
        <v>1655</v>
      </c>
      <c r="E194" s="97">
        <f>IF(ISNUMBER(D194), (D194 - $B194) / $B194, "")</f>
        <v>9.1463414634146336E-3</v>
      </c>
      <c r="F194" s="98">
        <f>IF(ISNUMBER(D194), $B199 * E194, "")</f>
        <v>1371.9512195121949</v>
      </c>
      <c r="G194" s="99">
        <v>1680</v>
      </c>
      <c r="H194" s="97">
        <f>IF(ISNUMBER(G194), (G194 - $B194) / $B194, "")</f>
        <v>2.4390243902439025E-2</v>
      </c>
      <c r="I194" s="100">
        <f>IF(ISNUMBER(G194), $B199 * H194, "")</f>
        <v>3658.5365853658536</v>
      </c>
      <c r="J194" s="96">
        <v>1690</v>
      </c>
      <c r="K194" s="97">
        <f>IF(ISNUMBER(J194), (J194 - $B194) / $B194, "")</f>
        <v>3.048780487804878E-2</v>
      </c>
      <c r="L194" s="98">
        <f>IF(ISNUMBER(J194), $B199 * K194, "")</f>
        <v>4573.1707317073169</v>
      </c>
      <c r="M194" s="99">
        <v>1695</v>
      </c>
      <c r="N194" s="97">
        <f>IF(ISNUMBER(M194), (M194 - $B194) / $B194, "")</f>
        <v>3.3536585365853661E-2</v>
      </c>
      <c r="O194" s="98">
        <f>IF(ISNUMBER(M194), $B199 * N194, "")</f>
        <v>5030.4878048780492</v>
      </c>
      <c r="Q194" s="146"/>
      <c r="R194" s="146"/>
      <c r="S194" s="146"/>
    </row>
    <row r="195" spans="1:19" ht="17.25" thickBot="1">
      <c r="A195" s="109" t="s">
        <v>165</v>
      </c>
      <c r="B195" s="110">
        <v>871</v>
      </c>
      <c r="C195" s="70">
        <v>-2.0247469099999998E-2</v>
      </c>
      <c r="D195" s="15">
        <v>872</v>
      </c>
      <c r="E195" s="32">
        <f t="shared" ref="E195:E198" si="106">IF(ISNUMBER(D195), (D195 - $B195) / $B195, "")</f>
        <v>1.148105625717566E-3</v>
      </c>
      <c r="F195" s="18">
        <f>IF(ISNUMBER(D195), $B199 * E195, "")</f>
        <v>172.21584385763489</v>
      </c>
      <c r="G195" s="31">
        <v>886</v>
      </c>
      <c r="H195" s="32">
        <f t="shared" ref="H195:H198" si="107">IF(ISNUMBER(G195), (G195 - $B195) / $B195, "")</f>
        <v>1.7221584385763489E-2</v>
      </c>
      <c r="I195" s="91">
        <f>IF(ISNUMBER(G195), $B199 * H195, "")</f>
        <v>2583.2376578645235</v>
      </c>
      <c r="J195" s="15">
        <v>883</v>
      </c>
      <c r="K195" s="32">
        <f t="shared" ref="K195:K198" si="108">IF(ISNUMBER(J195), (J195 - $B195) / $B195, "")</f>
        <v>1.3777267508610792E-2</v>
      </c>
      <c r="L195" s="18">
        <f>IF(ISNUMBER(J195), $B199 * K195, "")</f>
        <v>2066.5901262916186</v>
      </c>
      <c r="M195" s="31">
        <v>878</v>
      </c>
      <c r="N195" s="32">
        <f t="shared" ref="N195:N198" si="109">IF(ISNUMBER(M195), (M195 - $B195) / $B195, "")</f>
        <v>8.0367393800229621E-3</v>
      </c>
      <c r="O195" s="18">
        <f>IF(ISNUMBER(M195), $B199 * N195, "")</f>
        <v>1205.5109070034443</v>
      </c>
      <c r="Q195" s="146"/>
      <c r="R195" s="146"/>
      <c r="S195" s="146"/>
    </row>
    <row r="196" spans="1:19" ht="17.25" thickBot="1">
      <c r="A196" s="109" t="s">
        <v>349</v>
      </c>
      <c r="B196" s="110">
        <v>20.100000000000001</v>
      </c>
      <c r="C196" s="70">
        <v>-2.42718447E-2</v>
      </c>
      <c r="D196" s="15">
        <v>20</v>
      </c>
      <c r="E196" s="32">
        <f t="shared" si="106"/>
        <v>-4.9751243781095229E-3</v>
      </c>
      <c r="F196" s="18">
        <f>IF(ISNUMBER(D196), $B199 * E196, "")</f>
        <v>-746.26865671642838</v>
      </c>
      <c r="G196" s="31">
        <v>20.3</v>
      </c>
      <c r="H196" s="32">
        <f t="shared" si="107"/>
        <v>9.9502487562188689E-3</v>
      </c>
      <c r="I196" s="91">
        <f>IF(ISNUMBER(G196), $B199 * H196, "")</f>
        <v>1492.5373134328304</v>
      </c>
      <c r="J196" s="15">
        <v>20.399999999999999</v>
      </c>
      <c r="K196" s="32">
        <f t="shared" si="108"/>
        <v>1.4925373134328216E-2</v>
      </c>
      <c r="L196" s="18">
        <f>IF(ISNUMBER(J196), $B199 * K196, "")</f>
        <v>2238.8059701492325</v>
      </c>
      <c r="M196" s="31">
        <v>20.5</v>
      </c>
      <c r="N196" s="32">
        <f t="shared" si="109"/>
        <v>1.9900497512437738E-2</v>
      </c>
      <c r="O196" s="18">
        <f>IF(ISNUMBER(M196), $B199 * N196, "")</f>
        <v>2985.0746268656608</v>
      </c>
      <c r="Q196" s="146"/>
      <c r="R196" s="146"/>
      <c r="S196" s="146"/>
    </row>
    <row r="197" spans="1:19">
      <c r="A197" s="109" t="s">
        <v>113</v>
      </c>
      <c r="B197" s="110">
        <v>1055</v>
      </c>
      <c r="C197" s="70">
        <v>-3.65296804E-2</v>
      </c>
      <c r="D197" s="15">
        <v>1050</v>
      </c>
      <c r="E197" s="32">
        <f t="shared" si="106"/>
        <v>-4.7393364928909956E-3</v>
      </c>
      <c r="F197" s="18">
        <f>IF(ISNUMBER(D197), $B199 * E197, "")</f>
        <v>-710.90047393364932</v>
      </c>
      <c r="G197" s="31">
        <v>1060</v>
      </c>
      <c r="H197" s="32">
        <f t="shared" si="107"/>
        <v>4.7393364928909956E-3</v>
      </c>
      <c r="I197" s="91">
        <f>IF(ISNUMBER(G197), $B199 * H197, "")</f>
        <v>710.90047393364932</v>
      </c>
      <c r="J197" s="15">
        <v>1060</v>
      </c>
      <c r="K197" s="32">
        <f t="shared" si="108"/>
        <v>4.7393364928909956E-3</v>
      </c>
      <c r="L197" s="18">
        <f>IF(ISNUMBER(J197), $B199 * K197, "")</f>
        <v>710.90047393364932</v>
      </c>
      <c r="M197" s="31">
        <v>1060</v>
      </c>
      <c r="N197" s="32">
        <f t="shared" si="109"/>
        <v>4.7393364928909956E-3</v>
      </c>
      <c r="O197" s="18">
        <f>IF(ISNUMBER(M197), $B199 * N197, "")</f>
        <v>710.90047393364932</v>
      </c>
      <c r="Q197" s="135"/>
      <c r="R197" s="136"/>
      <c r="S197" s="137"/>
    </row>
    <row r="198" spans="1:19" ht="17.25" thickBot="1">
      <c r="A198" s="114" t="s">
        <v>116</v>
      </c>
      <c r="B198" s="115">
        <v>928</v>
      </c>
      <c r="C198" s="72">
        <v>-7.1071071099999994E-2</v>
      </c>
      <c r="D198" s="24">
        <v>901</v>
      </c>
      <c r="E198" s="25">
        <f t="shared" si="106"/>
        <v>-2.9094827586206896E-2</v>
      </c>
      <c r="F198" s="94">
        <f>IF(ISNUMBER(D198), $B199 * E198, "")</f>
        <v>-4364.2241379310344</v>
      </c>
      <c r="G198" s="92">
        <v>914</v>
      </c>
      <c r="H198" s="25">
        <f t="shared" si="107"/>
        <v>-1.5086206896551725E-2</v>
      </c>
      <c r="I198" s="93">
        <f>IF(ISNUMBER(G198), $B199 * H198, "")</f>
        <v>-2262.9310344827586</v>
      </c>
      <c r="J198" s="24">
        <v>913</v>
      </c>
      <c r="K198" s="25">
        <f t="shared" si="108"/>
        <v>-1.6163793103448277E-2</v>
      </c>
      <c r="L198" s="94">
        <f>IF(ISNUMBER(J198), $B199 * K198, "")</f>
        <v>-2424.5689655172414</v>
      </c>
      <c r="M198" s="92">
        <v>914</v>
      </c>
      <c r="N198" s="25">
        <f t="shared" si="109"/>
        <v>-1.5086206896551725E-2</v>
      </c>
      <c r="O198" s="94">
        <f>IF(ISNUMBER(M198), $B199 * N198, "")</f>
        <v>-2262.9310344827586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2.6958004801025761E-3</v>
      </c>
      <c r="F199" s="28">
        <f>SUM(F179:F198)</f>
        <v>8087.401440307729</v>
      </c>
      <c r="G199" s="26" t="s">
        <v>258</v>
      </c>
      <c r="H199" s="27">
        <f>IF(COUNT(H179:H198), SUM(H179:H198) / COUNT(H179:H198), 0)</f>
        <v>2.1881083233918679E-2</v>
      </c>
      <c r="I199" s="28">
        <f>SUM(I179:I198)</f>
        <v>65643.249701756038</v>
      </c>
      <c r="J199" s="26" t="s">
        <v>258</v>
      </c>
      <c r="K199" s="27">
        <f>IF(COUNT(K179:K198), SUM(K179:K198) / COUNT(K179:K198), 0)</f>
        <v>2.0303875081375579E-2</v>
      </c>
      <c r="L199" s="28">
        <f>SUM(L179:L198)</f>
        <v>60911.625244126742</v>
      </c>
      <c r="M199" s="26" t="s">
        <v>258</v>
      </c>
      <c r="N199" s="27">
        <f>IF(COUNT(N179:N198), SUM(N179:N198) / COUNT(N179:N198), 0)</f>
        <v>2.1171560715986016E-2</v>
      </c>
      <c r="O199" s="28">
        <f>SUM(O179:O198)</f>
        <v>63514.682147958061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F5DE4-9CFF-466C-BCC0-6468B1901E81}">
  <sheetPr codeName="Sheet9"/>
  <dimension ref="A1:S199"/>
  <sheetViews>
    <sheetView topLeftCell="A3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44929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28,375 KRW (0.95%)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6,422 KRW (0.21%)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16,950 KRW (0.57%)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6,233 KRW (0.21%)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21539000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1.0224474E-3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2023-01-03(화) 오전 00:00</v>
      </c>
      <c r="C15" s="196"/>
      <c r="D15" s="170" t="str">
        <f>TEXT($G$1, "[$-ko-KR]yyyy-mm-dd(ddd) ") &amp; "오후 14:00"</f>
        <v>2023-01-03(화) 오후 14:00</v>
      </c>
      <c r="E15" s="171"/>
      <c r="F15" s="172"/>
      <c r="G15" s="170" t="str">
        <f>TEXT($G$1, "[$-ko-KR]yyyy-mm-dd(ddd) ") &amp; "오후 19:00"</f>
        <v>2023-01-03(화) 오후 19:00</v>
      </c>
      <c r="H15" s="171"/>
      <c r="I15" s="172"/>
      <c r="J15" s="170" t="str">
        <f>TEXT($G$1, "[$-ko-KR]yyyy-mm-dd(ddd) ") &amp; "오후 21:00"</f>
        <v>2023-01-03(화) 오후 21:00</v>
      </c>
      <c r="K15" s="171"/>
      <c r="L15" s="172"/>
      <c r="M15" s="170" t="str">
        <f>TEXT($G$1+1, "[$-ko-KR]yyyy-mm-dd(ddd) ") &amp; "오전 00:00"</f>
        <v>2023-01-04(수)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21539000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1.0224474E-3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2023-01-03(화) 오전 00:00</v>
      </c>
      <c r="C42" s="198"/>
      <c r="D42" s="170" t="str">
        <f>TEXT($G$1, "[$-ko-KR]yyyy-mm-dd(ddd) ") &amp; "오후 14:00"</f>
        <v>2023-01-03(화) 오후 14:00</v>
      </c>
      <c r="E42" s="171"/>
      <c r="F42" s="172"/>
      <c r="G42" s="170" t="str">
        <f>TEXT($G$1, "[$-ko-KR]yyyy-mm-dd(ddd) ") &amp; "오후 19:00"</f>
        <v>2023-01-03(화) 오후 19:00</v>
      </c>
      <c r="H42" s="171"/>
      <c r="I42" s="172"/>
      <c r="J42" s="170" t="str">
        <f>TEXT($G$1, "[$-ko-KR]yyyy-mm-dd(ddd) ") &amp; "오후 21:00"</f>
        <v>2023-01-03(화) 오후 21:00</v>
      </c>
      <c r="K42" s="171"/>
      <c r="L42" s="172"/>
      <c r="M42" s="170" t="str">
        <f>TEXT($G$1+1, "[$-ko-KR]yyyy-mm-dd(ddd) ") &amp; "오전 00:00"</f>
        <v>2023-01-04(수)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191</v>
      </c>
      <c r="B44" s="108">
        <v>50.2</v>
      </c>
      <c r="C44" s="69">
        <v>3.9337474099999999E-2</v>
      </c>
      <c r="D44" s="13">
        <v>50.9</v>
      </c>
      <c r="E44" s="14">
        <f>IF(ISNUMBER(D44), (D44 - $B44) / $B44, "")</f>
        <v>1.3944223107569636E-2</v>
      </c>
      <c r="F44" s="16">
        <f>IF(ISNUMBER(D44), $B64 * E44, "")</f>
        <v>2091.6334661354454</v>
      </c>
      <c r="G44" s="29">
        <v>50.7</v>
      </c>
      <c r="H44" s="14">
        <f>IF(ISNUMBER(G44), (G44 - $B44) / $B44, "")</f>
        <v>9.9601593625498006E-3</v>
      </c>
      <c r="I44" s="90">
        <f>IF(ISNUMBER(G44), $B64 * H44, "")</f>
        <v>1494.0239043824702</v>
      </c>
      <c r="J44" s="13">
        <v>50.5</v>
      </c>
      <c r="K44" s="14">
        <f>IF(ISNUMBER(J44), (J44 - $B44) / $B44, "")</f>
        <v>5.9760956175298231E-3</v>
      </c>
      <c r="L44" s="16">
        <f>IF(ISNUMBER(J44), $B64 * K44, "")</f>
        <v>896.41434262947348</v>
      </c>
      <c r="M44" s="29">
        <v>49.8</v>
      </c>
      <c r="N44" s="14">
        <f>IF(ISNUMBER(M44), (M44 - $B44) / $B44, "")</f>
        <v>-7.9681274900399533E-3</v>
      </c>
      <c r="O44" s="16">
        <f>IF(ISNUMBER(M44), $B64 * N44, "")</f>
        <v>-1195.2191235059929</v>
      </c>
      <c r="Q44" s="156"/>
      <c r="R44" s="156"/>
      <c r="S44" s="156"/>
    </row>
    <row r="45" spans="1:19" ht="17.25" customHeight="1" thickBot="1">
      <c r="A45" s="109" t="s">
        <v>143</v>
      </c>
      <c r="B45" s="110">
        <v>3.35</v>
      </c>
      <c r="C45" s="70">
        <v>2.44648318E-2</v>
      </c>
      <c r="D45" s="15">
        <v>3.35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3.35</v>
      </c>
      <c r="H45" s="32">
        <f t="shared" ref="H45:H48" si="15">IF(ISNUMBER(G45), (G45 - $B45) / $B45, "")</f>
        <v>0</v>
      </c>
      <c r="I45" s="91">
        <f>IF(ISNUMBER(G45), $B64 * H45, "")</f>
        <v>0</v>
      </c>
      <c r="J45" s="15">
        <v>3.35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3.33</v>
      </c>
      <c r="N45" s="32">
        <f t="shared" ref="N45:N48" si="17">IF(ISNUMBER(M45), (M45 - $B45) / $B45, "")</f>
        <v>-5.9701492537313485E-3</v>
      </c>
      <c r="O45" s="18">
        <f>IF(ISNUMBER(M45), $B64 * N45, "")</f>
        <v>-895.52238805970228</v>
      </c>
      <c r="Q45" s="156"/>
      <c r="R45" s="156"/>
      <c r="S45" s="156"/>
    </row>
    <row r="46" spans="1:19" ht="17.25" customHeight="1" thickBot="1">
      <c r="A46" s="109" t="s">
        <v>118</v>
      </c>
      <c r="B46" s="110">
        <v>4.6399999999999997</v>
      </c>
      <c r="C46" s="70">
        <v>2.4282560700000001E-2</v>
      </c>
      <c r="D46" s="15">
        <v>4.71</v>
      </c>
      <c r="E46" s="32">
        <f t="shared" si="14"/>
        <v>1.5086206896551787E-2</v>
      </c>
      <c r="F46" s="18">
        <f>IF(ISNUMBER(D46), $B64 * E46, "")</f>
        <v>2262.9310344827682</v>
      </c>
      <c r="G46" s="31">
        <v>4.76</v>
      </c>
      <c r="H46" s="32">
        <f t="shared" si="15"/>
        <v>2.5862068965517265E-2</v>
      </c>
      <c r="I46" s="91">
        <f>IF(ISNUMBER(G46), $B64 * H46, "")</f>
        <v>3879.3103448275897</v>
      </c>
      <c r="J46" s="15">
        <v>4.74</v>
      </c>
      <c r="K46" s="32">
        <f t="shared" si="16"/>
        <v>2.155172413793115E-2</v>
      </c>
      <c r="L46" s="18">
        <f>IF(ISNUMBER(J46), $B64 * K46, "")</f>
        <v>3232.7586206896726</v>
      </c>
      <c r="M46" s="31">
        <v>4.7</v>
      </c>
      <c r="N46" s="32">
        <f t="shared" si="17"/>
        <v>1.2931034482758728E-2</v>
      </c>
      <c r="O46" s="18">
        <f>IF(ISNUMBER(M46), $B64 * N46, "")</f>
        <v>1939.6551724138092</v>
      </c>
      <c r="Q46" s="146"/>
      <c r="R46" s="146"/>
      <c r="S46" s="146"/>
    </row>
    <row r="47" spans="1:19" ht="17.25" customHeight="1" thickBot="1">
      <c r="A47" s="109" t="s">
        <v>253</v>
      </c>
      <c r="B47" s="110">
        <v>91.4</v>
      </c>
      <c r="C47" s="70">
        <v>2.3516237400000001E-2</v>
      </c>
      <c r="D47" s="15">
        <v>91.1</v>
      </c>
      <c r="E47" s="32">
        <f t="shared" si="14"/>
        <v>-3.2822757111598618E-3</v>
      </c>
      <c r="F47" s="18">
        <f>IF(ISNUMBER(D47), $B64 * E47, "")</f>
        <v>-492.34135667397925</v>
      </c>
      <c r="G47" s="31">
        <v>91.8</v>
      </c>
      <c r="H47" s="32">
        <f t="shared" si="15"/>
        <v>4.3763676148795561E-3</v>
      </c>
      <c r="I47" s="91">
        <f>IF(ISNUMBER(G47), $B64 * H47, "")</f>
        <v>656.45514223193345</v>
      </c>
      <c r="J47" s="15">
        <v>91.5</v>
      </c>
      <c r="K47" s="32">
        <f t="shared" si="16"/>
        <v>1.0940919037198502E-3</v>
      </c>
      <c r="L47" s="18">
        <f>IF(ISNUMBER(J47), $B64 * K47, "")</f>
        <v>164.11378555797754</v>
      </c>
      <c r="M47" s="31">
        <v>90.9</v>
      </c>
      <c r="N47" s="32">
        <f t="shared" si="17"/>
        <v>-5.4704595185995622E-3</v>
      </c>
      <c r="O47" s="18">
        <f>IF(ISNUMBER(M47), $B64 * N47, "")</f>
        <v>-820.56892778993438</v>
      </c>
      <c r="Q47" s="146"/>
      <c r="R47" s="146"/>
      <c r="S47" s="146"/>
    </row>
    <row r="48" spans="1:19" ht="17.25" customHeight="1" thickBot="1">
      <c r="A48" s="111" t="s">
        <v>193</v>
      </c>
      <c r="B48" s="112">
        <v>15.1</v>
      </c>
      <c r="C48" s="71">
        <v>2.02702703E-2</v>
      </c>
      <c r="D48" s="20">
        <v>15</v>
      </c>
      <c r="E48" s="21">
        <f t="shared" si="14"/>
        <v>-6.6225165562913673E-3</v>
      </c>
      <c r="F48" s="22">
        <f>IF(ISNUMBER(D48), $B64 * E48, "")</f>
        <v>-993.37748344370505</v>
      </c>
      <c r="G48" s="30">
        <v>15.4</v>
      </c>
      <c r="H48" s="21">
        <f t="shared" si="15"/>
        <v>1.9867549668874218E-2</v>
      </c>
      <c r="I48" s="95">
        <f>IF(ISNUMBER(G48), $B64 * H48, "")</f>
        <v>2980.1324503311325</v>
      </c>
      <c r="J48" s="20">
        <v>15.3</v>
      </c>
      <c r="K48" s="21">
        <f t="shared" si="16"/>
        <v>1.3245033112582853E-2</v>
      </c>
      <c r="L48" s="22">
        <f>IF(ISNUMBER(J48), $B64 * K48, "")</f>
        <v>1986.7549668874278</v>
      </c>
      <c r="M48" s="30">
        <v>15.2</v>
      </c>
      <c r="N48" s="21">
        <f t="shared" si="17"/>
        <v>6.6225165562913673E-3</v>
      </c>
      <c r="O48" s="22">
        <f>IF(ISNUMBER(M48), $B64 * N48, "")</f>
        <v>993.37748344370505</v>
      </c>
      <c r="Q48" s="146"/>
      <c r="R48" s="146"/>
      <c r="S48" s="146"/>
    </row>
    <row r="49" spans="1:19" ht="17.25" customHeight="1" thickBot="1">
      <c r="A49" s="109" t="s">
        <v>349</v>
      </c>
      <c r="B49" s="113">
        <v>20.5</v>
      </c>
      <c r="C49" s="73">
        <v>1.4851485100000001E-2</v>
      </c>
      <c r="D49" s="96">
        <v>20.2</v>
      </c>
      <c r="E49" s="97">
        <f>IF(ISNUMBER(D49), (D49 - $B49) / $B49, "")</f>
        <v>-1.4634146341463448E-2</v>
      </c>
      <c r="F49" s="98">
        <f>IF(ISNUMBER(D49), $B64 * E49, "")</f>
        <v>-2195.1219512195171</v>
      </c>
      <c r="G49" s="99">
        <v>20.5</v>
      </c>
      <c r="H49" s="97">
        <f>IF(ISNUMBER(G49), (G49 - $B49) / $B49, "")</f>
        <v>0</v>
      </c>
      <c r="I49" s="100">
        <f>IF(ISNUMBER(G49), $B64 * H49, "")</f>
        <v>0</v>
      </c>
      <c r="J49" s="96">
        <v>20.7</v>
      </c>
      <c r="K49" s="97">
        <f>IF(ISNUMBER(J49), (J49 - $B49) / $B49, "")</f>
        <v>9.7560975609755751E-3</v>
      </c>
      <c r="L49" s="98">
        <f>IF(ISNUMBER(J49), $B64 * K49, "")</f>
        <v>1463.4146341463363</v>
      </c>
      <c r="M49" s="99">
        <v>20.399999999999999</v>
      </c>
      <c r="N49" s="97">
        <f>IF(ISNUMBER(M49), (M49 - $B49) / $B49, "")</f>
        <v>-4.8780487804878743E-3</v>
      </c>
      <c r="O49" s="98">
        <f>IF(ISNUMBER(M49), $B64 * N49, "")</f>
        <v>-731.70731707318112</v>
      </c>
      <c r="Q49" s="146"/>
      <c r="R49" s="146"/>
      <c r="S49" s="146"/>
    </row>
    <row r="50" spans="1:19" ht="17.25" customHeight="1" thickBot="1">
      <c r="A50" s="109" t="s">
        <v>126</v>
      </c>
      <c r="B50" s="110">
        <v>21.1</v>
      </c>
      <c r="C50" s="70">
        <v>1.44230769E-2</v>
      </c>
      <c r="D50" s="15">
        <v>21.2</v>
      </c>
      <c r="E50" s="32">
        <f t="shared" ref="E50:E53" si="18">IF(ISNUMBER(D50), (D50 - $B50) / $B50, "")</f>
        <v>4.7393364928908941E-3</v>
      </c>
      <c r="F50" s="18">
        <f>IF(ISNUMBER(D50), $B64 * E50, "")</f>
        <v>710.90047393363409</v>
      </c>
      <c r="G50" s="31">
        <v>21.4</v>
      </c>
      <c r="H50" s="32">
        <f t="shared" ref="H50:H53" si="19">IF(ISNUMBER(G50), (G50 - $B50) / $B50, "")</f>
        <v>1.421800947867285E-2</v>
      </c>
      <c r="I50" s="91">
        <f>IF(ISNUMBER(G50), $B64 * H50, "")</f>
        <v>2132.7014218009276</v>
      </c>
      <c r="J50" s="15">
        <v>21.2</v>
      </c>
      <c r="K50" s="32">
        <f t="shared" ref="K50:K53" si="20">IF(ISNUMBER(J50), (J50 - $B50) / $B50, "")</f>
        <v>4.7393364928908941E-3</v>
      </c>
      <c r="L50" s="18">
        <f>IF(ISNUMBER(J50), $B64 * K50, "")</f>
        <v>710.90047393363409</v>
      </c>
      <c r="M50" s="31">
        <v>21.1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146"/>
      <c r="R50" s="146"/>
      <c r="S50" s="146"/>
    </row>
    <row r="51" spans="1:19" ht="17.25" customHeight="1" thickBot="1">
      <c r="A51" s="109" t="s">
        <v>56</v>
      </c>
      <c r="B51" s="110">
        <v>37.1</v>
      </c>
      <c r="C51" s="70">
        <v>1.36612022E-2</v>
      </c>
      <c r="D51" s="15">
        <v>37.299999999999997</v>
      </c>
      <c r="E51" s="32">
        <f t="shared" si="18"/>
        <v>5.3908355795147097E-3</v>
      </c>
      <c r="F51" s="18">
        <f>IF(ISNUMBER(D51), $B64 * E51, "")</f>
        <v>808.62533692720649</v>
      </c>
      <c r="G51" s="31">
        <v>37.5</v>
      </c>
      <c r="H51" s="32">
        <f t="shared" si="19"/>
        <v>1.078167115902961E-2</v>
      </c>
      <c r="I51" s="91">
        <f>IF(ISNUMBER(G51), $B64 * H51, "")</f>
        <v>1617.2506738544416</v>
      </c>
      <c r="J51" s="15">
        <v>37.6</v>
      </c>
      <c r="K51" s="32">
        <f t="shared" si="20"/>
        <v>1.3477088948787061E-2</v>
      </c>
      <c r="L51" s="18">
        <f>IF(ISNUMBER(J51), $B64 * K51, "")</f>
        <v>2021.5633423180591</v>
      </c>
      <c r="M51" s="31">
        <v>37.1</v>
      </c>
      <c r="N51" s="32">
        <f t="shared" si="21"/>
        <v>0</v>
      </c>
      <c r="O51" s="18">
        <f>IF(ISNUMBER(M51), $B64 * N51, "")</f>
        <v>0</v>
      </c>
      <c r="Q51" s="146"/>
      <c r="R51" s="146"/>
      <c r="S51" s="146"/>
    </row>
    <row r="52" spans="1:19" ht="17.25" customHeight="1" thickBot="1">
      <c r="A52" s="109" t="s">
        <v>329</v>
      </c>
      <c r="B52" s="110">
        <v>48.9</v>
      </c>
      <c r="C52" s="70">
        <v>1.24223602E-2</v>
      </c>
      <c r="D52" s="15">
        <v>49.8</v>
      </c>
      <c r="E52" s="32">
        <f t="shared" si="18"/>
        <v>1.8404907975460093E-2</v>
      </c>
      <c r="F52" s="18">
        <f>IF(ISNUMBER(D52), $B64 * E52, "")</f>
        <v>2760.7361963190137</v>
      </c>
      <c r="G52" s="31">
        <v>50.1</v>
      </c>
      <c r="H52" s="32">
        <f t="shared" si="19"/>
        <v>2.4539877300613556E-2</v>
      </c>
      <c r="I52" s="91">
        <f>IF(ISNUMBER(G52), $B64 * H52, "")</f>
        <v>3680.9815950920333</v>
      </c>
      <c r="J52" s="15">
        <v>50</v>
      </c>
      <c r="K52" s="32">
        <f t="shared" si="20"/>
        <v>2.2494887525562401E-2</v>
      </c>
      <c r="L52" s="18">
        <f>IF(ISNUMBER(J52), $B64 * K52, "")</f>
        <v>3374.2331288343603</v>
      </c>
      <c r="M52" s="31">
        <v>49.5</v>
      </c>
      <c r="N52" s="32">
        <f t="shared" si="21"/>
        <v>1.2269938650306778E-2</v>
      </c>
      <c r="O52" s="18">
        <f>IF(ISNUMBER(M52), $B64 * N52, "")</f>
        <v>1840.4907975460167</v>
      </c>
      <c r="Q52" s="33"/>
      <c r="R52" s="33"/>
    </row>
    <row r="53" spans="1:19" ht="17.25" customHeight="1" thickBot="1">
      <c r="A53" s="114" t="s">
        <v>227</v>
      </c>
      <c r="B53" s="115">
        <v>33.4</v>
      </c>
      <c r="C53" s="72">
        <v>1.2121212100000001E-2</v>
      </c>
      <c r="D53" s="24">
        <v>33.200000000000003</v>
      </c>
      <c r="E53" s="25">
        <f t="shared" si="18"/>
        <v>-5.9880239520956812E-3</v>
      </c>
      <c r="F53" s="94">
        <f>IF(ISNUMBER(D53), $B64 * E53, "")</f>
        <v>-898.20359281435219</v>
      </c>
      <c r="G53" s="92">
        <v>33.200000000000003</v>
      </c>
      <c r="H53" s="25">
        <f t="shared" si="19"/>
        <v>-5.9880239520956812E-3</v>
      </c>
      <c r="I53" s="93">
        <f>IF(ISNUMBER(G53), $B64 * H53, "")</f>
        <v>-898.20359281435219</v>
      </c>
      <c r="J53" s="24">
        <v>33.299999999999997</v>
      </c>
      <c r="K53" s="25">
        <f t="shared" si="20"/>
        <v>-2.9940119760479469E-3</v>
      </c>
      <c r="L53" s="94">
        <f>IF(ISNUMBER(J53), $B64 * K53, "")</f>
        <v>-449.10179640719201</v>
      </c>
      <c r="M53" s="92">
        <v>33.200000000000003</v>
      </c>
      <c r="N53" s="25">
        <f t="shared" si="21"/>
        <v>-5.9880239520956812E-3</v>
      </c>
      <c r="O53" s="94">
        <f>IF(ISNUMBER(M53), $B64 * N53, "")</f>
        <v>-898.20359281435219</v>
      </c>
      <c r="Q53" s="147"/>
      <c r="R53" s="148"/>
      <c r="S53" s="149"/>
    </row>
    <row r="54" spans="1:19" ht="17.25" customHeight="1">
      <c r="A54" s="107" t="s">
        <v>138</v>
      </c>
      <c r="B54" s="108">
        <v>20</v>
      </c>
      <c r="C54" s="69">
        <v>1.01010101E-2</v>
      </c>
      <c r="D54" s="13">
        <v>20.2</v>
      </c>
      <c r="E54" s="14">
        <f>IF(ISNUMBER(D54), (D54 - $B54) / $B54, "")</f>
        <v>9.9999999999999638E-3</v>
      </c>
      <c r="F54" s="16">
        <f>IF(ISNUMBER(D54), $B64 * E54, "")</f>
        <v>1499.9999999999945</v>
      </c>
      <c r="G54" s="29">
        <v>20.399999999999999</v>
      </c>
      <c r="H54" s="14">
        <f>IF(ISNUMBER(G54), (G54 - $B54) / $B54, "")</f>
        <v>1.9999999999999928E-2</v>
      </c>
      <c r="I54" s="90">
        <f>IF(ISNUMBER(G54), $B64 * H54, "")</f>
        <v>2999.9999999999891</v>
      </c>
      <c r="J54" s="13">
        <v>20.3</v>
      </c>
      <c r="K54" s="14">
        <f>IF(ISNUMBER(J54), (J54 - $B54) / $B54, "")</f>
        <v>1.5000000000000036E-2</v>
      </c>
      <c r="L54" s="16">
        <f>IF(ISNUMBER(J54), $B64 * K54, "")</f>
        <v>2250.0000000000055</v>
      </c>
      <c r="M54" s="29">
        <v>20.100000000000001</v>
      </c>
      <c r="N54" s="14">
        <f>IF(ISNUMBER(M54), (M54 - $B54) / $B54, "")</f>
        <v>5.0000000000000712E-3</v>
      </c>
      <c r="O54" s="16">
        <f>IF(ISNUMBER(M54), $B64 * N54, "")</f>
        <v>750.00000000001069</v>
      </c>
      <c r="Q54" s="150"/>
      <c r="R54" s="151"/>
      <c r="S54" s="152"/>
    </row>
    <row r="55" spans="1:19" ht="17.25" customHeight="1" thickBot="1">
      <c r="A55" s="109" t="s">
        <v>132</v>
      </c>
      <c r="B55" s="110">
        <v>40.700000000000003</v>
      </c>
      <c r="C55" s="70">
        <v>9.9255582999999998E-3</v>
      </c>
      <c r="D55" s="15">
        <v>40.9</v>
      </c>
      <c r="E55" s="32">
        <f t="shared" ref="E55:E58" si="22">IF(ISNUMBER(D55), (D55 - $B55) / $B55, "")</f>
        <v>4.9140049140048089E-3</v>
      </c>
      <c r="F55" s="18">
        <f>IF(ISNUMBER(D55), $B64 * E55, "")</f>
        <v>737.10073710072129</v>
      </c>
      <c r="G55" s="31">
        <v>41.3</v>
      </c>
      <c r="H55" s="32">
        <f t="shared" ref="H55:H58" si="23">IF(ISNUMBER(G55), (G55 - $B55) / $B55, "")</f>
        <v>1.4742014742014602E-2</v>
      </c>
      <c r="I55" s="91">
        <f>IF(ISNUMBER(G55), $B64 * H55, "")</f>
        <v>2211.3022113021902</v>
      </c>
      <c r="J55" s="15">
        <v>41.3</v>
      </c>
      <c r="K55" s="32">
        <f t="shared" ref="K55:K58" si="24">IF(ISNUMBER(J55), (J55 - $B55) / $B55, "")</f>
        <v>1.4742014742014602E-2</v>
      </c>
      <c r="L55" s="18">
        <f>IF(ISNUMBER(J55), $B64 * K55, "")</f>
        <v>2211.3022113021902</v>
      </c>
      <c r="M55" s="31">
        <v>40.9</v>
      </c>
      <c r="N55" s="32">
        <f t="shared" ref="N55:N58" si="25">IF(ISNUMBER(M55), (M55 - $B55) / $B55, "")</f>
        <v>4.9140049140048089E-3</v>
      </c>
      <c r="O55" s="18">
        <f>IF(ISNUMBER(M55), $B64 * N55, "")</f>
        <v>737.10073710072129</v>
      </c>
      <c r="Q55" s="153"/>
      <c r="R55" s="154"/>
      <c r="S55" s="155"/>
    </row>
    <row r="56" spans="1:19" ht="17.25" customHeight="1" thickBot="1">
      <c r="A56" s="109" t="s">
        <v>51</v>
      </c>
      <c r="B56" s="110">
        <v>93</v>
      </c>
      <c r="C56" s="70">
        <v>9.7719869999999993E-3</v>
      </c>
      <c r="D56" s="15">
        <v>93.8</v>
      </c>
      <c r="E56" s="32">
        <f t="shared" si="22"/>
        <v>8.6021505376343774E-3</v>
      </c>
      <c r="F56" s="18">
        <f>IF(ISNUMBER(D56), $B64 * E56, "")</f>
        <v>1290.3225806451567</v>
      </c>
      <c r="G56" s="31">
        <v>94.8</v>
      </c>
      <c r="H56" s="32">
        <f t="shared" si="23"/>
        <v>1.9354838709677389E-2</v>
      </c>
      <c r="I56" s="91">
        <f>IF(ISNUMBER(G56), $B64 * H56, "")</f>
        <v>2903.2258064516082</v>
      </c>
      <c r="J56" s="15">
        <v>94.5</v>
      </c>
      <c r="K56" s="32">
        <f t="shared" si="24"/>
        <v>1.6129032258064516E-2</v>
      </c>
      <c r="L56" s="18">
        <f>IF(ISNUMBER(J56), $B64 * K56, "")</f>
        <v>2419.3548387096776</v>
      </c>
      <c r="M56" s="31">
        <v>94.3</v>
      </c>
      <c r="N56" s="32">
        <f t="shared" si="25"/>
        <v>1.3978494623655883E-2</v>
      </c>
      <c r="O56" s="18">
        <f>IF(ISNUMBER(M56), $B64 * N56, "")</f>
        <v>2096.7741935483823</v>
      </c>
      <c r="Q56" s="146"/>
      <c r="R56" s="146"/>
      <c r="S56" s="146"/>
    </row>
    <row r="57" spans="1:19" ht="17.25" customHeight="1" thickBot="1">
      <c r="A57" s="109" t="s">
        <v>185</v>
      </c>
      <c r="B57" s="110">
        <v>23</v>
      </c>
      <c r="C57" s="70">
        <v>8.7719297999999998E-3</v>
      </c>
      <c r="D57" s="15">
        <v>22.9</v>
      </c>
      <c r="E57" s="32">
        <f t="shared" si="22"/>
        <v>-4.3478260869565834E-3</v>
      </c>
      <c r="F57" s="18">
        <f>IF(ISNUMBER(D57), $B64 * E57, "")</f>
        <v>-652.17391304348746</v>
      </c>
      <c r="G57" s="31">
        <v>23</v>
      </c>
      <c r="H57" s="32">
        <f t="shared" si="23"/>
        <v>0</v>
      </c>
      <c r="I57" s="91">
        <f>IF(ISNUMBER(G57), $B64 * H57, "")</f>
        <v>0</v>
      </c>
      <c r="J57" s="15">
        <v>23</v>
      </c>
      <c r="K57" s="32">
        <f t="shared" si="24"/>
        <v>0</v>
      </c>
      <c r="L57" s="18">
        <f>IF(ISNUMBER(J57), $B64 * K57, "")</f>
        <v>0</v>
      </c>
      <c r="M57" s="31">
        <v>23</v>
      </c>
      <c r="N57" s="32">
        <f t="shared" si="25"/>
        <v>0</v>
      </c>
      <c r="O57" s="18">
        <f>IF(ISNUMBER(M57), $B64 * N57, "")</f>
        <v>0</v>
      </c>
      <c r="Q57" s="156"/>
      <c r="R57" s="156"/>
      <c r="S57" s="156"/>
    </row>
    <row r="58" spans="1:19" ht="17.25" customHeight="1" thickBot="1">
      <c r="A58" s="111" t="s">
        <v>155</v>
      </c>
      <c r="B58" s="112">
        <v>24.3</v>
      </c>
      <c r="C58" s="71">
        <v>8.2987552000000006E-3</v>
      </c>
      <c r="D58" s="20">
        <v>24.5</v>
      </c>
      <c r="E58" s="21">
        <f t="shared" si="22"/>
        <v>8.2304526748970906E-3</v>
      </c>
      <c r="F58" s="22">
        <f>IF(ISNUMBER(D58), $B64 * E58, "")</f>
        <v>1234.5679012345636</v>
      </c>
      <c r="G58" s="30">
        <v>24.6</v>
      </c>
      <c r="H58" s="21">
        <f t="shared" si="23"/>
        <v>1.2345679012345708E-2</v>
      </c>
      <c r="I58" s="95">
        <f>IF(ISNUMBER(G58), $B64 * H58, "")</f>
        <v>1851.8518518518563</v>
      </c>
      <c r="J58" s="20">
        <v>24.5</v>
      </c>
      <c r="K58" s="21">
        <f t="shared" si="24"/>
        <v>8.2304526748970906E-3</v>
      </c>
      <c r="L58" s="22">
        <f>IF(ISNUMBER(J58), $B64 * K58, "")</f>
        <v>1234.5679012345636</v>
      </c>
      <c r="M58" s="30">
        <v>24.5</v>
      </c>
      <c r="N58" s="21">
        <f t="shared" si="25"/>
        <v>8.2304526748970906E-3</v>
      </c>
      <c r="O58" s="22">
        <f>IF(ISNUMBER(M58), $B64 * N58, "")</f>
        <v>1234.5679012345636</v>
      </c>
      <c r="Q58" s="156"/>
      <c r="R58" s="156"/>
      <c r="S58" s="156"/>
    </row>
    <row r="59" spans="1:19" ht="17.25" customHeight="1" thickBot="1">
      <c r="A59" s="109" t="s">
        <v>124</v>
      </c>
      <c r="B59" s="113">
        <v>27</v>
      </c>
      <c r="C59" s="73">
        <v>7.4626865999999998E-3</v>
      </c>
      <c r="D59" s="96">
        <v>27</v>
      </c>
      <c r="E59" s="97">
        <f>IF(ISNUMBER(D59), (D59 - $B59) / $B59, "")</f>
        <v>0</v>
      </c>
      <c r="F59" s="98">
        <f>IF(ISNUMBER(D59), $B64 * E59, "")</f>
        <v>0</v>
      </c>
      <c r="G59" s="99">
        <v>27.1</v>
      </c>
      <c r="H59" s="97">
        <f>IF(ISNUMBER(G59), (G59 - $B59) / $B59, "")</f>
        <v>3.7037037037037563E-3</v>
      </c>
      <c r="I59" s="100">
        <f>IF(ISNUMBER(G59), $B64 * H59, "")</f>
        <v>555.5555555555635</v>
      </c>
      <c r="J59" s="96">
        <v>27.3</v>
      </c>
      <c r="K59" s="97">
        <f>IF(ISNUMBER(J59), (J59 - $B59) / $B59, "")</f>
        <v>1.1111111111111138E-2</v>
      </c>
      <c r="L59" s="98">
        <f>IF(ISNUMBER(J59), $B64 * K59, "")</f>
        <v>1666.6666666666706</v>
      </c>
      <c r="M59" s="99">
        <v>27</v>
      </c>
      <c r="N59" s="97">
        <f>IF(ISNUMBER(M59), (M59 - $B59) / $B59, "")</f>
        <v>0</v>
      </c>
      <c r="O59" s="98">
        <f>IF(ISNUMBER(M59), $B64 * N59, "")</f>
        <v>0</v>
      </c>
      <c r="Q59" s="146"/>
      <c r="R59" s="146"/>
      <c r="S59" s="146"/>
    </row>
    <row r="60" spans="1:19" ht="17.25" customHeight="1" thickBot="1">
      <c r="A60" s="109" t="s">
        <v>217</v>
      </c>
      <c r="B60" s="110">
        <v>54</v>
      </c>
      <c r="C60" s="70">
        <v>7.4626865999999998E-3</v>
      </c>
      <c r="D60" s="15">
        <v>54.3</v>
      </c>
      <c r="E60" s="32">
        <f t="shared" ref="E60:E63" si="26">IF(ISNUMBER(D60), (D60 - $B60) / $B60, "")</f>
        <v>5.5555555555555029E-3</v>
      </c>
      <c r="F60" s="18">
        <f>IF(ISNUMBER(D60), $B64 * E60, "")</f>
        <v>833.33333333332541</v>
      </c>
      <c r="G60" s="31">
        <v>54.4</v>
      </c>
      <c r="H60" s="32">
        <f t="shared" ref="H60:H63" si="27">IF(ISNUMBER(G60), (G60 - $B60) / $B60, "")</f>
        <v>7.4074074074073808E-3</v>
      </c>
      <c r="I60" s="91">
        <f>IF(ISNUMBER(G60), $B64 * H60, "")</f>
        <v>1111.1111111111072</v>
      </c>
      <c r="J60" s="15">
        <v>54.4</v>
      </c>
      <c r="K60" s="32">
        <f t="shared" ref="K60:K63" si="28">IF(ISNUMBER(J60), (J60 - $B60) / $B60, "")</f>
        <v>7.4074074074073808E-3</v>
      </c>
      <c r="L60" s="18">
        <f>IF(ISNUMBER(J60), $B64 * K60, "")</f>
        <v>1111.1111111111072</v>
      </c>
      <c r="M60" s="31">
        <v>54.3</v>
      </c>
      <c r="N60" s="32">
        <f t="shared" ref="N60:N63" si="29">IF(ISNUMBER(M60), (M60 - $B60) / $B60, "")</f>
        <v>5.5555555555555029E-3</v>
      </c>
      <c r="O60" s="18">
        <f>IF(ISNUMBER(M60), $B64 * N60, "")</f>
        <v>833.33333333332541</v>
      </c>
      <c r="Q60" s="146"/>
      <c r="R60" s="146"/>
      <c r="S60" s="146"/>
    </row>
    <row r="61" spans="1:19" ht="17.25" customHeight="1" thickBot="1">
      <c r="A61" s="109" t="s">
        <v>197</v>
      </c>
      <c r="B61" s="110">
        <v>5.54</v>
      </c>
      <c r="C61" s="70">
        <v>7.2727273000000002E-3</v>
      </c>
      <c r="D61" s="15">
        <v>5.55</v>
      </c>
      <c r="E61" s="32">
        <f t="shared" si="26"/>
        <v>1.8050541516245102E-3</v>
      </c>
      <c r="F61" s="18">
        <f>IF(ISNUMBER(D61), $B64 * E61, "")</f>
        <v>270.75812274367655</v>
      </c>
      <c r="G61" s="31">
        <v>5.54</v>
      </c>
      <c r="H61" s="32">
        <f t="shared" si="27"/>
        <v>0</v>
      </c>
      <c r="I61" s="91">
        <f>IF(ISNUMBER(G61), $B64 * H61, "")</f>
        <v>0</v>
      </c>
      <c r="J61" s="15">
        <v>5.58</v>
      </c>
      <c r="K61" s="32">
        <f t="shared" si="28"/>
        <v>7.2202166064982013E-3</v>
      </c>
      <c r="L61" s="18">
        <f>IF(ISNUMBER(J61), $B64 * K61, "")</f>
        <v>1083.0324909747301</v>
      </c>
      <c r="M61" s="31">
        <v>5.54</v>
      </c>
      <c r="N61" s="32">
        <f t="shared" si="29"/>
        <v>0</v>
      </c>
      <c r="O61" s="18">
        <f>IF(ISNUMBER(M61), $B64 * N61, "")</f>
        <v>0</v>
      </c>
      <c r="Q61" s="146"/>
      <c r="R61" s="146"/>
      <c r="S61" s="146"/>
    </row>
    <row r="62" spans="1:19" ht="17.25" customHeight="1">
      <c r="A62" s="109" t="s">
        <v>145</v>
      </c>
      <c r="B62" s="110">
        <v>70.2</v>
      </c>
      <c r="C62" s="70">
        <v>7.1736011000000004E-3</v>
      </c>
      <c r="D62" s="15">
        <v>70.5</v>
      </c>
      <c r="E62" s="32">
        <f t="shared" si="26"/>
        <v>4.2735042735042332E-3</v>
      </c>
      <c r="F62" s="18">
        <f>IF(ISNUMBER(D62), $B64 * E62, "")</f>
        <v>641.02564102563497</v>
      </c>
      <c r="G62" s="31">
        <v>71</v>
      </c>
      <c r="H62" s="32">
        <f t="shared" si="27"/>
        <v>1.1396011396011355E-2</v>
      </c>
      <c r="I62" s="91">
        <f>IF(ISNUMBER(G62), $B64 * H62, "")</f>
        <v>1709.4017094017033</v>
      </c>
      <c r="J62" s="15">
        <v>70.900000000000006</v>
      </c>
      <c r="K62" s="32">
        <f t="shared" si="28"/>
        <v>9.9715099715100113E-3</v>
      </c>
      <c r="L62" s="18">
        <f>IF(ISNUMBER(J62), $B64 * K62, "")</f>
        <v>1495.7264957265018</v>
      </c>
      <c r="M62" s="31">
        <v>70.7</v>
      </c>
      <c r="N62" s="32">
        <f t="shared" si="29"/>
        <v>7.1225071225071226E-3</v>
      </c>
      <c r="O62" s="18">
        <f>IF(ISNUMBER(M62), $B64 * N62, "")</f>
        <v>1068.3760683760684</v>
      </c>
      <c r="Q62" s="135"/>
      <c r="R62" s="136"/>
      <c r="S62" s="137"/>
    </row>
    <row r="63" spans="1:19" ht="17.25" customHeight="1" thickBot="1">
      <c r="A63" s="114" t="s">
        <v>323</v>
      </c>
      <c r="B63" s="115">
        <v>2.8299999999999999E-2</v>
      </c>
      <c r="C63" s="72">
        <v>7.1174376999999997E-3</v>
      </c>
      <c r="D63" s="24">
        <v>2.8299999999999999E-2</v>
      </c>
      <c r="E63" s="25">
        <f t="shared" si="26"/>
        <v>0</v>
      </c>
      <c r="F63" s="94">
        <f>IF(ISNUMBER(D63), $B64 * E63, "")</f>
        <v>0</v>
      </c>
      <c r="G63" s="92">
        <v>2.8500000000000001E-2</v>
      </c>
      <c r="H63" s="25">
        <f t="shared" si="27"/>
        <v>7.0671378091873597E-3</v>
      </c>
      <c r="I63" s="93">
        <f>IF(ISNUMBER(G63), $B64 * H63, "")</f>
        <v>1060.070671378104</v>
      </c>
      <c r="J63" s="24">
        <v>2.8500000000000001E-2</v>
      </c>
      <c r="K63" s="25">
        <f t="shared" si="28"/>
        <v>7.0671378091873597E-3</v>
      </c>
      <c r="L63" s="94">
        <f>IF(ISNUMBER(J63), $B64 * K63, "")</f>
        <v>1060.070671378104</v>
      </c>
      <c r="M63" s="92">
        <v>2.8199999999999999E-2</v>
      </c>
      <c r="N63" s="25">
        <f t="shared" si="29"/>
        <v>-3.5335689045936183E-3</v>
      </c>
      <c r="O63" s="94">
        <f>IF(ISNUMBER(M63), $B64 * N63, "")</f>
        <v>-530.03533568904277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3.3035721755620335E-3</v>
      </c>
      <c r="F64" s="28">
        <f>SUM(F44:F63)</f>
        <v>9910.7165266860993</v>
      </c>
      <c r="G64" s="26" t="s">
        <v>258</v>
      </c>
      <c r="H64" s="27">
        <f>IF(COUNT(H44:H63), SUM(H44:H63) / COUNT(H44:H63), 0)</f>
        <v>9.9817236189194327E-3</v>
      </c>
      <c r="I64" s="28">
        <f>SUM(I44:I63)</f>
        <v>29945.170856758297</v>
      </c>
      <c r="J64" s="26" t="s">
        <v>258</v>
      </c>
      <c r="K64" s="27">
        <f>IF(COUNT(K44:K63), SUM(K44:K63) / COUNT(K44:K63), 0)</f>
        <v>9.3109612952310995E-3</v>
      </c>
      <c r="L64" s="28">
        <f>SUM(L44:L63)</f>
        <v>27932.8838856933</v>
      </c>
      <c r="M64" s="26" t="s">
        <v>258</v>
      </c>
      <c r="N64" s="27">
        <f>IF(COUNT(N44:N63), SUM(N44:N63) / COUNT(N44:N63), 0)</f>
        <v>2.1408063340214657E-3</v>
      </c>
      <c r="O64" s="28">
        <f>SUM(O44:O63)</f>
        <v>6422.4190020643973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21539000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1.0224474E-3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2023-01-03(화) 오전 00:00</v>
      </c>
      <c r="C69" s="198"/>
      <c r="D69" s="170" t="str">
        <f>TEXT($G$1, "[$-ko-KR]yyyy-mm-dd(ddd) ") &amp; "오후 14:00"</f>
        <v>2023-01-03(화) 오후 14:00</v>
      </c>
      <c r="E69" s="171"/>
      <c r="F69" s="172"/>
      <c r="G69" s="170" t="str">
        <f>TEXT($G$1, "[$-ko-KR]yyyy-mm-dd(ddd) ") &amp; "오후 19:00"</f>
        <v>2023-01-03(화) 오후 19:00</v>
      </c>
      <c r="H69" s="171"/>
      <c r="I69" s="172"/>
      <c r="J69" s="170" t="str">
        <f>TEXT($G$1, "[$-ko-KR]yyyy-mm-dd(ddd) ") &amp; "오후 21:00"</f>
        <v>2023-01-03(화) 오후 21:00</v>
      </c>
      <c r="K69" s="171"/>
      <c r="L69" s="172"/>
      <c r="M69" s="170" t="str">
        <f>TEXT($G$1+1, "[$-ko-KR]yyyy-mm-dd(ddd) ") &amp; "오전 00:00"</f>
        <v>2023-01-04(수)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111</v>
      </c>
      <c r="B71" s="108">
        <v>518</v>
      </c>
      <c r="C71" s="69">
        <v>5.0709939099999997E-2</v>
      </c>
      <c r="D71" s="13">
        <v>515</v>
      </c>
      <c r="E71" s="14">
        <f>IF(ISNUMBER(D71), (D71 - $B71) / $B71, "")</f>
        <v>-5.7915057915057912E-3</v>
      </c>
      <c r="F71" s="16">
        <f>IF(ISNUMBER(D71), $B91 * E71, "")</f>
        <v>-868.72586872586874</v>
      </c>
      <c r="G71" s="29">
        <v>527</v>
      </c>
      <c r="H71" s="14">
        <f>IF(ISNUMBER(G71), (G71 - $B71) / $B71, "")</f>
        <v>1.7374517374517374E-2</v>
      </c>
      <c r="I71" s="90">
        <f>IF(ISNUMBER(G71), $B91 * H71, "")</f>
        <v>2606.1776061776063</v>
      </c>
      <c r="J71" s="13">
        <v>521</v>
      </c>
      <c r="K71" s="14">
        <f>IF(ISNUMBER(J71), (J71 - $B71) / $B71, "")</f>
        <v>5.7915057915057912E-3</v>
      </c>
      <c r="L71" s="16">
        <f>IF(ISNUMBER(J71), $B91 * K71, "")</f>
        <v>868.72586872586874</v>
      </c>
      <c r="M71" s="29">
        <v>517</v>
      </c>
      <c r="N71" s="14">
        <f>IF(ISNUMBER(M71), (M71 - $B71) / $B71, "")</f>
        <v>-1.9305019305019305E-3</v>
      </c>
      <c r="O71" s="16">
        <f>IF(ISNUMBER(M71), $B91 * N71, "")</f>
        <v>-289.57528957528956</v>
      </c>
      <c r="Q71" s="156"/>
      <c r="R71" s="156"/>
      <c r="S71" s="156"/>
    </row>
    <row r="72" spans="1:19" ht="17.25" thickBot="1">
      <c r="A72" s="109" t="s">
        <v>169</v>
      </c>
      <c r="B72" s="110">
        <v>226</v>
      </c>
      <c r="C72" s="70">
        <v>3.6697247699999998E-2</v>
      </c>
      <c r="D72" s="15">
        <v>232</v>
      </c>
      <c r="E72" s="32">
        <f t="shared" ref="E72:E75" si="30">IF(ISNUMBER(D72), (D72 - $B72) / $B72, "")</f>
        <v>2.6548672566371681E-2</v>
      </c>
      <c r="F72" s="18">
        <f>IF(ISNUMBER(D72), $B91 * E72, "")</f>
        <v>3982.3008849557523</v>
      </c>
      <c r="G72" s="31">
        <v>233</v>
      </c>
      <c r="H72" s="32">
        <f t="shared" ref="H72:H75" si="31">IF(ISNUMBER(G72), (G72 - $B72) / $B72, "")</f>
        <v>3.0973451327433628E-2</v>
      </c>
      <c r="I72" s="91">
        <f>IF(ISNUMBER(G72), $B91 * H72, "")</f>
        <v>4646.0176991150438</v>
      </c>
      <c r="J72" s="15">
        <v>233</v>
      </c>
      <c r="K72" s="32">
        <f t="shared" ref="K72:K75" si="32">IF(ISNUMBER(J72), (J72 - $B72) / $B72, "")</f>
        <v>3.0973451327433628E-2</v>
      </c>
      <c r="L72" s="18">
        <f>IF(ISNUMBER(J72), $B91 * K72, "")</f>
        <v>4646.0176991150438</v>
      </c>
      <c r="M72" s="31">
        <v>228</v>
      </c>
      <c r="N72" s="32">
        <f t="shared" ref="N72:N75" si="33">IF(ISNUMBER(M72), (M72 - $B72) / $B72, "")</f>
        <v>8.8495575221238937E-3</v>
      </c>
      <c r="O72" s="18">
        <f>IF(ISNUMBER(M72), $B91 * N72, "")</f>
        <v>1327.4336283185839</v>
      </c>
      <c r="Q72" s="156"/>
      <c r="R72" s="156"/>
      <c r="S72" s="156"/>
    </row>
    <row r="73" spans="1:19" ht="17.25" thickBot="1">
      <c r="A73" s="109" t="s">
        <v>60</v>
      </c>
      <c r="B73" s="110">
        <v>395</v>
      </c>
      <c r="C73" s="70">
        <v>3.1331592700000001E-2</v>
      </c>
      <c r="D73" s="15">
        <v>395</v>
      </c>
      <c r="E73" s="32">
        <f t="shared" si="30"/>
        <v>0</v>
      </c>
      <c r="F73" s="18">
        <f>IF(ISNUMBER(D73), $B91 * E73, "")</f>
        <v>0</v>
      </c>
      <c r="G73" s="31">
        <v>399</v>
      </c>
      <c r="H73" s="32">
        <f t="shared" si="31"/>
        <v>1.0126582278481013E-2</v>
      </c>
      <c r="I73" s="91">
        <f>IF(ISNUMBER(G73), $B91 * H73, "")</f>
        <v>1518.9873417721519</v>
      </c>
      <c r="J73" s="15">
        <v>396</v>
      </c>
      <c r="K73" s="32">
        <f t="shared" si="32"/>
        <v>2.5316455696202532E-3</v>
      </c>
      <c r="L73" s="18">
        <f>IF(ISNUMBER(J73), $B91 * K73, "")</f>
        <v>379.74683544303798</v>
      </c>
      <c r="M73" s="31">
        <v>394</v>
      </c>
      <c r="N73" s="32">
        <f t="shared" si="33"/>
        <v>-2.5316455696202532E-3</v>
      </c>
      <c r="O73" s="18">
        <f>IF(ISNUMBER(M73), $B91 * N73, "")</f>
        <v>-379.74683544303798</v>
      </c>
      <c r="Q73" s="146"/>
      <c r="R73" s="146"/>
      <c r="S73" s="146"/>
    </row>
    <row r="74" spans="1:19" ht="17.25" thickBot="1">
      <c r="A74" s="109" t="s">
        <v>120</v>
      </c>
      <c r="B74" s="110">
        <v>102</v>
      </c>
      <c r="C74" s="70">
        <v>2.8225806499999999E-2</v>
      </c>
      <c r="D74" s="15">
        <v>102</v>
      </c>
      <c r="E74" s="32">
        <f t="shared" si="30"/>
        <v>0</v>
      </c>
      <c r="F74" s="18">
        <f>IF(ISNUMBER(D74), $B91 * E74, "")</f>
        <v>0</v>
      </c>
      <c r="G74" s="31">
        <v>102</v>
      </c>
      <c r="H74" s="32">
        <f t="shared" si="31"/>
        <v>0</v>
      </c>
      <c r="I74" s="91">
        <f>IF(ISNUMBER(G74), $B91 * H74, "")</f>
        <v>0</v>
      </c>
      <c r="J74" s="15">
        <v>102</v>
      </c>
      <c r="K74" s="32">
        <f t="shared" si="32"/>
        <v>0</v>
      </c>
      <c r="L74" s="18">
        <f>IF(ISNUMBER(J74), $B91 * K74, "")</f>
        <v>0</v>
      </c>
      <c r="M74" s="31">
        <v>99.9</v>
      </c>
      <c r="N74" s="32">
        <f t="shared" si="33"/>
        <v>-2.0588235294117591E-2</v>
      </c>
      <c r="O74" s="18">
        <f>IF(ISNUMBER(M74), $B91 * N74, "")</f>
        <v>-3088.2352941176387</v>
      </c>
      <c r="Q74" s="146"/>
      <c r="R74" s="146"/>
      <c r="S74" s="146"/>
    </row>
    <row r="75" spans="1:19" ht="17.25" thickBot="1">
      <c r="A75" s="111" t="s">
        <v>105</v>
      </c>
      <c r="B75" s="112">
        <v>186</v>
      </c>
      <c r="C75" s="71">
        <v>2.7624309400000002E-2</v>
      </c>
      <c r="D75" s="20">
        <v>186</v>
      </c>
      <c r="E75" s="21">
        <f t="shared" si="30"/>
        <v>0</v>
      </c>
      <c r="F75" s="22">
        <f>IF(ISNUMBER(D75), $B91 * E75, "")</f>
        <v>0</v>
      </c>
      <c r="G75" s="30">
        <v>188</v>
      </c>
      <c r="H75" s="21">
        <f t="shared" si="31"/>
        <v>1.0752688172043012E-2</v>
      </c>
      <c r="I75" s="95">
        <f>IF(ISNUMBER(G75), $B91 * H75, "")</f>
        <v>1612.9032258064517</v>
      </c>
      <c r="J75" s="20">
        <v>188</v>
      </c>
      <c r="K75" s="21">
        <f t="shared" si="32"/>
        <v>1.0752688172043012E-2</v>
      </c>
      <c r="L75" s="22">
        <f>IF(ISNUMBER(J75), $B91 * K75, "")</f>
        <v>1612.9032258064517</v>
      </c>
      <c r="M75" s="30">
        <v>187</v>
      </c>
      <c r="N75" s="21">
        <f t="shared" si="33"/>
        <v>5.3763440860215058E-3</v>
      </c>
      <c r="O75" s="22">
        <f>IF(ISNUMBER(M75), $B91 * N75, "")</f>
        <v>806.45161290322585</v>
      </c>
      <c r="Q75" s="146"/>
      <c r="R75" s="146"/>
      <c r="S75" s="146"/>
    </row>
    <row r="76" spans="1:19" ht="17.25" thickBot="1">
      <c r="A76" s="109" t="s">
        <v>103</v>
      </c>
      <c r="B76" s="113">
        <v>197</v>
      </c>
      <c r="C76" s="73">
        <v>2.60416667E-2</v>
      </c>
      <c r="D76" s="96">
        <v>197</v>
      </c>
      <c r="E76" s="97">
        <f>IF(ISNUMBER(D76), (D76 - $B76) / $B76, "")</f>
        <v>0</v>
      </c>
      <c r="F76" s="98">
        <f>IF(ISNUMBER(D76), $B91 * E76, "")</f>
        <v>0</v>
      </c>
      <c r="G76" s="99">
        <v>198</v>
      </c>
      <c r="H76" s="97">
        <f>IF(ISNUMBER(G76), (G76 - $B76) / $B76, "")</f>
        <v>5.076142131979695E-3</v>
      </c>
      <c r="I76" s="100">
        <f>IF(ISNUMBER(G76), $B91 * H76, "")</f>
        <v>761.42131979695421</v>
      </c>
      <c r="J76" s="96">
        <v>196</v>
      </c>
      <c r="K76" s="97">
        <f>IF(ISNUMBER(J76), (J76 - $B76) / $B76, "")</f>
        <v>-5.076142131979695E-3</v>
      </c>
      <c r="L76" s="98">
        <f>IF(ISNUMBER(J76), $B91 * K76, "")</f>
        <v>-761.42131979695421</v>
      </c>
      <c r="M76" s="99">
        <v>196</v>
      </c>
      <c r="N76" s="97">
        <f>IF(ISNUMBER(M76), (M76 - $B76) / $B76, "")</f>
        <v>-5.076142131979695E-3</v>
      </c>
      <c r="O76" s="98">
        <f>IF(ISNUMBER(M76), $B91 * N76, "")</f>
        <v>-761.42131979695421</v>
      </c>
      <c r="Q76" s="146"/>
      <c r="R76" s="146"/>
      <c r="S76" s="146"/>
    </row>
    <row r="77" spans="1:19" ht="17.25" thickBot="1">
      <c r="A77" s="109" t="s">
        <v>157</v>
      </c>
      <c r="B77" s="110">
        <v>204</v>
      </c>
      <c r="C77" s="70">
        <v>2.5125628099999998E-2</v>
      </c>
      <c r="D77" s="15">
        <v>208</v>
      </c>
      <c r="E77" s="32">
        <f t="shared" ref="E77:E80" si="34">IF(ISNUMBER(D77), (D77 - $B77) / $B77, "")</f>
        <v>1.9607843137254902E-2</v>
      </c>
      <c r="F77" s="18">
        <f>IF(ISNUMBER(D77), $B91 * E77, "")</f>
        <v>2941.1764705882351</v>
      </c>
      <c r="G77" s="31">
        <v>207</v>
      </c>
      <c r="H77" s="32">
        <f t="shared" ref="H77:H80" si="35">IF(ISNUMBER(G77), (G77 - $B77) / $B77, "")</f>
        <v>1.4705882352941176E-2</v>
      </c>
      <c r="I77" s="91">
        <f>IF(ISNUMBER(G77), $B91 * H77, "")</f>
        <v>2205.8823529411766</v>
      </c>
      <c r="J77" s="15">
        <v>206</v>
      </c>
      <c r="K77" s="32">
        <f t="shared" ref="K77:K80" si="36">IF(ISNUMBER(J77), (J77 - $B77) / $B77, "")</f>
        <v>9.8039215686274508E-3</v>
      </c>
      <c r="L77" s="18">
        <f>IF(ISNUMBER(J77), $B91 * K77, "")</f>
        <v>1470.5882352941176</v>
      </c>
      <c r="M77" s="31">
        <v>207</v>
      </c>
      <c r="N77" s="32">
        <f t="shared" ref="N77:N80" si="37">IF(ISNUMBER(M77), (M77 - $B77) / $B77, "")</f>
        <v>1.4705882352941176E-2</v>
      </c>
      <c r="O77" s="18">
        <f>IF(ISNUMBER(M77), $B91 * N77, "")</f>
        <v>2205.8823529411766</v>
      </c>
      <c r="Q77" s="146"/>
      <c r="R77" s="146"/>
      <c r="S77" s="146"/>
    </row>
    <row r="78" spans="1:19" ht="17.25" thickBot="1">
      <c r="A78" s="109" t="s">
        <v>339</v>
      </c>
      <c r="B78" s="110">
        <v>991</v>
      </c>
      <c r="C78" s="70">
        <v>2.4819027899999999E-2</v>
      </c>
      <c r="D78" s="15">
        <v>993</v>
      </c>
      <c r="E78" s="32">
        <f t="shared" si="34"/>
        <v>2.0181634712411706E-3</v>
      </c>
      <c r="F78" s="18">
        <f>IF(ISNUMBER(D78), $B91 * E78, "")</f>
        <v>302.72452068617559</v>
      </c>
      <c r="G78" s="31">
        <v>1000</v>
      </c>
      <c r="H78" s="32">
        <f t="shared" si="35"/>
        <v>9.0817356205852677E-3</v>
      </c>
      <c r="I78" s="91">
        <f>IF(ISNUMBER(G78), $B91 * H78, "")</f>
        <v>1362.2603430877903</v>
      </c>
      <c r="J78" s="15">
        <v>999</v>
      </c>
      <c r="K78" s="32">
        <f t="shared" si="36"/>
        <v>8.0726538849646822E-3</v>
      </c>
      <c r="L78" s="18">
        <f>IF(ISNUMBER(J78), $B91 * K78, "")</f>
        <v>1210.8980827447024</v>
      </c>
      <c r="M78" s="31">
        <v>994</v>
      </c>
      <c r="N78" s="32">
        <f t="shared" si="37"/>
        <v>3.0272452068617556E-3</v>
      </c>
      <c r="O78" s="18">
        <f>IF(ISNUMBER(M78), $B91 * N78, "")</f>
        <v>454.08678102926336</v>
      </c>
      <c r="Q78" s="146"/>
      <c r="R78" s="146"/>
      <c r="S78" s="146"/>
    </row>
    <row r="79" spans="1:19" ht="17.25" thickBot="1">
      <c r="A79" s="109" t="s">
        <v>201</v>
      </c>
      <c r="B79" s="110">
        <v>177</v>
      </c>
      <c r="C79" s="70">
        <v>2.3121387300000001E-2</v>
      </c>
      <c r="D79" s="15">
        <v>179</v>
      </c>
      <c r="E79" s="32">
        <f t="shared" si="34"/>
        <v>1.1299435028248588E-2</v>
      </c>
      <c r="F79" s="18">
        <f>IF(ISNUMBER(D79), $B91 * E79, "")</f>
        <v>1694.9152542372881</v>
      </c>
      <c r="G79" s="31">
        <v>181</v>
      </c>
      <c r="H79" s="32">
        <f t="shared" si="35"/>
        <v>2.2598870056497175E-2</v>
      </c>
      <c r="I79" s="91">
        <f>IF(ISNUMBER(G79), $B91 * H79, "")</f>
        <v>3389.8305084745762</v>
      </c>
      <c r="J79" s="15">
        <v>182</v>
      </c>
      <c r="K79" s="32">
        <f t="shared" si="36"/>
        <v>2.8248587570621469E-2</v>
      </c>
      <c r="L79" s="18">
        <f>IF(ISNUMBER(J79), $B91 * K79, "")</f>
        <v>4237.2881355932204</v>
      </c>
      <c r="M79" s="31">
        <v>182</v>
      </c>
      <c r="N79" s="32">
        <f t="shared" si="37"/>
        <v>2.8248587570621469E-2</v>
      </c>
      <c r="O79" s="18">
        <f>IF(ISNUMBER(M79), $B91 * N79, "")</f>
        <v>4237.2881355932204</v>
      </c>
      <c r="Q79" s="33"/>
      <c r="R79" s="33"/>
    </row>
    <row r="80" spans="1:19" ht="17.25" thickBot="1">
      <c r="A80" s="114" t="s">
        <v>199</v>
      </c>
      <c r="B80" s="115">
        <v>267</v>
      </c>
      <c r="C80" s="72">
        <v>2.2988505699999998E-2</v>
      </c>
      <c r="D80" s="24">
        <v>268</v>
      </c>
      <c r="E80" s="25">
        <f t="shared" si="34"/>
        <v>3.7453183520599251E-3</v>
      </c>
      <c r="F80" s="94">
        <f>IF(ISNUMBER(D80), $B91 * E80, "")</f>
        <v>561.79775280898878</v>
      </c>
      <c r="G80" s="92">
        <v>270</v>
      </c>
      <c r="H80" s="25">
        <f t="shared" si="35"/>
        <v>1.1235955056179775E-2</v>
      </c>
      <c r="I80" s="93">
        <f>IF(ISNUMBER(G80), $B91 * H80, "")</f>
        <v>1685.3932584269662</v>
      </c>
      <c r="J80" s="24">
        <v>270</v>
      </c>
      <c r="K80" s="25">
        <f t="shared" si="36"/>
        <v>1.1235955056179775E-2</v>
      </c>
      <c r="L80" s="94">
        <f>IF(ISNUMBER(J80), $B91 * K80, "")</f>
        <v>1685.3932584269662</v>
      </c>
      <c r="M80" s="92">
        <v>268</v>
      </c>
      <c r="N80" s="25">
        <f t="shared" si="37"/>
        <v>3.7453183520599251E-3</v>
      </c>
      <c r="O80" s="94">
        <f>IF(ISNUMBER(M80), $B91 * N80, "")</f>
        <v>561.79775280898878</v>
      </c>
      <c r="Q80" s="147"/>
      <c r="R80" s="148"/>
      <c r="S80" s="149"/>
    </row>
    <row r="81" spans="1:19">
      <c r="A81" s="107" t="s">
        <v>319</v>
      </c>
      <c r="B81" s="108">
        <v>313</v>
      </c>
      <c r="C81" s="69">
        <v>2.2875817E-2</v>
      </c>
      <c r="D81" s="13">
        <v>313</v>
      </c>
      <c r="E81" s="14">
        <f>IF(ISNUMBER(D81), (D81 - $B81) / $B81, "")</f>
        <v>0</v>
      </c>
      <c r="F81" s="16">
        <f>IF(ISNUMBER(D81), $B91 * E81, "")</f>
        <v>0</v>
      </c>
      <c r="G81" s="29">
        <v>316</v>
      </c>
      <c r="H81" s="14">
        <f>IF(ISNUMBER(G81), (G81 - $B81) / $B81, "")</f>
        <v>9.5846645367412137E-3</v>
      </c>
      <c r="I81" s="90">
        <f>IF(ISNUMBER(G81), $B91 * H81, "")</f>
        <v>1437.6996805111821</v>
      </c>
      <c r="J81" s="13">
        <v>314</v>
      </c>
      <c r="K81" s="14">
        <f>IF(ISNUMBER(J81), (J81 - $B81) / $B81, "")</f>
        <v>3.1948881789137379E-3</v>
      </c>
      <c r="L81" s="16">
        <f>IF(ISNUMBER(J81), $B91 * K81, "")</f>
        <v>479.23322683706067</v>
      </c>
      <c r="M81" s="29">
        <v>310</v>
      </c>
      <c r="N81" s="14">
        <f>IF(ISNUMBER(M81), (M81 - $B81) / $B81, "")</f>
        <v>-9.5846645367412137E-3</v>
      </c>
      <c r="O81" s="16">
        <f>IF(ISNUMBER(M81), $B91 * N81, "")</f>
        <v>-1437.6996805111821</v>
      </c>
      <c r="Q81" s="150"/>
      <c r="R81" s="151"/>
      <c r="S81" s="152"/>
    </row>
    <row r="82" spans="1:19" ht="17.25" thickBot="1">
      <c r="A82" s="109" t="s">
        <v>109</v>
      </c>
      <c r="B82" s="110">
        <v>951</v>
      </c>
      <c r="C82" s="70">
        <v>2.2580645199999999E-2</v>
      </c>
      <c r="D82" s="15">
        <v>949</v>
      </c>
      <c r="E82" s="32">
        <f t="shared" ref="E82:E85" si="38">IF(ISNUMBER(D82), (D82 - $B82) / $B82, "")</f>
        <v>-2.103049421661409E-3</v>
      </c>
      <c r="F82" s="18">
        <f>IF(ISNUMBER(D82), $B91 * E82, "")</f>
        <v>-315.45741324921136</v>
      </c>
      <c r="G82" s="31">
        <v>955</v>
      </c>
      <c r="H82" s="32">
        <f t="shared" ref="H82:H85" si="39">IF(ISNUMBER(G82), (G82 - $B82) / $B82, "")</f>
        <v>4.206098843322818E-3</v>
      </c>
      <c r="I82" s="91">
        <f>IF(ISNUMBER(G82), $B91 * H82, "")</f>
        <v>630.91482649842271</v>
      </c>
      <c r="J82" s="15">
        <v>953</v>
      </c>
      <c r="K82" s="32">
        <f t="shared" ref="K82:K85" si="40">IF(ISNUMBER(J82), (J82 - $B82) / $B82, "")</f>
        <v>2.103049421661409E-3</v>
      </c>
      <c r="L82" s="18">
        <f>IF(ISNUMBER(J82), $B91 * K82, "")</f>
        <v>315.45741324921136</v>
      </c>
      <c r="M82" s="31">
        <v>945</v>
      </c>
      <c r="N82" s="32">
        <f t="shared" ref="N82:N85" si="41">IF(ISNUMBER(M82), (M82 - $B82) / $B82, "")</f>
        <v>-6.3091482649842269E-3</v>
      </c>
      <c r="O82" s="18">
        <f>IF(ISNUMBER(M82), $B91 * N82, "")</f>
        <v>-946.37223974763401</v>
      </c>
      <c r="Q82" s="153"/>
      <c r="R82" s="154"/>
      <c r="S82" s="155"/>
    </row>
    <row r="83" spans="1:19" ht="17.25" thickBot="1">
      <c r="A83" s="109" t="s">
        <v>341</v>
      </c>
      <c r="B83" s="110">
        <v>623</v>
      </c>
      <c r="C83" s="70">
        <v>2.1311475400000002E-2</v>
      </c>
      <c r="D83" s="15">
        <v>625</v>
      </c>
      <c r="E83" s="32">
        <f t="shared" si="38"/>
        <v>3.2102728731942215E-3</v>
      </c>
      <c r="F83" s="18">
        <f>IF(ISNUMBER(D83), $B91 * E83, "")</f>
        <v>481.54093097913324</v>
      </c>
      <c r="G83" s="31">
        <v>635</v>
      </c>
      <c r="H83" s="32">
        <f t="shared" si="39"/>
        <v>1.9261637239165328E-2</v>
      </c>
      <c r="I83" s="91">
        <f>IF(ISNUMBER(G83), $B91 * H83, "")</f>
        <v>2889.2455858747994</v>
      </c>
      <c r="J83" s="15">
        <v>634</v>
      </c>
      <c r="K83" s="32">
        <f t="shared" si="40"/>
        <v>1.7656500802568219E-2</v>
      </c>
      <c r="L83" s="18">
        <f>IF(ISNUMBER(J83), $B91 * K83, "")</f>
        <v>2648.4751203852329</v>
      </c>
      <c r="M83" s="31">
        <v>629</v>
      </c>
      <c r="N83" s="32">
        <f t="shared" si="41"/>
        <v>9.630818619582664E-3</v>
      </c>
      <c r="O83" s="18">
        <f>IF(ISNUMBER(M83), $B91 * N83, "")</f>
        <v>1444.6227929373997</v>
      </c>
      <c r="Q83" s="146"/>
      <c r="R83" s="146"/>
      <c r="S83" s="146"/>
    </row>
    <row r="84" spans="1:19" ht="17.25" thickBot="1">
      <c r="A84" s="109" t="s">
        <v>89</v>
      </c>
      <c r="B84" s="110">
        <v>440</v>
      </c>
      <c r="C84" s="70">
        <v>2.0881670500000001E-2</v>
      </c>
      <c r="D84" s="15">
        <v>438</v>
      </c>
      <c r="E84" s="32">
        <f t="shared" si="38"/>
        <v>-4.5454545454545452E-3</v>
      </c>
      <c r="F84" s="18">
        <f>IF(ISNUMBER(D84), $B91 * E84, "")</f>
        <v>-681.81818181818176</v>
      </c>
      <c r="G84" s="31">
        <v>444</v>
      </c>
      <c r="H84" s="32">
        <f t="shared" si="39"/>
        <v>9.0909090909090905E-3</v>
      </c>
      <c r="I84" s="91">
        <f>IF(ISNUMBER(G84), $B91 * H84, "")</f>
        <v>1363.6363636363635</v>
      </c>
      <c r="J84" s="15">
        <v>441</v>
      </c>
      <c r="K84" s="32">
        <f t="shared" si="40"/>
        <v>2.2727272727272726E-3</v>
      </c>
      <c r="L84" s="18">
        <f>IF(ISNUMBER(J84), $B91 * K84, "")</f>
        <v>340.90909090909088</v>
      </c>
      <c r="M84" s="31">
        <v>439</v>
      </c>
      <c r="N84" s="32">
        <f t="shared" si="41"/>
        <v>-2.2727272727272726E-3</v>
      </c>
      <c r="O84" s="18">
        <f>IF(ISNUMBER(M84), $B91 * N84, "")</f>
        <v>-340.90909090909088</v>
      </c>
      <c r="Q84" s="156"/>
      <c r="R84" s="156"/>
      <c r="S84" s="156"/>
    </row>
    <row r="85" spans="1:19" ht="17.25" thickBot="1">
      <c r="A85" s="111" t="s">
        <v>95</v>
      </c>
      <c r="B85" s="112">
        <v>932</v>
      </c>
      <c r="C85" s="71">
        <v>1.9693654299999998E-2</v>
      </c>
      <c r="D85" s="20">
        <v>943</v>
      </c>
      <c r="E85" s="21">
        <f t="shared" si="38"/>
        <v>1.1802575107296138E-2</v>
      </c>
      <c r="F85" s="22">
        <f>IF(ISNUMBER(D85), $B91 * E85, "")</f>
        <v>1770.3862660944208</v>
      </c>
      <c r="G85" s="30">
        <v>952</v>
      </c>
      <c r="H85" s="21">
        <f t="shared" si="39"/>
        <v>2.1459227467811159E-2</v>
      </c>
      <c r="I85" s="95">
        <f>IF(ISNUMBER(G85), $B91 * H85, "")</f>
        <v>3218.8841201716737</v>
      </c>
      <c r="J85" s="20">
        <v>954</v>
      </c>
      <c r="K85" s="21">
        <f t="shared" si="40"/>
        <v>2.3605150214592276E-2</v>
      </c>
      <c r="L85" s="22">
        <f>IF(ISNUMBER(J85), $B91 * K85, "")</f>
        <v>3540.7725321888415</v>
      </c>
      <c r="M85" s="30">
        <v>961</v>
      </c>
      <c r="N85" s="21">
        <f t="shared" si="41"/>
        <v>3.1115879828326181E-2</v>
      </c>
      <c r="O85" s="22">
        <f>IF(ISNUMBER(M85), $B91 * N85, "")</f>
        <v>4667.3819742489268</v>
      </c>
      <c r="Q85" s="156"/>
      <c r="R85" s="156"/>
      <c r="S85" s="156"/>
    </row>
    <row r="86" spans="1:19" ht="17.25" thickBot="1">
      <c r="A86" s="109" t="s">
        <v>79</v>
      </c>
      <c r="B86" s="113">
        <v>217</v>
      </c>
      <c r="C86" s="73">
        <v>1.87793427E-2</v>
      </c>
      <c r="D86" s="96">
        <v>221</v>
      </c>
      <c r="E86" s="97">
        <f>IF(ISNUMBER(D86), (D86 - $B86) / $B86, "")</f>
        <v>1.8433179723502304E-2</v>
      </c>
      <c r="F86" s="98">
        <f>IF(ISNUMBER(D86), $B91 * E86, "")</f>
        <v>2764.9769585253457</v>
      </c>
      <c r="G86" s="99">
        <v>222</v>
      </c>
      <c r="H86" s="97">
        <f>IF(ISNUMBER(G86), (G86 - $B86) / $B86, "")</f>
        <v>2.3041474654377881E-2</v>
      </c>
      <c r="I86" s="100">
        <f>IF(ISNUMBER(G86), $B91 * H86, "")</f>
        <v>3456.221198156682</v>
      </c>
      <c r="J86" s="96">
        <v>220</v>
      </c>
      <c r="K86" s="97">
        <f>IF(ISNUMBER(J86), (J86 - $B86) / $B86, "")</f>
        <v>1.3824884792626729E-2</v>
      </c>
      <c r="L86" s="98">
        <f>IF(ISNUMBER(J86), $B91 * K86, "")</f>
        <v>2073.7327188940094</v>
      </c>
      <c r="M86" s="99">
        <v>218</v>
      </c>
      <c r="N86" s="97">
        <f>IF(ISNUMBER(M86), (M86 - $B86) / $B86, "")</f>
        <v>4.608294930875576E-3</v>
      </c>
      <c r="O86" s="98">
        <f>IF(ISNUMBER(M86), $B91 * N86, "")</f>
        <v>691.24423963133643</v>
      </c>
      <c r="Q86" s="146"/>
      <c r="R86" s="146"/>
      <c r="S86" s="146"/>
    </row>
    <row r="87" spans="1:19" ht="17.25" thickBot="1">
      <c r="A87" s="109" t="s">
        <v>326</v>
      </c>
      <c r="B87" s="110">
        <v>230</v>
      </c>
      <c r="C87" s="70">
        <v>1.7699115000000001E-2</v>
      </c>
      <c r="D87" s="15">
        <v>230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235</v>
      </c>
      <c r="H87" s="32">
        <f t="shared" ref="H87:H90" si="43">IF(ISNUMBER(G87), (G87 - $B87) / $B87, "")</f>
        <v>2.1739130434782608E-2</v>
      </c>
      <c r="I87" s="91">
        <f>IF(ISNUMBER(G87), $B91 * H87, "")</f>
        <v>3260.869565217391</v>
      </c>
      <c r="J87" s="15">
        <v>236</v>
      </c>
      <c r="K87" s="32">
        <f t="shared" ref="K87:K90" si="44">IF(ISNUMBER(J87), (J87 - $B87) / $B87, "")</f>
        <v>2.6086956521739129E-2</v>
      </c>
      <c r="L87" s="18">
        <f>IF(ISNUMBER(J87), $B91 * K87, "")</f>
        <v>3913.0434782608695</v>
      </c>
      <c r="M87" s="31">
        <v>232</v>
      </c>
      <c r="N87" s="32">
        <f t="shared" ref="N87:N90" si="45">IF(ISNUMBER(M87), (M87 - $B87) / $B87, "")</f>
        <v>8.6956521739130436E-3</v>
      </c>
      <c r="O87" s="18">
        <f>IF(ISNUMBER(M87), $B91 * N87, "")</f>
        <v>1304.3478260869565</v>
      </c>
      <c r="Q87" s="146"/>
      <c r="R87" s="146"/>
      <c r="S87" s="146"/>
    </row>
    <row r="88" spans="1:19" ht="17.25" thickBot="1">
      <c r="A88" s="109" t="s">
        <v>68</v>
      </c>
      <c r="B88" s="110">
        <v>231</v>
      </c>
      <c r="C88" s="70">
        <v>1.76211454E-2</v>
      </c>
      <c r="D88" s="15">
        <v>229</v>
      </c>
      <c r="E88" s="32">
        <f t="shared" si="42"/>
        <v>-8.658008658008658E-3</v>
      </c>
      <c r="F88" s="18">
        <f>IF(ISNUMBER(D88), $B91 * E88, "")</f>
        <v>-1298.7012987012988</v>
      </c>
      <c r="G88" s="31">
        <v>238</v>
      </c>
      <c r="H88" s="32">
        <f t="shared" si="43"/>
        <v>3.0303030303030304E-2</v>
      </c>
      <c r="I88" s="91">
        <f>IF(ISNUMBER(G88), $B91 * H88, "")</f>
        <v>4545.454545454546</v>
      </c>
      <c r="J88" s="15">
        <v>239</v>
      </c>
      <c r="K88" s="32">
        <f t="shared" si="44"/>
        <v>3.4632034632034632E-2</v>
      </c>
      <c r="L88" s="18">
        <f>IF(ISNUMBER(J88), $B91 * K88, "")</f>
        <v>5194.8051948051952</v>
      </c>
      <c r="M88" s="31">
        <v>241</v>
      </c>
      <c r="N88" s="32">
        <f t="shared" si="45"/>
        <v>4.3290043290043288E-2</v>
      </c>
      <c r="O88" s="18">
        <f>IF(ISNUMBER(M88), $B91 * N88, "")</f>
        <v>6493.5064935064929</v>
      </c>
      <c r="Q88" s="146"/>
      <c r="R88" s="146"/>
      <c r="S88" s="146"/>
    </row>
    <row r="89" spans="1:19">
      <c r="A89" s="109" t="s">
        <v>85</v>
      </c>
      <c r="B89" s="110">
        <v>130</v>
      </c>
      <c r="C89" s="70">
        <v>1.5625E-2</v>
      </c>
      <c r="D89" s="15">
        <v>129</v>
      </c>
      <c r="E89" s="32">
        <f t="shared" si="42"/>
        <v>-7.6923076923076927E-3</v>
      </c>
      <c r="F89" s="18">
        <f>IF(ISNUMBER(D89), $B91 * E89, "")</f>
        <v>-1153.8461538461538</v>
      </c>
      <c r="G89" s="31">
        <v>131</v>
      </c>
      <c r="H89" s="32">
        <f t="shared" si="43"/>
        <v>7.6923076923076927E-3</v>
      </c>
      <c r="I89" s="91">
        <f>IF(ISNUMBER(G89), $B91 * H89, "")</f>
        <v>1153.8461538461538</v>
      </c>
      <c r="J89" s="15">
        <v>131</v>
      </c>
      <c r="K89" s="32">
        <f t="shared" si="44"/>
        <v>7.6923076923076927E-3</v>
      </c>
      <c r="L89" s="18">
        <f>IF(ISNUMBER(J89), $B91 * K89, "")</f>
        <v>1153.8461538461538</v>
      </c>
      <c r="M89" s="31">
        <v>130</v>
      </c>
      <c r="N89" s="32">
        <f t="shared" si="45"/>
        <v>0</v>
      </c>
      <c r="O89" s="18">
        <f>IF(ISNUMBER(M89), $B91 * N89, "")</f>
        <v>0</v>
      </c>
      <c r="Q89" s="135"/>
      <c r="R89" s="136"/>
      <c r="S89" s="137"/>
    </row>
    <row r="90" spans="1:19" ht="17.25" thickBot="1">
      <c r="A90" s="114" t="s">
        <v>330</v>
      </c>
      <c r="B90" s="115">
        <v>260</v>
      </c>
      <c r="C90" s="72">
        <v>1.5625E-2</v>
      </c>
      <c r="D90" s="24">
        <v>259</v>
      </c>
      <c r="E90" s="25">
        <f t="shared" si="42"/>
        <v>-3.8461538461538464E-3</v>
      </c>
      <c r="F90" s="94">
        <f>IF(ISNUMBER(D90), $B91 * E90, "")</f>
        <v>-576.92307692307691</v>
      </c>
      <c r="G90" s="92">
        <v>262</v>
      </c>
      <c r="H90" s="25">
        <f t="shared" si="43"/>
        <v>7.6923076923076927E-3</v>
      </c>
      <c r="I90" s="93">
        <f>IF(ISNUMBER(G90), $B91 * H90, "")</f>
        <v>1153.8461538461538</v>
      </c>
      <c r="J90" s="24">
        <v>261</v>
      </c>
      <c r="K90" s="25">
        <f t="shared" si="44"/>
        <v>3.8461538461538464E-3</v>
      </c>
      <c r="L90" s="94">
        <f>IF(ISNUMBER(J90), $B91 * K90, "")</f>
        <v>576.92307692307691</v>
      </c>
      <c r="M90" s="92">
        <v>260</v>
      </c>
      <c r="N90" s="25">
        <f t="shared" si="45"/>
        <v>0</v>
      </c>
      <c r="O90" s="94">
        <f>IF(ISNUMBER(M90), $B91 * N90, "")</f>
        <v>0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3.2014490152038493E-3</v>
      </c>
      <c r="F91" s="28">
        <f>SUM(F71:F90)</f>
        <v>9604.3470456115501</v>
      </c>
      <c r="G91" s="26" t="s">
        <v>258</v>
      </c>
      <c r="H91" s="27">
        <f>IF(COUNT(H71:H90), SUM(H71:H90) / COUNT(H71:H90), 0)</f>
        <v>1.4299830616270692E-2</v>
      </c>
      <c r="I91" s="28">
        <f>SUM(I71:I90)</f>
        <v>42899.491848812089</v>
      </c>
      <c r="J91" s="26" t="s">
        <v>258</v>
      </c>
      <c r="K91" s="27">
        <f>IF(COUNT(K71:K90), SUM(K71:K90) / COUNT(K71:K90), 0)</f>
        <v>1.1862446009217065E-2</v>
      </c>
      <c r="L91" s="28">
        <f>SUM(L71:L90)</f>
        <v>35587.338027651203</v>
      </c>
      <c r="M91" s="26" t="s">
        <v>258</v>
      </c>
      <c r="N91" s="27">
        <f>IF(COUNT(N71:N90), SUM(N71:N90) / COUNT(N71:N90), 0)</f>
        <v>5.6500279466349156E-3</v>
      </c>
      <c r="O91" s="28">
        <f>SUM(O71:O90)</f>
        <v>16950.083839904742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21539000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1.0224474E-3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2023-01-03(화) 오전 00:00</v>
      </c>
      <c r="C96" s="198"/>
      <c r="D96" s="170" t="str">
        <f>TEXT($G$1, "[$-ko-KR]yyyy-mm-dd(ddd) ") &amp; "오후 14:00"</f>
        <v>2023-01-03(화) 오후 14:00</v>
      </c>
      <c r="E96" s="171"/>
      <c r="F96" s="172"/>
      <c r="G96" s="170" t="str">
        <f>TEXT($G$1, "[$-ko-KR]yyyy-mm-dd(ddd) ") &amp; "오후 19:00"</f>
        <v>2023-01-03(화) 오후 19:00</v>
      </c>
      <c r="H96" s="171"/>
      <c r="I96" s="172"/>
      <c r="J96" s="170" t="str">
        <f>TEXT($G$1, "[$-ko-KR]yyyy-mm-dd(ddd) ") &amp; "오후 21:00"</f>
        <v>2023-01-03(화) 오후 21:00</v>
      </c>
      <c r="K96" s="171"/>
      <c r="L96" s="172"/>
      <c r="M96" s="170" t="str">
        <f>TEXT($G$1+1, "[$-ko-KR]yyyy-mm-dd(ddd) ") &amp; "오전 00:00"</f>
        <v>2023-01-04(수)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343</v>
      </c>
      <c r="B98" s="108">
        <v>14150</v>
      </c>
      <c r="C98" s="69">
        <v>0.1159305994</v>
      </c>
      <c r="D98" s="13">
        <v>14410</v>
      </c>
      <c r="E98" s="14">
        <f>IF(ISNUMBER(D98), (D98 - $B98) / $B98, "")</f>
        <v>1.8374558303886925E-2</v>
      </c>
      <c r="F98" s="16">
        <f>IF(ISNUMBER(D98), $B118 * E98, "")</f>
        <v>2756.1837455830387</v>
      </c>
      <c r="G98" s="29">
        <v>15140</v>
      </c>
      <c r="H98" s="14">
        <f>IF(ISNUMBER(G98), (G98 - $B98) / $B98, "")</f>
        <v>6.9964664310954064E-2</v>
      </c>
      <c r="I98" s="90">
        <f>IF(ISNUMBER(G98), $B118 * H98, "")</f>
        <v>10494.69964664311</v>
      </c>
      <c r="J98" s="13">
        <v>15170</v>
      </c>
      <c r="K98" s="14">
        <f>IF(ISNUMBER(J98), (J98 - $B98) / $B98, "")</f>
        <v>7.2084805653710241E-2</v>
      </c>
      <c r="L98" s="16">
        <f>IF(ISNUMBER(J98), $B118 * K98, "")</f>
        <v>10812.720848056537</v>
      </c>
      <c r="M98" s="29">
        <v>15720</v>
      </c>
      <c r="N98" s="14">
        <f>IF(ISNUMBER(M98), (M98 - $B98) / $B98, "")</f>
        <v>0.11095406360424029</v>
      </c>
      <c r="O98" s="16">
        <f>IF(ISNUMBER(M98), $B118 * N98, "")</f>
        <v>16643.109540636044</v>
      </c>
      <c r="Q98" s="156"/>
      <c r="R98" s="156"/>
      <c r="S98" s="156"/>
    </row>
    <row r="99" spans="1:19" ht="17.25" thickBot="1">
      <c r="A99" s="109" t="s">
        <v>328</v>
      </c>
      <c r="B99" s="110">
        <v>4790</v>
      </c>
      <c r="C99" s="70">
        <v>7.0391061500000005E-2</v>
      </c>
      <c r="D99" s="15">
        <v>4710</v>
      </c>
      <c r="E99" s="32">
        <f t="shared" ref="E99:E102" si="46">IF(ISNUMBER(D99), (D99 - $B99) / $B99, "")</f>
        <v>-1.6701461377870562E-2</v>
      </c>
      <c r="F99" s="18">
        <f>IF(ISNUMBER(D99), $B118 * E99, "")</f>
        <v>-2505.2192066805842</v>
      </c>
      <c r="G99" s="31">
        <v>4845</v>
      </c>
      <c r="H99" s="32">
        <f t="shared" ref="H99:H102" si="47">IF(ISNUMBER(G99), (G99 - $B99) / $B99, "")</f>
        <v>1.1482254697286013E-2</v>
      </c>
      <c r="I99" s="91">
        <f>IF(ISNUMBER(G99), $B118 * H99, "")</f>
        <v>1722.338204592902</v>
      </c>
      <c r="J99" s="15">
        <v>4810</v>
      </c>
      <c r="K99" s="32">
        <f t="shared" ref="K99:K102" si="48">IF(ISNUMBER(J99), (J99 - $B99) / $B99, "")</f>
        <v>4.1753653444676405E-3</v>
      </c>
      <c r="L99" s="18">
        <f>IF(ISNUMBER(J99), $B118 * K99, "")</f>
        <v>626.30480167014605</v>
      </c>
      <c r="M99" s="31">
        <v>4815</v>
      </c>
      <c r="N99" s="32">
        <f t="shared" ref="N99:N102" si="49">IF(ISNUMBER(M99), (M99 - $B99) / $B99, "")</f>
        <v>5.2192066805845511E-3</v>
      </c>
      <c r="O99" s="18">
        <f>IF(ISNUMBER(M99), $B118 * N99, "")</f>
        <v>782.88100208768265</v>
      </c>
      <c r="Q99" s="156"/>
      <c r="R99" s="156"/>
      <c r="S99" s="156"/>
    </row>
    <row r="100" spans="1:19" ht="17.25" thickBot="1">
      <c r="A100" s="109" t="s">
        <v>111</v>
      </c>
      <c r="B100" s="110">
        <v>518</v>
      </c>
      <c r="C100" s="70">
        <v>5.0709939099999997E-2</v>
      </c>
      <c r="D100" s="15">
        <v>515</v>
      </c>
      <c r="E100" s="32">
        <f t="shared" si="46"/>
        <v>-5.7915057915057912E-3</v>
      </c>
      <c r="F100" s="18">
        <f>IF(ISNUMBER(D100), $B118 * E100, "")</f>
        <v>-868.72586872586874</v>
      </c>
      <c r="G100" s="31">
        <v>527</v>
      </c>
      <c r="H100" s="32">
        <f t="shared" si="47"/>
        <v>1.7374517374517374E-2</v>
      </c>
      <c r="I100" s="91">
        <f>IF(ISNUMBER(G100), $B118 * H100, "")</f>
        <v>2606.1776061776063</v>
      </c>
      <c r="J100" s="15">
        <v>521</v>
      </c>
      <c r="K100" s="32">
        <f t="shared" si="48"/>
        <v>5.7915057915057912E-3</v>
      </c>
      <c r="L100" s="18">
        <f>IF(ISNUMBER(J100), $B118 * K100, "")</f>
        <v>868.72586872586874</v>
      </c>
      <c r="M100" s="31">
        <v>517</v>
      </c>
      <c r="N100" s="32">
        <f t="shared" si="49"/>
        <v>-1.9305019305019305E-3</v>
      </c>
      <c r="O100" s="18">
        <f>IF(ISNUMBER(M100), $B118 * N100, "")</f>
        <v>-289.57528957528956</v>
      </c>
      <c r="Q100" s="146"/>
      <c r="R100" s="146"/>
      <c r="S100" s="146"/>
    </row>
    <row r="101" spans="1:19" ht="17.25" thickBot="1">
      <c r="A101" s="109" t="s">
        <v>73</v>
      </c>
      <c r="B101" s="110">
        <v>12600</v>
      </c>
      <c r="C101" s="70">
        <v>4.7381546099999998E-2</v>
      </c>
      <c r="D101" s="15">
        <v>12620</v>
      </c>
      <c r="E101" s="32">
        <f t="shared" si="46"/>
        <v>1.5873015873015873E-3</v>
      </c>
      <c r="F101" s="18">
        <f>IF(ISNUMBER(D101), $B118 * E101, "")</f>
        <v>238.0952380952381</v>
      </c>
      <c r="G101" s="31">
        <v>13060</v>
      </c>
      <c r="H101" s="32">
        <f t="shared" si="47"/>
        <v>3.650793650793651E-2</v>
      </c>
      <c r="I101" s="91">
        <f>IF(ISNUMBER(G101), $B118 * H101, "")</f>
        <v>5476.1904761904761</v>
      </c>
      <c r="J101" s="15">
        <v>12960</v>
      </c>
      <c r="K101" s="32">
        <f t="shared" si="48"/>
        <v>2.8571428571428571E-2</v>
      </c>
      <c r="L101" s="18">
        <f>IF(ISNUMBER(J101), $B118 * K101, "")</f>
        <v>4285.7142857142853</v>
      </c>
      <c r="M101" s="31">
        <v>12960</v>
      </c>
      <c r="N101" s="32">
        <f t="shared" si="49"/>
        <v>2.8571428571428571E-2</v>
      </c>
      <c r="O101" s="18">
        <f>IF(ISNUMBER(M101), $B118 * N101, "")</f>
        <v>4285.7142857142853</v>
      </c>
      <c r="Q101" s="146"/>
      <c r="R101" s="146"/>
      <c r="S101" s="146"/>
    </row>
    <row r="102" spans="1:19" ht="17.25" thickBot="1">
      <c r="A102" s="111" t="s">
        <v>191</v>
      </c>
      <c r="B102" s="112">
        <v>50.2</v>
      </c>
      <c r="C102" s="71">
        <v>3.9337474099999999E-2</v>
      </c>
      <c r="D102" s="20">
        <v>50.9</v>
      </c>
      <c r="E102" s="21">
        <f t="shared" si="46"/>
        <v>1.3944223107569636E-2</v>
      </c>
      <c r="F102" s="22">
        <f>IF(ISNUMBER(D102), $B118 * E102, "")</f>
        <v>2091.6334661354454</v>
      </c>
      <c r="G102" s="30">
        <v>50.7</v>
      </c>
      <c r="H102" s="21">
        <f t="shared" si="47"/>
        <v>9.9601593625498006E-3</v>
      </c>
      <c r="I102" s="95">
        <f>IF(ISNUMBER(G102), $B118 * H102, "")</f>
        <v>1494.0239043824702</v>
      </c>
      <c r="J102" s="20">
        <v>50.5</v>
      </c>
      <c r="K102" s="21">
        <f t="shared" si="48"/>
        <v>5.9760956175298231E-3</v>
      </c>
      <c r="L102" s="22">
        <f>IF(ISNUMBER(J102), $B118 * K102, "")</f>
        <v>896.41434262947348</v>
      </c>
      <c r="M102" s="30">
        <v>49.8</v>
      </c>
      <c r="N102" s="21">
        <f t="shared" si="49"/>
        <v>-7.9681274900399533E-3</v>
      </c>
      <c r="O102" s="22">
        <f>IF(ISNUMBER(M102), $B118 * N102, "")</f>
        <v>-1195.2191235059929</v>
      </c>
      <c r="Q102" s="146"/>
      <c r="R102" s="146"/>
      <c r="S102" s="146"/>
    </row>
    <row r="103" spans="1:19" ht="17.25" thickBot="1">
      <c r="A103" s="109" t="s">
        <v>169</v>
      </c>
      <c r="B103" s="113">
        <v>226</v>
      </c>
      <c r="C103" s="73">
        <v>3.6697247699999998E-2</v>
      </c>
      <c r="D103" s="96">
        <v>232</v>
      </c>
      <c r="E103" s="97">
        <f>IF(ISNUMBER(D103), (D103 - $B103) / $B103, "")</f>
        <v>2.6548672566371681E-2</v>
      </c>
      <c r="F103" s="98">
        <f>IF(ISNUMBER(D103), $B118 * E103, "")</f>
        <v>3982.3008849557523</v>
      </c>
      <c r="G103" s="99">
        <v>233</v>
      </c>
      <c r="H103" s="97">
        <f>IF(ISNUMBER(G103), (G103 - $B103) / $B103, "")</f>
        <v>3.0973451327433628E-2</v>
      </c>
      <c r="I103" s="100">
        <f>IF(ISNUMBER(G103), $B118 * H103, "")</f>
        <v>4646.0176991150438</v>
      </c>
      <c r="J103" s="96">
        <v>233</v>
      </c>
      <c r="K103" s="97">
        <f>IF(ISNUMBER(J103), (J103 - $B103) / $B103, "")</f>
        <v>3.0973451327433628E-2</v>
      </c>
      <c r="L103" s="98">
        <f>IF(ISNUMBER(J103), $B118 * K103, "")</f>
        <v>4646.0176991150438</v>
      </c>
      <c r="M103" s="99">
        <v>228</v>
      </c>
      <c r="N103" s="97">
        <f>IF(ISNUMBER(M103), (M103 - $B103) / $B103, "")</f>
        <v>8.8495575221238937E-3</v>
      </c>
      <c r="O103" s="98">
        <f>IF(ISNUMBER(M103), $B118 * N103, "")</f>
        <v>1327.4336283185839</v>
      </c>
      <c r="Q103" s="146"/>
      <c r="R103" s="146"/>
      <c r="S103" s="146"/>
    </row>
    <row r="104" spans="1:19" ht="17.25" thickBot="1">
      <c r="A104" s="109" t="s">
        <v>60</v>
      </c>
      <c r="B104" s="110">
        <v>395</v>
      </c>
      <c r="C104" s="70">
        <v>3.1331592700000001E-2</v>
      </c>
      <c r="D104" s="15">
        <v>395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399</v>
      </c>
      <c r="H104" s="32">
        <f t="shared" ref="H104:H107" si="51">IF(ISNUMBER(G104), (G104 - $B104) / $B104, "")</f>
        <v>1.0126582278481013E-2</v>
      </c>
      <c r="I104" s="91">
        <f>IF(ISNUMBER(G104), $B118 * H104, "")</f>
        <v>1518.9873417721519</v>
      </c>
      <c r="J104" s="15">
        <v>396</v>
      </c>
      <c r="K104" s="32">
        <f t="shared" ref="K104:K107" si="52">IF(ISNUMBER(J104), (J104 - $B104) / $B104, "")</f>
        <v>2.5316455696202532E-3</v>
      </c>
      <c r="L104" s="18">
        <f>IF(ISNUMBER(J104), $B118 * K104, "")</f>
        <v>379.74683544303798</v>
      </c>
      <c r="M104" s="31">
        <v>394</v>
      </c>
      <c r="N104" s="32">
        <f t="shared" ref="N104:N107" si="53">IF(ISNUMBER(M104), (M104 - $B104) / $B104, "")</f>
        <v>-2.5316455696202532E-3</v>
      </c>
      <c r="O104" s="18">
        <f>IF(ISNUMBER(M104), $B118 * N104, "")</f>
        <v>-379.74683544303798</v>
      </c>
      <c r="Q104" s="146"/>
      <c r="R104" s="146"/>
      <c r="S104" s="146"/>
    </row>
    <row r="105" spans="1:19" ht="17.25" thickBot="1">
      <c r="A105" s="109" t="s">
        <v>128</v>
      </c>
      <c r="B105" s="110">
        <v>5720</v>
      </c>
      <c r="C105" s="70">
        <v>3.06306306E-2</v>
      </c>
      <c r="D105" s="15">
        <v>5710</v>
      </c>
      <c r="E105" s="32">
        <f t="shared" si="50"/>
        <v>-1.7482517482517483E-3</v>
      </c>
      <c r="F105" s="18">
        <f>IF(ISNUMBER(D105), $B118 * E105, "")</f>
        <v>-262.23776223776224</v>
      </c>
      <c r="G105" s="31">
        <v>5805</v>
      </c>
      <c r="H105" s="32">
        <f t="shared" si="51"/>
        <v>1.486013986013986E-2</v>
      </c>
      <c r="I105" s="91">
        <f>IF(ISNUMBER(G105), $B118 * H105, "")</f>
        <v>2229.0209790209792</v>
      </c>
      <c r="J105" s="15">
        <v>5800</v>
      </c>
      <c r="K105" s="32">
        <f t="shared" si="52"/>
        <v>1.3986013986013986E-2</v>
      </c>
      <c r="L105" s="18">
        <f>IF(ISNUMBER(J105), $B118 * K105, "")</f>
        <v>2097.9020979020979</v>
      </c>
      <c r="M105" s="31">
        <v>5750</v>
      </c>
      <c r="N105" s="32">
        <f t="shared" si="53"/>
        <v>5.244755244755245E-3</v>
      </c>
      <c r="O105" s="18">
        <f>IF(ISNUMBER(M105), $B118 * N105, "")</f>
        <v>786.71328671328672</v>
      </c>
      <c r="Q105" s="146"/>
      <c r="R105" s="146"/>
      <c r="S105" s="146"/>
    </row>
    <row r="106" spans="1:19" ht="17.25" thickBot="1">
      <c r="A106" s="109" t="s">
        <v>77</v>
      </c>
      <c r="B106" s="110">
        <v>126850</v>
      </c>
      <c r="C106" s="70">
        <v>2.96266234E-2</v>
      </c>
      <c r="D106" s="15">
        <v>127000</v>
      </c>
      <c r="E106" s="32">
        <f t="shared" si="50"/>
        <v>1.1824990145841545E-3</v>
      </c>
      <c r="F106" s="18">
        <f>IF(ISNUMBER(D106), $B118 * E106, "")</f>
        <v>177.37485218762316</v>
      </c>
      <c r="G106" s="31">
        <v>128300</v>
      </c>
      <c r="H106" s="32">
        <f t="shared" si="51"/>
        <v>1.1430823807646828E-2</v>
      </c>
      <c r="I106" s="91">
        <f>IF(ISNUMBER(G106), $B118 * H106, "")</f>
        <v>1714.6235711470242</v>
      </c>
      <c r="J106" s="15">
        <v>128900</v>
      </c>
      <c r="K106" s="32">
        <f t="shared" si="52"/>
        <v>1.6160819865983445E-2</v>
      </c>
      <c r="L106" s="18">
        <f>IF(ISNUMBER(J106), $B118 * K106, "")</f>
        <v>2424.1229798975169</v>
      </c>
      <c r="M106" s="31">
        <v>128250</v>
      </c>
      <c r="N106" s="32">
        <f t="shared" si="53"/>
        <v>1.1036657469452109E-2</v>
      </c>
      <c r="O106" s="18">
        <f>IF(ISNUMBER(M106), $B118 * N106, "")</f>
        <v>1655.4986204178165</v>
      </c>
      <c r="Q106" s="33"/>
      <c r="R106" s="33"/>
    </row>
    <row r="107" spans="1:19" ht="17.25" thickBot="1">
      <c r="A107" s="114" t="s">
        <v>120</v>
      </c>
      <c r="B107" s="115">
        <v>102</v>
      </c>
      <c r="C107" s="72">
        <v>2.8225806499999999E-2</v>
      </c>
      <c r="D107" s="24">
        <v>102</v>
      </c>
      <c r="E107" s="25">
        <f t="shared" si="50"/>
        <v>0</v>
      </c>
      <c r="F107" s="94">
        <f>IF(ISNUMBER(D107), $B118 * E107, "")</f>
        <v>0</v>
      </c>
      <c r="G107" s="92">
        <v>102</v>
      </c>
      <c r="H107" s="25">
        <f t="shared" si="51"/>
        <v>0</v>
      </c>
      <c r="I107" s="93">
        <f>IF(ISNUMBER(G107), $B118 * H107, "")</f>
        <v>0</v>
      </c>
      <c r="J107" s="24">
        <v>102</v>
      </c>
      <c r="K107" s="25">
        <f t="shared" si="52"/>
        <v>0</v>
      </c>
      <c r="L107" s="94">
        <f>IF(ISNUMBER(J107), $B118 * K107, "")</f>
        <v>0</v>
      </c>
      <c r="M107" s="92">
        <v>99.9</v>
      </c>
      <c r="N107" s="25">
        <f t="shared" si="53"/>
        <v>-2.0588235294117591E-2</v>
      </c>
      <c r="O107" s="94">
        <f>IF(ISNUMBER(M107), $B118 * N107, "")</f>
        <v>-3088.2352941176387</v>
      </c>
      <c r="Q107" s="147"/>
      <c r="R107" s="148"/>
      <c r="S107" s="149"/>
    </row>
    <row r="108" spans="1:19">
      <c r="A108" s="107" t="s">
        <v>335</v>
      </c>
      <c r="B108" s="108">
        <v>1670</v>
      </c>
      <c r="C108" s="69">
        <v>2.7692307699999998E-2</v>
      </c>
      <c r="D108" s="13">
        <v>1670</v>
      </c>
      <c r="E108" s="14">
        <f>IF(ISNUMBER(D108), (D108 - $B108) / $B108, "")</f>
        <v>0</v>
      </c>
      <c r="F108" s="16">
        <f>IF(ISNUMBER(D108), $B118 * E108, "")</f>
        <v>0</v>
      </c>
      <c r="G108" s="29">
        <v>1720</v>
      </c>
      <c r="H108" s="14">
        <f>IF(ISNUMBER(G108), (G108 - $B108) / $B108, "")</f>
        <v>2.9940119760479042E-2</v>
      </c>
      <c r="I108" s="90">
        <f>IF(ISNUMBER(G108), $B118 * H108, "")</f>
        <v>4491.0179640718561</v>
      </c>
      <c r="J108" s="13">
        <v>1715</v>
      </c>
      <c r="K108" s="14">
        <f>IF(ISNUMBER(J108), (J108 - $B108) / $B108, "")</f>
        <v>2.6946107784431138E-2</v>
      </c>
      <c r="L108" s="16">
        <f>IF(ISNUMBER(J108), $B118 * K108, "")</f>
        <v>4041.9161676646709</v>
      </c>
      <c r="M108" s="29">
        <v>1700</v>
      </c>
      <c r="N108" s="14">
        <f>IF(ISNUMBER(M108), (M108 - $B108) / $B108, "")</f>
        <v>1.7964071856287425E-2</v>
      </c>
      <c r="O108" s="16">
        <f>IF(ISNUMBER(M108), $B118 * N108, "")</f>
        <v>2694.6107784431138</v>
      </c>
      <c r="Q108" s="150"/>
      <c r="R108" s="151"/>
      <c r="S108" s="152"/>
    </row>
    <row r="109" spans="1:19" ht="17.25" thickBot="1">
      <c r="A109" s="109" t="s">
        <v>105</v>
      </c>
      <c r="B109" s="110">
        <v>186</v>
      </c>
      <c r="C109" s="70">
        <v>2.7624309400000002E-2</v>
      </c>
      <c r="D109" s="15">
        <v>186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188</v>
      </c>
      <c r="H109" s="32">
        <f t="shared" ref="H109:H112" si="55">IF(ISNUMBER(G109), (G109 - $B109) / $B109, "")</f>
        <v>1.0752688172043012E-2</v>
      </c>
      <c r="I109" s="91">
        <f>IF(ISNUMBER(G109), $B118 * H109, "")</f>
        <v>1612.9032258064517</v>
      </c>
      <c r="J109" s="15">
        <v>188</v>
      </c>
      <c r="K109" s="32">
        <f t="shared" ref="K109:K112" si="56">IF(ISNUMBER(J109), (J109 - $B109) / $B109, "")</f>
        <v>1.0752688172043012E-2</v>
      </c>
      <c r="L109" s="18">
        <f>IF(ISNUMBER(J109), $B118 * K109, "")</f>
        <v>1612.9032258064517</v>
      </c>
      <c r="M109" s="31">
        <v>187</v>
      </c>
      <c r="N109" s="32">
        <f t="shared" ref="N109:N112" si="57">IF(ISNUMBER(M109), (M109 - $B109) / $B109, "")</f>
        <v>5.3763440860215058E-3</v>
      </c>
      <c r="O109" s="18">
        <f>IF(ISNUMBER(M109), $B118 * N109, "")</f>
        <v>806.45161290322585</v>
      </c>
      <c r="Q109" s="153"/>
      <c r="R109" s="154"/>
      <c r="S109" s="155"/>
    </row>
    <row r="110" spans="1:19" ht="17.25" thickBot="1">
      <c r="A110" s="109" t="s">
        <v>103</v>
      </c>
      <c r="B110" s="110">
        <v>197</v>
      </c>
      <c r="C110" s="70">
        <v>2.60416667E-2</v>
      </c>
      <c r="D110" s="15">
        <v>197</v>
      </c>
      <c r="E110" s="32">
        <f t="shared" si="54"/>
        <v>0</v>
      </c>
      <c r="F110" s="18">
        <f>IF(ISNUMBER(D110), $B118 * E110, "")</f>
        <v>0</v>
      </c>
      <c r="G110" s="31">
        <v>198</v>
      </c>
      <c r="H110" s="32">
        <f t="shared" si="55"/>
        <v>5.076142131979695E-3</v>
      </c>
      <c r="I110" s="91">
        <f>IF(ISNUMBER(G110), $B118 * H110, "")</f>
        <v>761.42131979695421</v>
      </c>
      <c r="J110" s="15">
        <v>196</v>
      </c>
      <c r="K110" s="32">
        <f t="shared" si="56"/>
        <v>-5.076142131979695E-3</v>
      </c>
      <c r="L110" s="18">
        <f>IF(ISNUMBER(J110), $B118 * K110, "")</f>
        <v>-761.42131979695421</v>
      </c>
      <c r="M110" s="31">
        <v>196</v>
      </c>
      <c r="N110" s="32">
        <f t="shared" si="57"/>
        <v>-5.076142131979695E-3</v>
      </c>
      <c r="O110" s="18">
        <f>IF(ISNUMBER(M110), $B118 * N110, "")</f>
        <v>-761.42131979695421</v>
      </c>
      <c r="Q110" s="146"/>
      <c r="R110" s="146"/>
      <c r="S110" s="146"/>
    </row>
    <row r="111" spans="1:19" ht="17.25" thickBot="1">
      <c r="A111" s="109" t="s">
        <v>157</v>
      </c>
      <c r="B111" s="110">
        <v>204</v>
      </c>
      <c r="C111" s="70">
        <v>2.5125628099999998E-2</v>
      </c>
      <c r="D111" s="15">
        <v>208</v>
      </c>
      <c r="E111" s="32">
        <f t="shared" si="54"/>
        <v>1.9607843137254902E-2</v>
      </c>
      <c r="F111" s="18">
        <f>IF(ISNUMBER(D111), $B118 * E111, "")</f>
        <v>2941.1764705882351</v>
      </c>
      <c r="G111" s="31">
        <v>207</v>
      </c>
      <c r="H111" s="32">
        <f t="shared" si="55"/>
        <v>1.4705882352941176E-2</v>
      </c>
      <c r="I111" s="91">
        <f>IF(ISNUMBER(G111), $B118 * H111, "")</f>
        <v>2205.8823529411766</v>
      </c>
      <c r="J111" s="15">
        <v>206</v>
      </c>
      <c r="K111" s="32">
        <f t="shared" si="56"/>
        <v>9.8039215686274508E-3</v>
      </c>
      <c r="L111" s="18">
        <f>IF(ISNUMBER(J111), $B118 * K111, "")</f>
        <v>1470.5882352941176</v>
      </c>
      <c r="M111" s="31">
        <v>207</v>
      </c>
      <c r="N111" s="32">
        <f t="shared" si="57"/>
        <v>1.4705882352941176E-2</v>
      </c>
      <c r="O111" s="18">
        <f>IF(ISNUMBER(M111), $B118 * N111, "")</f>
        <v>2205.8823529411766</v>
      </c>
      <c r="Q111" s="156"/>
      <c r="R111" s="156"/>
      <c r="S111" s="156"/>
    </row>
    <row r="112" spans="1:19" ht="17.25" thickBot="1">
      <c r="A112" s="111" t="s">
        <v>339</v>
      </c>
      <c r="B112" s="112">
        <v>991</v>
      </c>
      <c r="C112" s="71">
        <v>2.4819027899999999E-2</v>
      </c>
      <c r="D112" s="20">
        <v>993</v>
      </c>
      <c r="E112" s="21">
        <f t="shared" si="54"/>
        <v>2.0181634712411706E-3</v>
      </c>
      <c r="F112" s="22">
        <f>IF(ISNUMBER(D112), $B118 * E112, "")</f>
        <v>302.72452068617559</v>
      </c>
      <c r="G112" s="30">
        <v>1000</v>
      </c>
      <c r="H112" s="21">
        <f t="shared" si="55"/>
        <v>9.0817356205852677E-3</v>
      </c>
      <c r="I112" s="95">
        <f>IF(ISNUMBER(G112), $B118 * H112, "")</f>
        <v>1362.2603430877903</v>
      </c>
      <c r="J112" s="20">
        <v>999</v>
      </c>
      <c r="K112" s="21">
        <f t="shared" si="56"/>
        <v>8.0726538849646822E-3</v>
      </c>
      <c r="L112" s="22">
        <f>IF(ISNUMBER(J112), $B118 * K112, "")</f>
        <v>1210.8980827447024</v>
      </c>
      <c r="M112" s="30">
        <v>994</v>
      </c>
      <c r="N112" s="21">
        <f t="shared" si="57"/>
        <v>3.0272452068617556E-3</v>
      </c>
      <c r="O112" s="22">
        <f>IF(ISNUMBER(M112), $B118 * N112, "")</f>
        <v>454.08678102926336</v>
      </c>
      <c r="Q112" s="156"/>
      <c r="R112" s="156"/>
      <c r="S112" s="156"/>
    </row>
    <row r="113" spans="1:19" ht="17.25" thickBot="1">
      <c r="A113" s="109" t="s">
        <v>347</v>
      </c>
      <c r="B113" s="113">
        <v>14200</v>
      </c>
      <c r="C113" s="73">
        <v>2.4531024500000002E-2</v>
      </c>
      <c r="D113" s="96">
        <v>14260</v>
      </c>
      <c r="E113" s="97">
        <f>IF(ISNUMBER(D113), (D113 - $B113) / $B113, "")</f>
        <v>4.2253521126760559E-3</v>
      </c>
      <c r="F113" s="98">
        <f>IF(ISNUMBER(D113), $B118 * E113, "")</f>
        <v>633.80281690140839</v>
      </c>
      <c r="G113" s="99">
        <v>14450</v>
      </c>
      <c r="H113" s="97">
        <f>IF(ISNUMBER(G113), (G113 - $B113) / $B113, "")</f>
        <v>1.7605633802816902E-2</v>
      </c>
      <c r="I113" s="100">
        <f>IF(ISNUMBER(G113), $B118 * H113, "")</f>
        <v>2640.8450704225352</v>
      </c>
      <c r="J113" s="96">
        <v>14460</v>
      </c>
      <c r="K113" s="97">
        <f>IF(ISNUMBER(J113), (J113 - $B113) / $B113, "")</f>
        <v>1.8309859154929577E-2</v>
      </c>
      <c r="L113" s="98">
        <f>IF(ISNUMBER(J113), $B118 * K113, "")</f>
        <v>2746.4788732394368</v>
      </c>
      <c r="M113" s="99">
        <v>14490</v>
      </c>
      <c r="N113" s="97">
        <f>IF(ISNUMBER(M113), (M113 - $B113) / $B113, "")</f>
        <v>2.0422535211267606E-2</v>
      </c>
      <c r="O113" s="98">
        <f>IF(ISNUMBER(M113), $B118 * N113, "")</f>
        <v>3063.3802816901411</v>
      </c>
      <c r="Q113" s="146"/>
      <c r="R113" s="146"/>
      <c r="S113" s="146"/>
    </row>
    <row r="114" spans="1:19" ht="17.25" thickBot="1">
      <c r="A114" s="109" t="s">
        <v>143</v>
      </c>
      <c r="B114" s="110">
        <v>3.35</v>
      </c>
      <c r="C114" s="70">
        <v>2.44648318E-2</v>
      </c>
      <c r="D114" s="15">
        <v>3.35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3.35</v>
      </c>
      <c r="H114" s="32">
        <f t="shared" ref="H114:H117" si="59">IF(ISNUMBER(G114), (G114 - $B114) / $B114, "")</f>
        <v>0</v>
      </c>
      <c r="I114" s="91">
        <f>IF(ISNUMBER(G114), $B118 * H114, "")</f>
        <v>0</v>
      </c>
      <c r="J114" s="15">
        <v>3.35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3.33</v>
      </c>
      <c r="N114" s="32">
        <f t="shared" ref="N114:N117" si="61">IF(ISNUMBER(M114), (M114 - $B114) / $B114, "")</f>
        <v>-5.9701492537313485E-3</v>
      </c>
      <c r="O114" s="18">
        <f>IF(ISNUMBER(M114), $B118 * N114, "")</f>
        <v>-895.52238805970228</v>
      </c>
      <c r="Q114" s="146"/>
      <c r="R114" s="146"/>
      <c r="S114" s="146"/>
    </row>
    <row r="115" spans="1:19" ht="17.25" thickBot="1">
      <c r="A115" s="109" t="s">
        <v>118</v>
      </c>
      <c r="B115" s="110">
        <v>4.6399999999999997</v>
      </c>
      <c r="C115" s="70">
        <v>2.4282560700000001E-2</v>
      </c>
      <c r="D115" s="15">
        <v>4.71</v>
      </c>
      <c r="E115" s="32">
        <f t="shared" si="58"/>
        <v>1.5086206896551787E-2</v>
      </c>
      <c r="F115" s="18">
        <f>IF(ISNUMBER(D115), $B118 * E115, "")</f>
        <v>2262.9310344827682</v>
      </c>
      <c r="G115" s="31">
        <v>4.76</v>
      </c>
      <c r="H115" s="32">
        <f t="shared" si="59"/>
        <v>2.5862068965517265E-2</v>
      </c>
      <c r="I115" s="91">
        <f>IF(ISNUMBER(G115), $B118 * H115, "")</f>
        <v>3879.3103448275897</v>
      </c>
      <c r="J115" s="15">
        <v>4.74</v>
      </c>
      <c r="K115" s="32">
        <f t="shared" si="60"/>
        <v>2.155172413793115E-2</v>
      </c>
      <c r="L115" s="18">
        <f>IF(ISNUMBER(J115), $B118 * K115, "")</f>
        <v>3232.7586206896726</v>
      </c>
      <c r="M115" s="31">
        <v>4.7</v>
      </c>
      <c r="N115" s="32">
        <f t="shared" si="61"/>
        <v>1.2931034482758728E-2</v>
      </c>
      <c r="O115" s="18">
        <f>IF(ISNUMBER(M115), $B118 * N115, "")</f>
        <v>1939.6551724138092</v>
      </c>
      <c r="Q115" s="146"/>
      <c r="R115" s="146"/>
      <c r="S115" s="146"/>
    </row>
    <row r="116" spans="1:19">
      <c r="A116" s="109" t="s">
        <v>337</v>
      </c>
      <c r="B116" s="110">
        <v>67830</v>
      </c>
      <c r="C116" s="70">
        <v>2.3694536700000001E-2</v>
      </c>
      <c r="D116" s="15">
        <v>67490</v>
      </c>
      <c r="E116" s="32">
        <f t="shared" si="58"/>
        <v>-5.0125313283208017E-3</v>
      </c>
      <c r="F116" s="18">
        <f>IF(ISNUMBER(D116), $B118 * E116, "")</f>
        <v>-751.87969924812023</v>
      </c>
      <c r="G116" s="31">
        <v>68000</v>
      </c>
      <c r="H116" s="32">
        <f t="shared" si="59"/>
        <v>2.5062656641604009E-3</v>
      </c>
      <c r="I116" s="91">
        <f>IF(ISNUMBER(G116), $B118 * H116, "")</f>
        <v>375.93984962406012</v>
      </c>
      <c r="J116" s="15">
        <v>67750</v>
      </c>
      <c r="K116" s="32">
        <f t="shared" si="60"/>
        <v>-1.1794191360754828E-3</v>
      </c>
      <c r="L116" s="18">
        <f>IF(ISNUMBER(J116), $B118 * K116, "")</f>
        <v>-176.91287041132242</v>
      </c>
      <c r="M116" s="31">
        <v>67450</v>
      </c>
      <c r="N116" s="32">
        <f t="shared" si="61"/>
        <v>-5.6022408963585435E-3</v>
      </c>
      <c r="O116" s="18">
        <f>IF(ISNUMBER(M116), $B118 * N116, "")</f>
        <v>-840.33613445378148</v>
      </c>
      <c r="Q116" s="135"/>
      <c r="R116" s="136"/>
      <c r="S116" s="137"/>
    </row>
    <row r="117" spans="1:19" ht="17.25" thickBot="1">
      <c r="A117" s="114" t="s">
        <v>253</v>
      </c>
      <c r="B117" s="115">
        <v>91.4</v>
      </c>
      <c r="C117" s="72">
        <v>2.3516237400000001E-2</v>
      </c>
      <c r="D117" s="24">
        <v>91.1</v>
      </c>
      <c r="E117" s="25">
        <f t="shared" si="58"/>
        <v>-3.2822757111598618E-3</v>
      </c>
      <c r="F117" s="94">
        <f>IF(ISNUMBER(D117), $B118 * E117, "")</f>
        <v>-492.34135667397925</v>
      </c>
      <c r="G117" s="92">
        <v>91.8</v>
      </c>
      <c r="H117" s="25">
        <f t="shared" si="59"/>
        <v>4.3763676148795561E-3</v>
      </c>
      <c r="I117" s="93">
        <f>IF(ISNUMBER(G117), $B118 * H117, "")</f>
        <v>656.45514223193345</v>
      </c>
      <c r="J117" s="24">
        <v>91.5</v>
      </c>
      <c r="K117" s="25">
        <f t="shared" si="60"/>
        <v>1.0940919037198502E-3</v>
      </c>
      <c r="L117" s="94">
        <f>IF(ISNUMBER(J117), $B118 * K117, "")</f>
        <v>164.11378555797754</v>
      </c>
      <c r="M117" s="92">
        <v>90.9</v>
      </c>
      <c r="N117" s="25">
        <f t="shared" si="61"/>
        <v>-5.4704595185995622E-3</v>
      </c>
      <c r="O117" s="94">
        <f>IF(ISNUMBER(M117), $B118 * N117, "")</f>
        <v>-820.56892778993438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3.5019397120164561E-3</v>
      </c>
      <c r="F118" s="28">
        <f>SUM(F98:F117)</f>
        <v>10505.819136049369</v>
      </c>
      <c r="G118" s="26" t="s">
        <v>258</v>
      </c>
      <c r="H118" s="27">
        <f>IF(COUNT(H98:H117), SUM(H98:H117) / COUNT(H98:H117), 0)</f>
        <v>1.6629371680617365E-2</v>
      </c>
      <c r="I118" s="28">
        <f>SUM(I98:I117)</f>
        <v>49888.115041852114</v>
      </c>
      <c r="J118" s="26" t="s">
        <v>258</v>
      </c>
      <c r="K118" s="27">
        <f>IF(COUNT(K98:K117), SUM(K98:K117) / COUNT(K98:K117), 0)</f>
        <v>1.352633085331425E-2</v>
      </c>
      <c r="L118" s="28">
        <f>SUM(L98:L117)</f>
        <v>40578.992559942759</v>
      </c>
      <c r="M118" s="26" t="s">
        <v>258</v>
      </c>
      <c r="N118" s="27">
        <f>IF(COUNT(N98:N117), SUM(N98:N117) / COUNT(N98:N117), 0)</f>
        <v>9.4582640101886998E-3</v>
      </c>
      <c r="O118" s="28">
        <f>SUM(O98:O117)</f>
        <v>28374.792030566099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21539000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1.0224474E-3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2023-01-03(화) 오전 00:00</v>
      </c>
      <c r="C123" s="198"/>
      <c r="D123" s="170" t="str">
        <f>TEXT($G$1, "[$-ko-KR]yyyy-mm-dd(ddd) ") &amp; "오후 14:00"</f>
        <v>2023-01-03(화) 오후 14:00</v>
      </c>
      <c r="E123" s="171"/>
      <c r="F123" s="172"/>
      <c r="G123" s="170" t="str">
        <f>TEXT($G$1, "[$-ko-KR]yyyy-mm-dd(ddd) ") &amp; "오후 19:00"</f>
        <v>2023-01-03(화) 오후 19:00</v>
      </c>
      <c r="H123" s="171"/>
      <c r="I123" s="172"/>
      <c r="J123" s="170" t="str">
        <f>TEXT($G$1, "[$-ko-KR]yyyy-mm-dd(ddd) ") &amp; "오후 21:00"</f>
        <v>2023-01-03(화) 오후 21:00</v>
      </c>
      <c r="K123" s="171"/>
      <c r="L123" s="172"/>
      <c r="M123" s="170" t="str">
        <f>TEXT($G$1+1, "[$-ko-KR]yyyy-mm-dd(ddd) ") &amp; "오전 00:00"</f>
        <v>2023-01-04(수)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323</v>
      </c>
      <c r="B125" s="108">
        <v>2.8299999999999999E-2</v>
      </c>
      <c r="C125" s="69">
        <v>7.1174376999999997E-3</v>
      </c>
      <c r="D125" s="13">
        <v>2.8299999999999999E-2</v>
      </c>
      <c r="E125" s="14">
        <f>IF(ISNUMBER(D125), (D125 - $B125) / $B125, "")</f>
        <v>0</v>
      </c>
      <c r="F125" s="16">
        <f>IF(ISNUMBER(D125), $B145 * E125, "")</f>
        <v>0</v>
      </c>
      <c r="G125" s="29">
        <v>2.8500000000000001E-2</v>
      </c>
      <c r="H125" s="14">
        <f>IF(ISNUMBER(G125), (G125 - $B125) / $B125, "")</f>
        <v>7.0671378091873597E-3</v>
      </c>
      <c r="I125" s="90">
        <f>IF(ISNUMBER(G125), $B145 * H125, "")</f>
        <v>1060.070671378104</v>
      </c>
      <c r="J125" s="13">
        <v>2.8500000000000001E-2</v>
      </c>
      <c r="K125" s="14">
        <f>IF(ISNUMBER(J125), (J125 - $B125) / $B125, "")</f>
        <v>7.0671378091873597E-3</v>
      </c>
      <c r="L125" s="16">
        <f>IF(ISNUMBER(J125), $B145 * K125, "")</f>
        <v>1060.070671378104</v>
      </c>
      <c r="M125" s="29">
        <v>2.8199999999999999E-2</v>
      </c>
      <c r="N125" s="14">
        <f>IF(ISNUMBER(M125), (M125 - $B125) / $B125, "")</f>
        <v>-3.5335689045936183E-3</v>
      </c>
      <c r="O125" s="16">
        <f>IF(ISNUMBER(M125), $B145 * N125, "")</f>
        <v>-530.03533568904277</v>
      </c>
      <c r="Q125" s="156"/>
      <c r="R125" s="156"/>
      <c r="S125" s="156"/>
    </row>
    <row r="126" spans="1:19" ht="17.25" thickBot="1">
      <c r="A126" s="109" t="s">
        <v>203</v>
      </c>
      <c r="B126" s="110">
        <v>2.94</v>
      </c>
      <c r="C126" s="70">
        <v>6.8493151000000004E-3</v>
      </c>
      <c r="D126" s="15">
        <v>2.94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2.97</v>
      </c>
      <c r="H126" s="32">
        <f t="shared" ref="H126:H129" si="63">IF(ISNUMBER(G126), (G126 - $B126) / $B126, "")</f>
        <v>1.0204081632653145E-2</v>
      </c>
      <c r="I126" s="91">
        <f>IF(ISNUMBER(G126), $B145 * H126, "")</f>
        <v>1530.6122448979718</v>
      </c>
      <c r="J126" s="15">
        <v>2.97</v>
      </c>
      <c r="K126" s="32">
        <f t="shared" ref="K126:K129" si="64">IF(ISNUMBER(J126), (J126 - $B126) / $B126, "")</f>
        <v>1.0204081632653145E-2</v>
      </c>
      <c r="L126" s="18">
        <f>IF(ISNUMBER(J126), $B145 * K126, "")</f>
        <v>1530.6122448979718</v>
      </c>
      <c r="M126" s="31">
        <v>2.96</v>
      </c>
      <c r="N126" s="32">
        <f t="shared" ref="N126:N129" si="65">IF(ISNUMBER(M126), (M126 - $B126) / $B126, "")</f>
        <v>6.80272108843538E-3</v>
      </c>
      <c r="O126" s="18">
        <f>IF(ISNUMBER(M126), $B145 * N126, "")</f>
        <v>1020.4081632653069</v>
      </c>
      <c r="Q126" s="156"/>
      <c r="R126" s="156"/>
      <c r="S126" s="156"/>
    </row>
    <row r="127" spans="1:19" ht="17.25" thickBot="1">
      <c r="A127" s="109" t="s">
        <v>107</v>
      </c>
      <c r="B127" s="110">
        <v>33.4</v>
      </c>
      <c r="C127" s="70">
        <v>6.0240963999999998E-3</v>
      </c>
      <c r="D127" s="15">
        <v>33.4</v>
      </c>
      <c r="E127" s="32">
        <f t="shared" si="62"/>
        <v>0</v>
      </c>
      <c r="F127" s="18">
        <f>IF(ISNUMBER(D127), $B145 * E127, "")</f>
        <v>0</v>
      </c>
      <c r="G127" s="31">
        <v>33.6</v>
      </c>
      <c r="H127" s="32">
        <f t="shared" si="63"/>
        <v>5.9880239520958937E-3</v>
      </c>
      <c r="I127" s="91">
        <f>IF(ISNUMBER(G127), $B145 * H127, "")</f>
        <v>898.20359281438402</v>
      </c>
      <c r="J127" s="15">
        <v>33.6</v>
      </c>
      <c r="K127" s="32">
        <f t="shared" si="64"/>
        <v>5.9880239520958937E-3</v>
      </c>
      <c r="L127" s="18">
        <f>IF(ISNUMBER(J127), $B145 * K127, "")</f>
        <v>898.20359281438402</v>
      </c>
      <c r="M127" s="31">
        <v>33.5</v>
      </c>
      <c r="N127" s="32">
        <f t="shared" si="65"/>
        <v>2.9940119760479469E-3</v>
      </c>
      <c r="O127" s="18">
        <f>IF(ISNUMBER(M127), $B145 * N127, "")</f>
        <v>449.10179640719201</v>
      </c>
      <c r="Q127" s="146"/>
      <c r="R127" s="146"/>
      <c r="S127" s="146"/>
    </row>
    <row r="128" spans="1:19" ht="17.25" thickBot="1">
      <c r="A128" s="109" t="s">
        <v>225</v>
      </c>
      <c r="B128" s="110">
        <v>51.7</v>
      </c>
      <c r="C128" s="70">
        <v>5.8365759E-3</v>
      </c>
      <c r="D128" s="15">
        <v>52.2</v>
      </c>
      <c r="E128" s="32">
        <f t="shared" si="62"/>
        <v>9.6711798839458404E-3</v>
      </c>
      <c r="F128" s="18">
        <f>IF(ISNUMBER(D128), $B145 * E128, "")</f>
        <v>1450.6769825918761</v>
      </c>
      <c r="G128" s="31">
        <v>52.4</v>
      </c>
      <c r="H128" s="32">
        <f t="shared" si="63"/>
        <v>1.3539651837524095E-2</v>
      </c>
      <c r="I128" s="91">
        <f>IF(ISNUMBER(G128), $B145 * H128, "")</f>
        <v>2030.9477756286142</v>
      </c>
      <c r="J128" s="15">
        <v>52.4</v>
      </c>
      <c r="K128" s="32">
        <f t="shared" si="64"/>
        <v>1.3539651837524095E-2</v>
      </c>
      <c r="L128" s="18">
        <f>IF(ISNUMBER(J128), $B145 * K128, "")</f>
        <v>2030.9477756286142</v>
      </c>
      <c r="M128" s="31">
        <v>51.9</v>
      </c>
      <c r="N128" s="32">
        <f t="shared" si="65"/>
        <v>3.8684719535782537E-3</v>
      </c>
      <c r="O128" s="18">
        <f>IF(ISNUMBER(M128), $B145 * N128, "")</f>
        <v>580.27079303673804</v>
      </c>
      <c r="Q128" s="146"/>
      <c r="R128" s="146"/>
      <c r="S128" s="146"/>
    </row>
    <row r="129" spans="1:19" ht="17.25" thickBot="1">
      <c r="A129" s="111" t="s">
        <v>221</v>
      </c>
      <c r="B129" s="112">
        <v>17.5</v>
      </c>
      <c r="C129" s="71">
        <v>5.7471264000000001E-3</v>
      </c>
      <c r="D129" s="20">
        <v>17.5</v>
      </c>
      <c r="E129" s="21">
        <f t="shared" si="62"/>
        <v>0</v>
      </c>
      <c r="F129" s="22">
        <f>IF(ISNUMBER(D129), $B145 * E129, "")</f>
        <v>0</v>
      </c>
      <c r="G129" s="30">
        <v>17.5</v>
      </c>
      <c r="H129" s="21">
        <f t="shared" si="63"/>
        <v>0</v>
      </c>
      <c r="I129" s="95">
        <f>IF(ISNUMBER(G129), $B145 * H129, "")</f>
        <v>0</v>
      </c>
      <c r="J129" s="20">
        <v>17.600000000000001</v>
      </c>
      <c r="K129" s="21">
        <f t="shared" si="64"/>
        <v>5.7142857142857958E-3</v>
      </c>
      <c r="L129" s="22">
        <f>IF(ISNUMBER(J129), $B145 * K129, "")</f>
        <v>857.14285714286939</v>
      </c>
      <c r="M129" s="30">
        <v>17.399999999999999</v>
      </c>
      <c r="N129" s="21">
        <f t="shared" si="65"/>
        <v>-5.7142857142857958E-3</v>
      </c>
      <c r="O129" s="22">
        <f>IF(ISNUMBER(M129), $B145 * N129, "")</f>
        <v>-857.14285714286939</v>
      </c>
      <c r="Q129" s="146"/>
      <c r="R129" s="146"/>
      <c r="S129" s="146"/>
    </row>
    <row r="130" spans="1:19" ht="17.25" thickBot="1">
      <c r="A130" s="109" t="s">
        <v>324</v>
      </c>
      <c r="B130" s="113">
        <v>72.7</v>
      </c>
      <c r="C130" s="73">
        <v>5.5325035E-3</v>
      </c>
      <c r="D130" s="96">
        <v>73.599999999999994</v>
      </c>
      <c r="E130" s="97">
        <f>IF(ISNUMBER(D130), (D130 - $B130) / $B130, "")</f>
        <v>1.2379642365887089E-2</v>
      </c>
      <c r="F130" s="98">
        <f>IF(ISNUMBER(D130), $B145 * E130, "")</f>
        <v>1856.9463548830633</v>
      </c>
      <c r="G130" s="99">
        <v>73.900000000000006</v>
      </c>
      <c r="H130" s="97">
        <f>IF(ISNUMBER(G130), (G130 - $B130) / $B130, "")</f>
        <v>1.6506189821182984E-2</v>
      </c>
      <c r="I130" s="100">
        <f>IF(ISNUMBER(G130), $B145 * H130, "")</f>
        <v>2475.9284731774474</v>
      </c>
      <c r="J130" s="96">
        <v>73.7</v>
      </c>
      <c r="K130" s="97">
        <f>IF(ISNUMBER(J130), (J130 - $B130) / $B130, "")</f>
        <v>1.3755158184319119E-2</v>
      </c>
      <c r="L130" s="98">
        <f>IF(ISNUMBER(J130), $B145 * K130, "")</f>
        <v>2063.2737276478679</v>
      </c>
      <c r="M130" s="99">
        <v>73.400000000000006</v>
      </c>
      <c r="N130" s="97">
        <f>IF(ISNUMBER(M130), (M130 - $B130) / $B130, "")</f>
        <v>9.6286107290234225E-3</v>
      </c>
      <c r="O130" s="98">
        <f>IF(ISNUMBER(M130), $B145 * N130, "")</f>
        <v>1444.2916093535134</v>
      </c>
      <c r="Q130" s="146"/>
      <c r="R130" s="146"/>
      <c r="S130" s="146"/>
    </row>
    <row r="131" spans="1:19" ht="17.25" thickBot="1">
      <c r="A131" s="109" t="s">
        <v>205</v>
      </c>
      <c r="B131" s="110">
        <v>91.4</v>
      </c>
      <c r="C131" s="70">
        <v>5.5005501000000004E-3</v>
      </c>
      <c r="D131" s="15">
        <v>92.4</v>
      </c>
      <c r="E131" s="32">
        <f t="shared" ref="E131:E134" si="66">IF(ISNUMBER(D131), (D131 - $B131) / $B131, "")</f>
        <v>1.0940919037199124E-2</v>
      </c>
      <c r="F131" s="18">
        <f>IF(ISNUMBER(D131), $B145 * E131, "")</f>
        <v>1641.1378555798688</v>
      </c>
      <c r="G131" s="31">
        <v>92.3</v>
      </c>
      <c r="H131" s="32">
        <f t="shared" ref="H131:H134" si="67">IF(ISNUMBER(G131), (G131 - $B131) / $B131, "")</f>
        <v>9.8468271334791191E-3</v>
      </c>
      <c r="I131" s="91">
        <f>IF(ISNUMBER(G131), $B145 * H131, "")</f>
        <v>1477.0240700218678</v>
      </c>
      <c r="J131" s="15">
        <v>92.1</v>
      </c>
      <c r="K131" s="32">
        <f t="shared" ref="K131:K134" si="68">IF(ISNUMBER(J131), (J131 - $B131) / $B131, "")</f>
        <v>7.6586433260392621E-3</v>
      </c>
      <c r="L131" s="18">
        <f>IF(ISNUMBER(J131), $B145 * K131, "")</f>
        <v>1148.7964989058894</v>
      </c>
      <c r="M131" s="31">
        <v>91.5</v>
      </c>
      <c r="N131" s="32">
        <f t="shared" ref="N131:N134" si="69">IF(ISNUMBER(M131), (M131 - $B131) / $B131, "")</f>
        <v>1.0940919037198502E-3</v>
      </c>
      <c r="O131" s="18">
        <f>IF(ISNUMBER(M131), $B145 * N131, "")</f>
        <v>164.11378555797754</v>
      </c>
      <c r="Q131" s="146"/>
      <c r="R131" s="146"/>
      <c r="S131" s="146"/>
    </row>
    <row r="132" spans="1:19" ht="17.25" thickBot="1">
      <c r="A132" s="109" t="s">
        <v>207</v>
      </c>
      <c r="B132" s="110">
        <v>59</v>
      </c>
      <c r="C132" s="70">
        <v>5.1107325000000004E-3</v>
      </c>
      <c r="D132" s="15">
        <v>58.9</v>
      </c>
      <c r="E132" s="32">
        <f t="shared" si="66"/>
        <v>-1.6949152542373122E-3</v>
      </c>
      <c r="F132" s="18">
        <f>IF(ISNUMBER(D132), $B145 * E132, "")</f>
        <v>-254.23728813559683</v>
      </c>
      <c r="G132" s="31">
        <v>59</v>
      </c>
      <c r="H132" s="32">
        <f t="shared" si="67"/>
        <v>0</v>
      </c>
      <c r="I132" s="91">
        <f>IF(ISNUMBER(G132), $B145 * H132, "")</f>
        <v>0</v>
      </c>
      <c r="J132" s="15">
        <v>58.9</v>
      </c>
      <c r="K132" s="32">
        <f t="shared" si="68"/>
        <v>-1.6949152542373122E-3</v>
      </c>
      <c r="L132" s="18">
        <f>IF(ISNUMBER(J132), $B145 * K132, "")</f>
        <v>-254.23728813559683</v>
      </c>
      <c r="M132" s="31">
        <v>59.2</v>
      </c>
      <c r="N132" s="32">
        <f t="shared" si="69"/>
        <v>3.3898305084746243E-3</v>
      </c>
      <c r="O132" s="18">
        <f>IF(ISNUMBER(M132), $B145 * N132, "")</f>
        <v>508.47457627119365</v>
      </c>
      <c r="Q132" s="146"/>
      <c r="R132" s="146"/>
      <c r="S132" s="146"/>
    </row>
    <row r="133" spans="1:19" ht="17.25" thickBot="1">
      <c r="A133" s="109" t="s">
        <v>333</v>
      </c>
      <c r="B133" s="110">
        <v>3.99</v>
      </c>
      <c r="C133" s="70">
        <v>5.0377833999999998E-3</v>
      </c>
      <c r="D133" s="15">
        <v>4.01</v>
      </c>
      <c r="E133" s="32">
        <f t="shared" si="66"/>
        <v>5.012531328320695E-3</v>
      </c>
      <c r="F133" s="18">
        <f>IF(ISNUMBER(D133), $B145 * E133, "")</f>
        <v>751.8796992481042</v>
      </c>
      <c r="G133" s="31">
        <v>4.01</v>
      </c>
      <c r="H133" s="32">
        <f t="shared" si="67"/>
        <v>5.012531328320695E-3</v>
      </c>
      <c r="I133" s="91">
        <f>IF(ISNUMBER(G133), $B145 * H133, "")</f>
        <v>751.8796992481042</v>
      </c>
      <c r="J133" s="15">
        <v>4.01</v>
      </c>
      <c r="K133" s="32">
        <f t="shared" si="68"/>
        <v>5.012531328320695E-3</v>
      </c>
      <c r="L133" s="18">
        <f>IF(ISNUMBER(J133), $B145 * K133, "")</f>
        <v>751.8796992481042</v>
      </c>
      <c r="M133" s="31">
        <v>3.98</v>
      </c>
      <c r="N133" s="32">
        <f t="shared" si="69"/>
        <v>-2.5062656641604585E-3</v>
      </c>
      <c r="O133" s="18">
        <f>IF(ISNUMBER(M133), $B145 * N133, "")</f>
        <v>-375.93984962406876</v>
      </c>
      <c r="Q133" s="33"/>
      <c r="R133" s="33"/>
    </row>
    <row r="134" spans="1:19" ht="17.25" thickBot="1">
      <c r="A134" s="114" t="s">
        <v>237</v>
      </c>
      <c r="B134" s="115">
        <v>25.5</v>
      </c>
      <c r="C134" s="72">
        <v>3.9370079000000001E-3</v>
      </c>
      <c r="D134" s="24">
        <v>25.6</v>
      </c>
      <c r="E134" s="25">
        <f t="shared" si="66"/>
        <v>3.9215686274510358E-3</v>
      </c>
      <c r="F134" s="94">
        <f>IF(ISNUMBER(D134), $B145 * E134, "")</f>
        <v>588.23529411765537</v>
      </c>
      <c r="G134" s="92">
        <v>25.8</v>
      </c>
      <c r="H134" s="25">
        <f t="shared" si="67"/>
        <v>1.1764705882352969E-2</v>
      </c>
      <c r="I134" s="93">
        <f>IF(ISNUMBER(G134), $B145 * H134, "")</f>
        <v>1764.7058823529453</v>
      </c>
      <c r="J134" s="24">
        <v>25.8</v>
      </c>
      <c r="K134" s="25">
        <f t="shared" si="68"/>
        <v>1.1764705882352969E-2</v>
      </c>
      <c r="L134" s="94">
        <f>IF(ISNUMBER(J134), $B145 * K134, "")</f>
        <v>1764.7058823529453</v>
      </c>
      <c r="M134" s="92">
        <v>25.6</v>
      </c>
      <c r="N134" s="25">
        <f t="shared" si="69"/>
        <v>3.9215686274510358E-3</v>
      </c>
      <c r="O134" s="94">
        <f>IF(ISNUMBER(M134), $B145 * N134, "")</f>
        <v>588.23529411765537</v>
      </c>
      <c r="Q134" s="147"/>
      <c r="R134" s="148"/>
      <c r="S134" s="149"/>
    </row>
    <row r="135" spans="1:19">
      <c r="A135" s="107" t="s">
        <v>209</v>
      </c>
      <c r="B135" s="108">
        <v>70.5</v>
      </c>
      <c r="C135" s="69">
        <v>2.8449501999999998E-3</v>
      </c>
      <c r="D135" s="13">
        <v>70.5</v>
      </c>
      <c r="E135" s="14">
        <f>IF(ISNUMBER(D135), (D135 - $B135) / $B135, "")</f>
        <v>0</v>
      </c>
      <c r="F135" s="16">
        <f>IF(ISNUMBER(D135), $B145 * E135, "")</f>
        <v>0</v>
      </c>
      <c r="G135" s="29">
        <v>70.900000000000006</v>
      </c>
      <c r="H135" s="14">
        <f>IF(ISNUMBER(G135), (G135 - $B135) / $B135, "")</f>
        <v>5.673758865248308E-3</v>
      </c>
      <c r="I135" s="90">
        <f>IF(ISNUMBER(G135), $B145 * H135, "")</f>
        <v>851.06382978724616</v>
      </c>
      <c r="J135" s="13">
        <v>70.599999999999994</v>
      </c>
      <c r="K135" s="14">
        <f>IF(ISNUMBER(J135), (J135 - $B135) / $B135, "")</f>
        <v>1.4184397163119762E-3</v>
      </c>
      <c r="L135" s="16">
        <f>IF(ISNUMBER(J135), $B145 * K135, "")</f>
        <v>212.76595744679642</v>
      </c>
      <c r="M135" s="29">
        <v>70.8</v>
      </c>
      <c r="N135" s="14">
        <f>IF(ISNUMBER(M135), (M135 - $B135) / $B135, "")</f>
        <v>4.2553191489361295E-3</v>
      </c>
      <c r="O135" s="16">
        <f>IF(ISNUMBER(M135), $B145 * N135, "")</f>
        <v>638.29787234041942</v>
      </c>
      <c r="Q135" s="150"/>
      <c r="R135" s="151"/>
      <c r="S135" s="152"/>
    </row>
    <row r="136" spans="1:19" ht="17.25" thickBot="1">
      <c r="A136" s="109" t="s">
        <v>181</v>
      </c>
      <c r="B136" s="110">
        <v>3.83</v>
      </c>
      <c r="C136" s="70">
        <v>2.6178009999999999E-3</v>
      </c>
      <c r="D136" s="15">
        <v>3.85</v>
      </c>
      <c r="E136" s="32">
        <f t="shared" ref="E136:E139" si="70">IF(ISNUMBER(D136), (D136 - $B136) / $B136, "")</f>
        <v>5.2219321148825109E-3</v>
      </c>
      <c r="F136" s="18">
        <f>IF(ISNUMBER(D136), $B145 * E136, "")</f>
        <v>783.28981723237666</v>
      </c>
      <c r="G136" s="31">
        <v>3.86</v>
      </c>
      <c r="H136" s="32">
        <f t="shared" ref="H136:H139" si="71">IF(ISNUMBER(G136), (G136 - $B136) / $B136, "")</f>
        <v>7.8328981723237087E-3</v>
      </c>
      <c r="I136" s="91">
        <f>IF(ISNUMBER(G136), $B145 * H136, "")</f>
        <v>1174.9347258485564</v>
      </c>
      <c r="J136" s="15">
        <v>3.88</v>
      </c>
      <c r="K136" s="32">
        <f t="shared" ref="K136:K139" si="72">IF(ISNUMBER(J136), (J136 - $B136) / $B136, "")</f>
        <v>1.3054830287206221E-2</v>
      </c>
      <c r="L136" s="18">
        <f>IF(ISNUMBER(J136), $B145 * K136, "")</f>
        <v>1958.224543080933</v>
      </c>
      <c r="M136" s="31">
        <v>3.85</v>
      </c>
      <c r="N136" s="32">
        <f t="shared" ref="N136:N139" si="73">IF(ISNUMBER(M136), (M136 - $B136) / $B136, "")</f>
        <v>5.2219321148825109E-3</v>
      </c>
      <c r="O136" s="18">
        <f>IF(ISNUMBER(M136), $B145 * N136, "")</f>
        <v>783.28981723237666</v>
      </c>
      <c r="Q136" s="153"/>
      <c r="R136" s="154"/>
      <c r="S136" s="155"/>
    </row>
    <row r="137" spans="1:19" ht="17.25" thickBot="1">
      <c r="A137" s="109" t="s">
        <v>195</v>
      </c>
      <c r="B137" s="110">
        <v>5.47</v>
      </c>
      <c r="C137" s="70">
        <v>1.8315018E-3</v>
      </c>
      <c r="D137" s="15">
        <v>5.49</v>
      </c>
      <c r="E137" s="32">
        <f t="shared" si="70"/>
        <v>3.6563071297989877E-3</v>
      </c>
      <c r="F137" s="18">
        <f>IF(ISNUMBER(D137), $B145 * E137, "")</f>
        <v>548.44606946984811</v>
      </c>
      <c r="G137" s="31">
        <v>5.52</v>
      </c>
      <c r="H137" s="32">
        <f t="shared" si="71"/>
        <v>9.140767824497225E-3</v>
      </c>
      <c r="I137" s="91">
        <f>IF(ISNUMBER(G137), $B145 * H137, "")</f>
        <v>1371.1151736745837</v>
      </c>
      <c r="J137" s="15">
        <v>5.51</v>
      </c>
      <c r="K137" s="32">
        <f t="shared" si="72"/>
        <v>7.3126142595978131E-3</v>
      </c>
      <c r="L137" s="18">
        <f>IF(ISNUMBER(J137), $B145 * K137, "")</f>
        <v>1096.8921389396719</v>
      </c>
      <c r="M137" s="31">
        <v>5.51</v>
      </c>
      <c r="N137" s="32">
        <f t="shared" si="73"/>
        <v>7.3126142595978131E-3</v>
      </c>
      <c r="O137" s="18">
        <f>IF(ISNUMBER(M137), $B145 * N137, "")</f>
        <v>1096.8921389396719</v>
      </c>
      <c r="Q137" s="146"/>
      <c r="R137" s="146"/>
      <c r="S137" s="146"/>
    </row>
    <row r="138" spans="1:19" ht="17.25" thickBot="1">
      <c r="A138" s="109" t="s">
        <v>241</v>
      </c>
      <c r="B138" s="110">
        <v>87</v>
      </c>
      <c r="C138" s="70">
        <v>0</v>
      </c>
      <c r="D138" s="15">
        <v>86.4</v>
      </c>
      <c r="E138" s="32">
        <f t="shared" si="70"/>
        <v>-6.8965517241378659E-3</v>
      </c>
      <c r="F138" s="18">
        <f>IF(ISNUMBER(D138), $B145 * E138, "")</f>
        <v>-1034.48275862068</v>
      </c>
      <c r="G138" s="31">
        <v>86.3</v>
      </c>
      <c r="H138" s="32">
        <f t="shared" si="71"/>
        <v>-8.0459770114942857E-3</v>
      </c>
      <c r="I138" s="91">
        <f>IF(ISNUMBER(G138), $B145 * H138, "")</f>
        <v>-1206.8965517241429</v>
      </c>
      <c r="J138" s="15">
        <v>86.5</v>
      </c>
      <c r="K138" s="32">
        <f t="shared" si="72"/>
        <v>-5.7471264367816091E-3</v>
      </c>
      <c r="L138" s="18">
        <f>IF(ISNUMBER(J138), $B145 * K138, "")</f>
        <v>-862.06896551724139</v>
      </c>
      <c r="M138" s="31">
        <v>86</v>
      </c>
      <c r="N138" s="32">
        <f t="shared" si="73"/>
        <v>-1.1494252873563218E-2</v>
      </c>
      <c r="O138" s="18">
        <f>IF(ISNUMBER(M138), $B145 * N138, "")</f>
        <v>-1724.1379310344828</v>
      </c>
      <c r="Q138" s="156"/>
      <c r="R138" s="156"/>
      <c r="S138" s="156"/>
    </row>
    <row r="139" spans="1:19" ht="17.25" thickBot="1">
      <c r="A139" s="111" t="s">
        <v>97</v>
      </c>
      <c r="B139" s="112">
        <v>8.0000000000000004E-4</v>
      </c>
      <c r="C139" s="71">
        <v>0</v>
      </c>
      <c r="D139" s="20">
        <v>8.0000000000000004E-4</v>
      </c>
      <c r="E139" s="21">
        <f t="shared" si="70"/>
        <v>0</v>
      </c>
      <c r="F139" s="22">
        <f>IF(ISNUMBER(D139), $B145 * E139, "")</f>
        <v>0</v>
      </c>
      <c r="G139" s="30">
        <v>8.0000000000000004E-4</v>
      </c>
      <c r="H139" s="21">
        <f t="shared" si="71"/>
        <v>0</v>
      </c>
      <c r="I139" s="95">
        <f>IF(ISNUMBER(G139), $B145 * H139, "")</f>
        <v>0</v>
      </c>
      <c r="J139" s="20">
        <v>8.0000000000000004E-4</v>
      </c>
      <c r="K139" s="21">
        <f t="shared" si="72"/>
        <v>0</v>
      </c>
      <c r="L139" s="22">
        <f>IF(ISNUMBER(J139), $B145 * K139, "")</f>
        <v>0</v>
      </c>
      <c r="M139" s="30">
        <v>8.0000000000000004E-4</v>
      </c>
      <c r="N139" s="21">
        <f t="shared" si="73"/>
        <v>0</v>
      </c>
      <c r="O139" s="22">
        <f>IF(ISNUMBER(M139), $B145 * N139, "")</f>
        <v>0</v>
      </c>
      <c r="Q139" s="156"/>
      <c r="R139" s="156"/>
      <c r="S139" s="156"/>
    </row>
    <row r="140" spans="1:19" ht="17.25" thickBot="1">
      <c r="A140" s="109" t="s">
        <v>64</v>
      </c>
      <c r="B140" s="113">
        <v>8.83</v>
      </c>
      <c r="C140" s="73">
        <v>0</v>
      </c>
      <c r="D140" s="96">
        <v>8.99</v>
      </c>
      <c r="E140" s="97">
        <f>IF(ISNUMBER(D140), (D140 - $B140) / $B140, "")</f>
        <v>1.8120045300113265E-2</v>
      </c>
      <c r="F140" s="98">
        <f>IF(ISNUMBER(D140), $B145 * E140, "")</f>
        <v>2718.0067950169896</v>
      </c>
      <c r="G140" s="99">
        <v>9.0500000000000007</v>
      </c>
      <c r="H140" s="97">
        <f>IF(ISNUMBER(G140), (G140 - $B140) / $B140, "")</f>
        <v>2.491506228765579E-2</v>
      </c>
      <c r="I140" s="100">
        <f>IF(ISNUMBER(G140), $B145 * H140, "")</f>
        <v>3737.2593431483683</v>
      </c>
      <c r="J140" s="96">
        <v>8.99</v>
      </c>
      <c r="K140" s="97">
        <f>IF(ISNUMBER(J140), (J140 - $B140) / $B140, "")</f>
        <v>1.8120045300113265E-2</v>
      </c>
      <c r="L140" s="98">
        <f>IF(ISNUMBER(J140), $B145 * K140, "")</f>
        <v>2718.0067950169896</v>
      </c>
      <c r="M140" s="99">
        <v>8.9</v>
      </c>
      <c r="N140" s="97">
        <f>IF(ISNUMBER(M140), (M140 - $B140) / $B140, "")</f>
        <v>7.9275198187995794E-3</v>
      </c>
      <c r="O140" s="98">
        <f>IF(ISNUMBER(M140), $B145 * N140, "")</f>
        <v>1189.127972819937</v>
      </c>
      <c r="Q140" s="146"/>
      <c r="R140" s="146"/>
      <c r="S140" s="146"/>
    </row>
    <row r="141" spans="1:19" ht="17.25" thickBot="1">
      <c r="A141" s="109" t="s">
        <v>141</v>
      </c>
      <c r="B141" s="110">
        <v>2.91</v>
      </c>
      <c r="C141" s="70">
        <v>0</v>
      </c>
      <c r="D141" s="15">
        <v>2.92</v>
      </c>
      <c r="E141" s="32">
        <f t="shared" ref="E141:E144" si="74">IF(ISNUMBER(D141), (D141 - $B141) / $B141, "")</f>
        <v>3.4364261168384146E-3</v>
      </c>
      <c r="F141" s="18">
        <f>IF(ISNUMBER(D141), $B145 * E141, "")</f>
        <v>515.46391752576221</v>
      </c>
      <c r="G141" s="31">
        <v>2.94</v>
      </c>
      <c r="H141" s="32">
        <f t="shared" ref="H141:H144" si="75">IF(ISNUMBER(G141), (G141 - $B141) / $B141, "")</f>
        <v>1.0309278350515396E-2</v>
      </c>
      <c r="I141" s="91">
        <f>IF(ISNUMBER(G141), $B145 * H141, "")</f>
        <v>1546.3917525773095</v>
      </c>
      <c r="J141" s="15">
        <v>2.94</v>
      </c>
      <c r="K141" s="32">
        <f t="shared" ref="K141:K144" si="76">IF(ISNUMBER(J141), (J141 - $B141) / $B141, "")</f>
        <v>1.0309278350515396E-2</v>
      </c>
      <c r="L141" s="18">
        <f>IF(ISNUMBER(J141), $B145 * K141, "")</f>
        <v>1546.3917525773095</v>
      </c>
      <c r="M141" s="31">
        <v>2.92</v>
      </c>
      <c r="N141" s="32">
        <f t="shared" ref="N141:N144" si="77">IF(ISNUMBER(M141), (M141 - $B141) / $B141, "")</f>
        <v>3.4364261168384146E-3</v>
      </c>
      <c r="O141" s="18">
        <f>IF(ISNUMBER(M141), $B145 * N141, "")</f>
        <v>515.46391752576221</v>
      </c>
      <c r="Q141" s="146"/>
      <c r="R141" s="146"/>
      <c r="S141" s="146"/>
    </row>
    <row r="142" spans="1:19" ht="17.25" thickBot="1">
      <c r="A142" s="109" t="s">
        <v>122</v>
      </c>
      <c r="B142" s="110">
        <v>20.399999999999999</v>
      </c>
      <c r="C142" s="70">
        <v>0</v>
      </c>
      <c r="D142" s="15">
        <v>20.399999999999999</v>
      </c>
      <c r="E142" s="32">
        <f t="shared" si="74"/>
        <v>0</v>
      </c>
      <c r="F142" s="18">
        <f>IF(ISNUMBER(D142), $B145 * E142, "")</f>
        <v>0</v>
      </c>
      <c r="G142" s="31">
        <v>20.6</v>
      </c>
      <c r="H142" s="32">
        <f t="shared" si="75"/>
        <v>9.8039215686275914E-3</v>
      </c>
      <c r="I142" s="91">
        <f>IF(ISNUMBER(G142), $B145 * H142, "")</f>
        <v>1470.5882352941387</v>
      </c>
      <c r="J142" s="15">
        <v>20.6</v>
      </c>
      <c r="K142" s="32">
        <f t="shared" si="76"/>
        <v>9.8039215686275914E-3</v>
      </c>
      <c r="L142" s="18">
        <f>IF(ISNUMBER(J142), $B145 * K142, "")</f>
        <v>1470.5882352941387</v>
      </c>
      <c r="M142" s="31">
        <v>20.6</v>
      </c>
      <c r="N142" s="32">
        <f t="shared" si="77"/>
        <v>9.8039215686275914E-3</v>
      </c>
      <c r="O142" s="18">
        <f>IF(ISNUMBER(M142), $B145 * N142, "")</f>
        <v>1470.5882352941387</v>
      </c>
      <c r="Q142" s="146"/>
      <c r="R142" s="146"/>
      <c r="S142" s="146"/>
    </row>
    <row r="143" spans="1:19">
      <c r="A143" s="109" t="s">
        <v>71</v>
      </c>
      <c r="B143" s="110">
        <v>9.92</v>
      </c>
      <c r="C143" s="70">
        <v>-1.0070493E-3</v>
      </c>
      <c r="D143" s="15">
        <v>9.8000000000000007</v>
      </c>
      <c r="E143" s="32">
        <f t="shared" si="74"/>
        <v>-1.2096774193548309E-2</v>
      </c>
      <c r="F143" s="18">
        <f>IF(ISNUMBER(D143), $B145 * E143, "")</f>
        <v>-1814.5161290322462</v>
      </c>
      <c r="G143" s="31">
        <v>9.85</v>
      </c>
      <c r="H143" s="32">
        <f t="shared" si="75"/>
        <v>-7.0564516129032542E-3</v>
      </c>
      <c r="I143" s="91">
        <f>IF(ISNUMBER(G143), $B145 * H143, "")</f>
        <v>-1058.4677419354882</v>
      </c>
      <c r="J143" s="15">
        <v>9.8000000000000007</v>
      </c>
      <c r="K143" s="32">
        <f t="shared" si="76"/>
        <v>-1.2096774193548309E-2</v>
      </c>
      <c r="L143" s="18">
        <f>IF(ISNUMBER(J143), $B145 * K143, "")</f>
        <v>-1814.5161290322462</v>
      </c>
      <c r="M143" s="31">
        <v>9.7899999999999991</v>
      </c>
      <c r="N143" s="32">
        <f t="shared" si="77"/>
        <v>-1.3104838709677498E-2</v>
      </c>
      <c r="O143" s="18">
        <f>IF(ISNUMBER(M143), $B145 * N143, "")</f>
        <v>-1965.7258064516247</v>
      </c>
      <c r="Q143" s="135"/>
      <c r="R143" s="136"/>
      <c r="S143" s="137"/>
    </row>
    <row r="144" spans="1:19" ht="17.25" thickBot="1">
      <c r="A144" s="114" t="s">
        <v>350</v>
      </c>
      <c r="B144" s="115">
        <v>5.56</v>
      </c>
      <c r="C144" s="72">
        <v>-1.4184397200000001E-2</v>
      </c>
      <c r="D144" s="24">
        <v>5.57</v>
      </c>
      <c r="E144" s="25">
        <f t="shared" si="74"/>
        <v>1.7985611510792582E-3</v>
      </c>
      <c r="F144" s="94">
        <f>IF(ISNUMBER(D144), $B145 * E144, "")</f>
        <v>269.78417266188876</v>
      </c>
      <c r="G144" s="92">
        <v>5.59</v>
      </c>
      <c r="H144" s="25">
        <f t="shared" si="75"/>
        <v>5.3956834532374555E-3</v>
      </c>
      <c r="I144" s="93">
        <f>IF(ISNUMBER(G144), $B145 * H144, "")</f>
        <v>809.35251798561831</v>
      </c>
      <c r="J144" s="24">
        <v>5.6</v>
      </c>
      <c r="K144" s="25">
        <f t="shared" si="76"/>
        <v>7.1942446043165541E-3</v>
      </c>
      <c r="L144" s="94">
        <f>IF(ISNUMBER(J144), $B145 * K144, "")</f>
        <v>1079.1366906474832</v>
      </c>
      <c r="M144" s="92">
        <v>5.58</v>
      </c>
      <c r="N144" s="25">
        <f t="shared" si="77"/>
        <v>3.5971223021583568E-3</v>
      </c>
      <c r="O144" s="94">
        <f>IF(ISNUMBER(M144), $B145 * N144, "")</f>
        <v>539.56834532375353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2.6735435941796374E-3</v>
      </c>
      <c r="F145" s="28">
        <f>SUM(F125:F144)</f>
        <v>8020.6307825389076</v>
      </c>
      <c r="G145" s="26" t="s">
        <v>258</v>
      </c>
      <c r="H145" s="27">
        <f>IF(COUNT(H125:H144), SUM(H125:H144) / COUNT(H125:H144), 0)</f>
        <v>6.8949045647252096E-3</v>
      </c>
      <c r="I145" s="28">
        <f>SUM(I125:I144)</f>
        <v>20684.713694175629</v>
      </c>
      <c r="J145" s="26" t="s">
        <v>258</v>
      </c>
      <c r="K145" s="27">
        <f>IF(COUNT(K125:K144), SUM(K125:K144) / COUNT(K125:K144), 0)</f>
        <v>6.4189388934449958E-3</v>
      </c>
      <c r="L145" s="28">
        <f>SUM(L125:L144)</f>
        <v>19256.816680334985</v>
      </c>
      <c r="M145" s="26" t="s">
        <v>258</v>
      </c>
      <c r="N145" s="27">
        <f>IF(COUNT(N125:N144), SUM(N125:N144) / COUNT(N125:N144), 0)</f>
        <v>1.8450475125145155E-3</v>
      </c>
      <c r="O145" s="28">
        <f>SUM(O125:O144)</f>
        <v>5535.1425375435483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21539000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1.0224474E-3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2023-01-03(화) 오전 00:00</v>
      </c>
      <c r="C150" s="198"/>
      <c r="D150" s="170" t="str">
        <f>TEXT($G$1, "[$-ko-KR]yyyy-mm-dd(ddd) ") &amp; "오후 14:00"</f>
        <v>2023-01-03(화) 오후 14:00</v>
      </c>
      <c r="E150" s="171"/>
      <c r="F150" s="172"/>
      <c r="G150" s="170" t="str">
        <f>TEXT($G$1, "[$-ko-KR]yyyy-mm-dd(ddd) ") &amp; "오후 19:00"</f>
        <v>2023-01-03(화) 오후 19:00</v>
      </c>
      <c r="H150" s="171"/>
      <c r="I150" s="172"/>
      <c r="J150" s="170" t="str">
        <f>TEXT($G$1, "[$-ko-KR]yyyy-mm-dd(ddd) ") &amp; "오후 21:00"</f>
        <v>2023-01-03(화) 오후 21:00</v>
      </c>
      <c r="K150" s="171"/>
      <c r="L150" s="172"/>
      <c r="M150" s="170" t="str">
        <f>TEXT($G$1+1, "[$-ko-KR]yyyy-mm-dd(ddd) ") &amp; "오전 00:00"</f>
        <v>2023-01-04(수)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219</v>
      </c>
      <c r="B152" s="108">
        <v>334</v>
      </c>
      <c r="C152" s="69">
        <v>9.0634441E-3</v>
      </c>
      <c r="D152" s="13">
        <v>336</v>
      </c>
      <c r="E152" s="14">
        <f>IF(ISNUMBER(D152), (D152 - $B152) / $B152, "")</f>
        <v>5.9880239520958087E-3</v>
      </c>
      <c r="F152" s="16">
        <f>IF(ISNUMBER(D152), $B172 * E152, "")</f>
        <v>898.20359281437129</v>
      </c>
      <c r="G152" s="29">
        <v>337</v>
      </c>
      <c r="H152" s="14">
        <f>IF(ISNUMBER(G152), (G152 - $B152) / $B152, "")</f>
        <v>8.9820359281437123E-3</v>
      </c>
      <c r="I152" s="90">
        <f>IF(ISNUMBER(G152), $B172 * H152, "")</f>
        <v>1347.3053892215569</v>
      </c>
      <c r="J152" s="13">
        <v>337</v>
      </c>
      <c r="K152" s="14">
        <f>IF(ISNUMBER(J152), (J152 - $B152) / $B152, "")</f>
        <v>8.9820359281437123E-3</v>
      </c>
      <c r="L152" s="16">
        <f>IF(ISNUMBER(J152), $B172 * K152, "")</f>
        <v>1347.3053892215569</v>
      </c>
      <c r="M152" s="29">
        <v>336</v>
      </c>
      <c r="N152" s="14">
        <f>IF(ISNUMBER(M152), (M152 - $B152) / $B152, "")</f>
        <v>5.9880239520958087E-3</v>
      </c>
      <c r="O152" s="16">
        <f>IF(ISNUMBER(M152), $B172 * N152, "")</f>
        <v>898.20359281437129</v>
      </c>
      <c r="Q152" s="156"/>
      <c r="R152" s="156"/>
      <c r="S152" s="156"/>
    </row>
    <row r="153" spans="1:19" ht="17.25" thickBot="1">
      <c r="A153" s="109" t="s">
        <v>183</v>
      </c>
      <c r="B153" s="110">
        <v>115</v>
      </c>
      <c r="C153" s="70">
        <v>8.7719297999999998E-3</v>
      </c>
      <c r="D153" s="15">
        <v>114</v>
      </c>
      <c r="E153" s="32">
        <f t="shared" ref="E153:E156" si="78">IF(ISNUMBER(D153), (D153 - $B153) / $B153, "")</f>
        <v>-8.6956521739130436E-3</v>
      </c>
      <c r="F153" s="18">
        <f>IF(ISNUMBER(D153), $B172 * E153, "")</f>
        <v>-1304.3478260869565</v>
      </c>
      <c r="G153" s="31">
        <v>115</v>
      </c>
      <c r="H153" s="32">
        <f t="shared" ref="H153:H156" si="79">IF(ISNUMBER(G153), (G153 - $B153) / $B153, "")</f>
        <v>0</v>
      </c>
      <c r="I153" s="91">
        <f>IF(ISNUMBER(G153), $B172 * H153, "")</f>
        <v>0</v>
      </c>
      <c r="J153" s="15">
        <v>115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115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156"/>
      <c r="R153" s="156"/>
      <c r="S153" s="156"/>
    </row>
    <row r="154" spans="1:19" ht="17.25" thickBot="1">
      <c r="A154" s="109" t="s">
        <v>223</v>
      </c>
      <c r="B154" s="110">
        <v>188</v>
      </c>
      <c r="C154" s="70">
        <v>5.3475935999999996E-3</v>
      </c>
      <c r="D154" s="15">
        <v>187</v>
      </c>
      <c r="E154" s="32">
        <f t="shared" si="78"/>
        <v>-5.3191489361702126E-3</v>
      </c>
      <c r="F154" s="18">
        <f>IF(ISNUMBER(D154), $B172 * E154, "")</f>
        <v>-797.87234042553189</v>
      </c>
      <c r="G154" s="31">
        <v>189</v>
      </c>
      <c r="H154" s="32">
        <f t="shared" si="79"/>
        <v>5.3191489361702126E-3</v>
      </c>
      <c r="I154" s="91">
        <f>IF(ISNUMBER(G154), $B172 * H154, "")</f>
        <v>797.87234042553189</v>
      </c>
      <c r="J154" s="15">
        <v>189</v>
      </c>
      <c r="K154" s="32">
        <f t="shared" si="80"/>
        <v>5.3191489361702126E-3</v>
      </c>
      <c r="L154" s="18">
        <f>IF(ISNUMBER(J154), $B172 * K154, "")</f>
        <v>797.87234042553189</v>
      </c>
      <c r="M154" s="31">
        <v>188</v>
      </c>
      <c r="N154" s="32">
        <f t="shared" si="81"/>
        <v>0</v>
      </c>
      <c r="O154" s="18">
        <f>IF(ISNUMBER(M154), $B172 * N154, "")</f>
        <v>0</v>
      </c>
      <c r="Q154" s="146"/>
      <c r="R154" s="146"/>
      <c r="S154" s="146"/>
    </row>
    <row r="155" spans="1:19" ht="17.25" thickBot="1">
      <c r="A155" s="109" t="s">
        <v>239</v>
      </c>
      <c r="B155" s="110">
        <v>410</v>
      </c>
      <c r="C155" s="70">
        <v>4.9019607999999998E-3</v>
      </c>
      <c r="D155" s="15">
        <v>408</v>
      </c>
      <c r="E155" s="32">
        <f t="shared" si="78"/>
        <v>-4.8780487804878049E-3</v>
      </c>
      <c r="F155" s="18">
        <f>IF(ISNUMBER(D155), $B172 * E155, "")</f>
        <v>-731.70731707317077</v>
      </c>
      <c r="G155" s="31">
        <v>410</v>
      </c>
      <c r="H155" s="32">
        <f t="shared" si="79"/>
        <v>0</v>
      </c>
      <c r="I155" s="91">
        <f>IF(ISNUMBER(G155), $B172 * H155, "")</f>
        <v>0</v>
      </c>
      <c r="J155" s="15">
        <v>411</v>
      </c>
      <c r="K155" s="32">
        <f t="shared" si="80"/>
        <v>2.4390243902439024E-3</v>
      </c>
      <c r="L155" s="18">
        <f>IF(ISNUMBER(J155), $B172 * K155, "")</f>
        <v>365.85365853658539</v>
      </c>
      <c r="M155" s="31">
        <v>410</v>
      </c>
      <c r="N155" s="32">
        <f t="shared" si="81"/>
        <v>0</v>
      </c>
      <c r="O155" s="18">
        <f>IF(ISNUMBER(M155), $B172 * N155, "")</f>
        <v>0</v>
      </c>
      <c r="Q155" s="146"/>
      <c r="R155" s="146"/>
      <c r="S155" s="146"/>
    </row>
    <row r="156" spans="1:19" ht="17.25" thickBot="1">
      <c r="A156" s="111" t="s">
        <v>229</v>
      </c>
      <c r="B156" s="112">
        <v>231</v>
      </c>
      <c r="C156" s="71">
        <v>4.3478261000000004E-3</v>
      </c>
      <c r="D156" s="20">
        <v>232</v>
      </c>
      <c r="E156" s="21">
        <f t="shared" si="78"/>
        <v>4.329004329004329E-3</v>
      </c>
      <c r="F156" s="22">
        <f>IF(ISNUMBER(D156), $B172 * E156, "")</f>
        <v>649.35064935064941</v>
      </c>
      <c r="G156" s="30">
        <v>232</v>
      </c>
      <c r="H156" s="21">
        <f t="shared" si="79"/>
        <v>4.329004329004329E-3</v>
      </c>
      <c r="I156" s="95">
        <f>IF(ISNUMBER(G156), $B172 * H156, "")</f>
        <v>649.35064935064941</v>
      </c>
      <c r="J156" s="20">
        <v>231</v>
      </c>
      <c r="K156" s="21">
        <f t="shared" si="80"/>
        <v>0</v>
      </c>
      <c r="L156" s="22">
        <f>IF(ISNUMBER(J156), $B172 * K156, "")</f>
        <v>0</v>
      </c>
      <c r="M156" s="30">
        <v>230</v>
      </c>
      <c r="N156" s="21">
        <f t="shared" si="81"/>
        <v>-4.329004329004329E-3</v>
      </c>
      <c r="O156" s="22">
        <f>IF(ISNUMBER(M156), $B172 * N156, "")</f>
        <v>-649.35064935064941</v>
      </c>
      <c r="Q156" s="146"/>
      <c r="R156" s="146"/>
      <c r="S156" s="146"/>
    </row>
    <row r="157" spans="1:19" ht="17.25" thickBot="1">
      <c r="A157" s="109" t="s">
        <v>161</v>
      </c>
      <c r="B157" s="113">
        <v>275</v>
      </c>
      <c r="C157" s="73">
        <v>3.649635E-3</v>
      </c>
      <c r="D157" s="96">
        <v>276</v>
      </c>
      <c r="E157" s="97">
        <f>IF(ISNUMBER(D157), (D157 - $B157) / $B157, "")</f>
        <v>3.6363636363636364E-3</v>
      </c>
      <c r="F157" s="98">
        <f>IF(ISNUMBER(D157), $B172 * E157, "")</f>
        <v>545.4545454545455</v>
      </c>
      <c r="G157" s="99">
        <v>279</v>
      </c>
      <c r="H157" s="97">
        <f>IF(ISNUMBER(G157), (G157 - $B157) / $B157, "")</f>
        <v>1.4545454545454545E-2</v>
      </c>
      <c r="I157" s="100">
        <f>IF(ISNUMBER(G157), $B172 * H157, "")</f>
        <v>2181.818181818182</v>
      </c>
      <c r="J157" s="96">
        <v>278</v>
      </c>
      <c r="K157" s="97">
        <f>IF(ISNUMBER(J157), (J157 - $B157) / $B157, "")</f>
        <v>1.090909090909091E-2</v>
      </c>
      <c r="L157" s="98">
        <f>IF(ISNUMBER(J157), $B172 * K157, "")</f>
        <v>1636.3636363636365</v>
      </c>
      <c r="M157" s="99">
        <v>276</v>
      </c>
      <c r="N157" s="97">
        <f>IF(ISNUMBER(M157), (M157 - $B157) / $B157, "")</f>
        <v>3.6363636363636364E-3</v>
      </c>
      <c r="O157" s="98">
        <f>IF(ISNUMBER(M157), $B172 * N157, "")</f>
        <v>545.4545454545455</v>
      </c>
      <c r="Q157" s="146"/>
      <c r="R157" s="146"/>
      <c r="S157" s="146"/>
    </row>
    <row r="158" spans="1:19" ht="17.25" thickBot="1">
      <c r="A158" s="109" t="s">
        <v>231</v>
      </c>
      <c r="B158" s="110">
        <v>305</v>
      </c>
      <c r="C158" s="70">
        <v>3.2894737E-3</v>
      </c>
      <c r="D158" s="15">
        <v>305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307</v>
      </c>
      <c r="H158" s="32">
        <f t="shared" ref="H158:H161" si="83">IF(ISNUMBER(G158), (G158 - $B158) / $B158, "")</f>
        <v>6.5573770491803279E-3</v>
      </c>
      <c r="I158" s="91">
        <f>IF(ISNUMBER(G158), $B172 * H158, "")</f>
        <v>983.60655737704917</v>
      </c>
      <c r="J158" s="15">
        <v>307</v>
      </c>
      <c r="K158" s="32">
        <f t="shared" ref="K158:K161" si="84">IF(ISNUMBER(J158), (J158 - $B158) / $B158, "")</f>
        <v>6.5573770491803279E-3</v>
      </c>
      <c r="L158" s="18">
        <f>IF(ISNUMBER(J158), $B172 * K158, "")</f>
        <v>983.60655737704917</v>
      </c>
      <c r="M158" s="31">
        <v>306</v>
      </c>
      <c r="N158" s="32">
        <f t="shared" ref="N158:N161" si="85">IF(ISNUMBER(M158), (M158 - $B158) / $B158, "")</f>
        <v>3.2786885245901639E-3</v>
      </c>
      <c r="O158" s="18">
        <f>IF(ISNUMBER(M158), $B172 * N158, "")</f>
        <v>491.80327868852459</v>
      </c>
      <c r="Q158" s="146"/>
      <c r="R158" s="146"/>
      <c r="S158" s="146"/>
    </row>
    <row r="159" spans="1:19" ht="17.25" thickBot="1">
      <c r="A159" s="109" t="s">
        <v>187</v>
      </c>
      <c r="B159" s="110">
        <v>712</v>
      </c>
      <c r="C159" s="70">
        <v>2.8169013999999998E-3</v>
      </c>
      <c r="D159" s="15">
        <v>712</v>
      </c>
      <c r="E159" s="32">
        <f t="shared" si="82"/>
        <v>0</v>
      </c>
      <c r="F159" s="18">
        <f>IF(ISNUMBER(D159), $B172 * E159, "")</f>
        <v>0</v>
      </c>
      <c r="G159" s="31">
        <v>720</v>
      </c>
      <c r="H159" s="32">
        <f t="shared" si="83"/>
        <v>1.1235955056179775E-2</v>
      </c>
      <c r="I159" s="91">
        <f>IF(ISNUMBER(G159), $B172 * H159, "")</f>
        <v>1685.3932584269662</v>
      </c>
      <c r="J159" s="15">
        <v>721</v>
      </c>
      <c r="K159" s="32">
        <f t="shared" si="84"/>
        <v>1.2640449438202247E-2</v>
      </c>
      <c r="L159" s="18">
        <f>IF(ISNUMBER(J159), $B172 * K159, "")</f>
        <v>1896.067415730337</v>
      </c>
      <c r="M159" s="31">
        <v>715</v>
      </c>
      <c r="N159" s="32">
        <f t="shared" si="85"/>
        <v>4.2134831460674156E-3</v>
      </c>
      <c r="O159" s="18">
        <f>IF(ISNUMBER(M159), $B172 * N159, "")</f>
        <v>632.02247191011236</v>
      </c>
      <c r="Q159" s="146"/>
      <c r="R159" s="146"/>
      <c r="S159" s="146"/>
    </row>
    <row r="160" spans="1:19" ht="17.25" thickBot="1">
      <c r="A160" s="109" t="s">
        <v>66</v>
      </c>
      <c r="B160" s="110">
        <v>585</v>
      </c>
      <c r="C160" s="70">
        <v>1.7123288E-3</v>
      </c>
      <c r="D160" s="15">
        <v>583</v>
      </c>
      <c r="E160" s="32">
        <f t="shared" si="82"/>
        <v>-3.4188034188034188E-3</v>
      </c>
      <c r="F160" s="18">
        <f>IF(ISNUMBER(D160), $B172 * E160, "")</f>
        <v>-512.82051282051282</v>
      </c>
      <c r="G160" s="31">
        <v>587</v>
      </c>
      <c r="H160" s="32">
        <f t="shared" si="83"/>
        <v>3.4188034188034188E-3</v>
      </c>
      <c r="I160" s="91">
        <f>IF(ISNUMBER(G160), $B172 * H160, "")</f>
        <v>512.82051282051282</v>
      </c>
      <c r="J160" s="15">
        <v>585</v>
      </c>
      <c r="K160" s="32">
        <f t="shared" si="84"/>
        <v>0</v>
      </c>
      <c r="L160" s="18">
        <f>IF(ISNUMBER(J160), $B172 * K160, "")</f>
        <v>0</v>
      </c>
      <c r="M160" s="31">
        <v>582</v>
      </c>
      <c r="N160" s="32">
        <f t="shared" si="85"/>
        <v>-5.1282051282051282E-3</v>
      </c>
      <c r="O160" s="18">
        <f>IF(ISNUMBER(M160), $B172 * N160, "")</f>
        <v>-769.23076923076928</v>
      </c>
      <c r="Q160" s="33"/>
      <c r="R160" s="33"/>
    </row>
    <row r="161" spans="1:19" ht="17.25" thickBot="1">
      <c r="A161" s="114" t="s">
        <v>215</v>
      </c>
      <c r="B161" s="115">
        <v>281</v>
      </c>
      <c r="C161" s="72">
        <v>0</v>
      </c>
      <c r="D161" s="24">
        <v>283</v>
      </c>
      <c r="E161" s="25">
        <f t="shared" si="82"/>
        <v>7.1174377224199285E-3</v>
      </c>
      <c r="F161" s="94">
        <f>IF(ISNUMBER(D161), $B172 * E161, "")</f>
        <v>1067.6156583629893</v>
      </c>
      <c r="G161" s="92">
        <v>284</v>
      </c>
      <c r="H161" s="25">
        <f t="shared" si="83"/>
        <v>1.0676156583629894E-2</v>
      </c>
      <c r="I161" s="93">
        <f>IF(ISNUMBER(G161), $B172 * H161, "")</f>
        <v>1601.423487544484</v>
      </c>
      <c r="J161" s="24">
        <v>284</v>
      </c>
      <c r="K161" s="25">
        <f t="shared" si="84"/>
        <v>1.0676156583629894E-2</v>
      </c>
      <c r="L161" s="94">
        <f>IF(ISNUMBER(J161), $B172 * K161, "")</f>
        <v>1601.423487544484</v>
      </c>
      <c r="M161" s="92">
        <v>283</v>
      </c>
      <c r="N161" s="25">
        <f t="shared" si="85"/>
        <v>7.1174377224199285E-3</v>
      </c>
      <c r="O161" s="94">
        <f>IF(ISNUMBER(M161), $B172 * N161, "")</f>
        <v>1067.6156583629893</v>
      </c>
      <c r="Q161" s="147"/>
      <c r="R161" s="148"/>
      <c r="S161" s="149"/>
    </row>
    <row r="162" spans="1:19">
      <c r="A162" s="107" t="s">
        <v>211</v>
      </c>
      <c r="B162" s="108">
        <v>917</v>
      </c>
      <c r="C162" s="69">
        <v>0</v>
      </c>
      <c r="D162" s="13">
        <v>921</v>
      </c>
      <c r="E162" s="14">
        <f>IF(ISNUMBER(D162), (D162 - $B162) / $B162, "")</f>
        <v>4.3620501635768813E-3</v>
      </c>
      <c r="F162" s="16">
        <f>IF(ISNUMBER(D162), $B172 * E162, "")</f>
        <v>654.30752453653224</v>
      </c>
      <c r="G162" s="29">
        <v>920</v>
      </c>
      <c r="H162" s="14">
        <f>IF(ISNUMBER(G162), (G162 - $B162) / $B162, "")</f>
        <v>3.2715376226826608E-3</v>
      </c>
      <c r="I162" s="90">
        <f>IF(ISNUMBER(G162), $B172 * H162, "")</f>
        <v>490.7306434023991</v>
      </c>
      <c r="J162" s="13">
        <v>918</v>
      </c>
      <c r="K162" s="14">
        <f>IF(ISNUMBER(J162), (J162 - $B162) / $B162, "")</f>
        <v>1.0905125408942203E-3</v>
      </c>
      <c r="L162" s="16">
        <f>IF(ISNUMBER(J162), $B172 * K162, "")</f>
        <v>163.57688113413306</v>
      </c>
      <c r="M162" s="29">
        <v>913</v>
      </c>
      <c r="N162" s="14">
        <f>IF(ISNUMBER(M162), (M162 - $B162) / $B162, "")</f>
        <v>-4.3620501635768813E-3</v>
      </c>
      <c r="O162" s="16">
        <f>IF(ISNUMBER(M162), $B172 * N162, "")</f>
        <v>-654.30752453653224</v>
      </c>
      <c r="Q162" s="150"/>
      <c r="R162" s="151"/>
      <c r="S162" s="152"/>
    </row>
    <row r="163" spans="1:19" ht="17.25" thickBot="1">
      <c r="A163" s="109" t="s">
        <v>176</v>
      </c>
      <c r="B163" s="110">
        <v>281</v>
      </c>
      <c r="C163" s="70">
        <v>0</v>
      </c>
      <c r="D163" s="15">
        <v>278</v>
      </c>
      <c r="E163" s="32">
        <f t="shared" ref="E163:E166" si="86">IF(ISNUMBER(D163), (D163 - $B163) / $B163, "")</f>
        <v>-1.0676156583629894E-2</v>
      </c>
      <c r="F163" s="18">
        <f>IF(ISNUMBER(D163), $B172 * E163, "")</f>
        <v>-1601.423487544484</v>
      </c>
      <c r="G163" s="31">
        <v>280</v>
      </c>
      <c r="H163" s="32">
        <f t="shared" ref="H163:H166" si="87">IF(ISNUMBER(G163), (G163 - $B163) / $B163, "")</f>
        <v>-3.5587188612099642E-3</v>
      </c>
      <c r="I163" s="91">
        <f>IF(ISNUMBER(G163), $B172 * H163, "")</f>
        <v>-533.80782918149464</v>
      </c>
      <c r="J163" s="15">
        <v>280</v>
      </c>
      <c r="K163" s="32">
        <f t="shared" ref="K163:K166" si="88">IF(ISNUMBER(J163), (J163 - $B163) / $B163, "")</f>
        <v>-3.5587188612099642E-3</v>
      </c>
      <c r="L163" s="18">
        <f>IF(ISNUMBER(J163), $B172 * K163, "")</f>
        <v>-533.80782918149464</v>
      </c>
      <c r="M163" s="31">
        <v>279</v>
      </c>
      <c r="N163" s="32">
        <f t="shared" ref="N163:N166" si="89">IF(ISNUMBER(M163), (M163 - $B163) / $B163, "")</f>
        <v>-7.1174377224199285E-3</v>
      </c>
      <c r="O163" s="18">
        <f>IF(ISNUMBER(M163), $B172 * N163, "")</f>
        <v>-1067.6156583629893</v>
      </c>
      <c r="Q163" s="153"/>
      <c r="R163" s="154"/>
      <c r="S163" s="155"/>
    </row>
    <row r="164" spans="1:19" ht="17.25" thickBot="1">
      <c r="A164" s="109" t="s">
        <v>101</v>
      </c>
      <c r="B164" s="110">
        <v>195</v>
      </c>
      <c r="C164" s="70">
        <v>0</v>
      </c>
      <c r="D164" s="15">
        <v>197</v>
      </c>
      <c r="E164" s="32">
        <f t="shared" si="86"/>
        <v>1.0256410256410256E-2</v>
      </c>
      <c r="F164" s="18">
        <f>IF(ISNUMBER(D164), $B172 * E164, "")</f>
        <v>1538.4615384615386</v>
      </c>
      <c r="G164" s="31">
        <v>198</v>
      </c>
      <c r="H164" s="32">
        <f t="shared" si="87"/>
        <v>1.5384615384615385E-2</v>
      </c>
      <c r="I164" s="91">
        <f>IF(ISNUMBER(G164), $B172 * H164, "")</f>
        <v>2307.6923076923076</v>
      </c>
      <c r="J164" s="15">
        <v>197</v>
      </c>
      <c r="K164" s="32">
        <f t="shared" si="88"/>
        <v>1.0256410256410256E-2</v>
      </c>
      <c r="L164" s="18">
        <f>IF(ISNUMBER(J164), $B172 * K164, "")</f>
        <v>1538.4615384615386</v>
      </c>
      <c r="M164" s="31">
        <v>196</v>
      </c>
      <c r="N164" s="32">
        <f t="shared" si="89"/>
        <v>5.1282051282051282E-3</v>
      </c>
      <c r="O164" s="18">
        <f>IF(ISNUMBER(M164), $B172 * N164, "")</f>
        <v>769.23076923076928</v>
      </c>
      <c r="Q164" s="146"/>
      <c r="R164" s="146"/>
      <c r="S164" s="146"/>
    </row>
    <row r="165" spans="1:19" ht="17.25" thickBot="1">
      <c r="A165" s="109" t="s">
        <v>321</v>
      </c>
      <c r="B165" s="110">
        <v>153</v>
      </c>
      <c r="C165" s="70">
        <v>0</v>
      </c>
      <c r="D165" s="15">
        <v>154</v>
      </c>
      <c r="E165" s="32">
        <f t="shared" si="86"/>
        <v>6.5359477124183009E-3</v>
      </c>
      <c r="F165" s="18">
        <f>IF(ISNUMBER(D165), $B172 * E165, "")</f>
        <v>980.39215686274508</v>
      </c>
      <c r="G165" s="31">
        <v>155</v>
      </c>
      <c r="H165" s="32">
        <f t="shared" si="87"/>
        <v>1.3071895424836602E-2</v>
      </c>
      <c r="I165" s="91">
        <f>IF(ISNUMBER(G165), $B172 * H165, "")</f>
        <v>1960.7843137254902</v>
      </c>
      <c r="J165" s="15">
        <v>155</v>
      </c>
      <c r="K165" s="32">
        <f t="shared" si="88"/>
        <v>1.3071895424836602E-2</v>
      </c>
      <c r="L165" s="18">
        <f>IF(ISNUMBER(J165), $B172 * K165, "")</f>
        <v>1960.7843137254902</v>
      </c>
      <c r="M165" s="31">
        <v>154</v>
      </c>
      <c r="N165" s="32">
        <f t="shared" si="89"/>
        <v>6.5359477124183009E-3</v>
      </c>
      <c r="O165" s="18">
        <f>IF(ISNUMBER(M165), $B172 * N165, "")</f>
        <v>980.39215686274508</v>
      </c>
      <c r="Q165" s="156"/>
      <c r="R165" s="156"/>
      <c r="S165" s="156"/>
    </row>
    <row r="166" spans="1:19" ht="17.25" thickBot="1">
      <c r="A166" s="111" t="s">
        <v>167</v>
      </c>
      <c r="B166" s="112">
        <v>157</v>
      </c>
      <c r="C166" s="71">
        <v>0</v>
      </c>
      <c r="D166" s="20">
        <v>158</v>
      </c>
      <c r="E166" s="21">
        <f t="shared" si="86"/>
        <v>6.369426751592357E-3</v>
      </c>
      <c r="F166" s="22">
        <f>IF(ISNUMBER(D166), $B172 * E166, "")</f>
        <v>955.41401273885356</v>
      </c>
      <c r="G166" s="30">
        <v>159</v>
      </c>
      <c r="H166" s="21">
        <f t="shared" si="87"/>
        <v>1.2738853503184714E-2</v>
      </c>
      <c r="I166" s="95">
        <f>IF(ISNUMBER(G166), $B172 * H166, "")</f>
        <v>1910.8280254777071</v>
      </c>
      <c r="J166" s="20">
        <v>160</v>
      </c>
      <c r="K166" s="21">
        <f t="shared" si="88"/>
        <v>1.9108280254777069E-2</v>
      </c>
      <c r="L166" s="22">
        <f>IF(ISNUMBER(J166), $B172 * K166, "")</f>
        <v>2866.2420382165606</v>
      </c>
      <c r="M166" s="30">
        <v>158</v>
      </c>
      <c r="N166" s="21">
        <f t="shared" si="89"/>
        <v>6.369426751592357E-3</v>
      </c>
      <c r="O166" s="22">
        <f>IF(ISNUMBER(M166), $B172 * N166, "")</f>
        <v>955.41401273885356</v>
      </c>
      <c r="Q166" s="156"/>
      <c r="R166" s="156"/>
      <c r="S166" s="156"/>
    </row>
    <row r="167" spans="1:19" ht="17.25" thickBot="1">
      <c r="A167" s="109" t="s">
        <v>213</v>
      </c>
      <c r="B167" s="113">
        <v>405</v>
      </c>
      <c r="C167" s="73">
        <v>0</v>
      </c>
      <c r="D167" s="96">
        <v>405</v>
      </c>
      <c r="E167" s="97">
        <f>IF(ISNUMBER(D167), (D167 - $B167) / $B167, "")</f>
        <v>0</v>
      </c>
      <c r="F167" s="98">
        <f>IF(ISNUMBER(D167), $B172 * E167, "")</f>
        <v>0</v>
      </c>
      <c r="G167" s="99">
        <v>408</v>
      </c>
      <c r="H167" s="97">
        <f>IF(ISNUMBER(G167), (G167 - $B167) / $B167, "")</f>
        <v>7.4074074074074077E-3</v>
      </c>
      <c r="I167" s="100">
        <f>IF(ISNUMBER(G167), $B172 * H167, "")</f>
        <v>1111.1111111111111</v>
      </c>
      <c r="J167" s="96">
        <v>410</v>
      </c>
      <c r="K167" s="97">
        <f>IF(ISNUMBER(J167), (J167 - $B167) / $B167, "")</f>
        <v>1.2345679012345678E-2</v>
      </c>
      <c r="L167" s="98">
        <f>IF(ISNUMBER(J167), $B172 * K167, "")</f>
        <v>1851.8518518518517</v>
      </c>
      <c r="M167" s="99">
        <v>402</v>
      </c>
      <c r="N167" s="97">
        <f>IF(ISNUMBER(M167), (M167 - $B167) / $B167, "")</f>
        <v>-7.4074074074074077E-3</v>
      </c>
      <c r="O167" s="98">
        <f>IF(ISNUMBER(M167), $B172 * N167, "")</f>
        <v>-1111.1111111111111</v>
      </c>
      <c r="Q167" s="146"/>
      <c r="R167" s="146"/>
      <c r="S167" s="146"/>
    </row>
    <row r="168" spans="1:19" ht="17.25" thickBot="1">
      <c r="A168" s="109" t="s">
        <v>235</v>
      </c>
      <c r="B168" s="110">
        <v>498</v>
      </c>
      <c r="C168" s="70">
        <v>0</v>
      </c>
      <c r="D168" s="15">
        <v>502</v>
      </c>
      <c r="E168" s="32">
        <f t="shared" ref="E168:E171" si="90">IF(ISNUMBER(D168), (D168 - $B168) / $B168, "")</f>
        <v>8.0321285140562242E-3</v>
      </c>
      <c r="F168" s="18">
        <f>IF(ISNUMBER(D168), $B172 * E168, "")</f>
        <v>1204.8192771084337</v>
      </c>
      <c r="G168" s="31">
        <v>503</v>
      </c>
      <c r="H168" s="32">
        <f t="shared" ref="H168:H171" si="91">IF(ISNUMBER(G168), (G168 - $B168) / $B168, "")</f>
        <v>1.0040160642570281E-2</v>
      </c>
      <c r="I168" s="91">
        <f>IF(ISNUMBER(G168), $B172 * H168, "")</f>
        <v>1506.0240963855422</v>
      </c>
      <c r="J168" s="15">
        <v>503</v>
      </c>
      <c r="K168" s="32">
        <f t="shared" ref="K168:K171" si="92">IF(ISNUMBER(J168), (J168 - $B168) / $B168, "")</f>
        <v>1.0040160642570281E-2</v>
      </c>
      <c r="L168" s="18">
        <f>IF(ISNUMBER(J168), $B172 * K168, "")</f>
        <v>1506.0240963855422</v>
      </c>
      <c r="M168" s="31">
        <v>501</v>
      </c>
      <c r="N168" s="32">
        <f t="shared" ref="N168:N171" si="93">IF(ISNUMBER(M168), (M168 - $B168) / $B168, "")</f>
        <v>6.024096385542169E-3</v>
      </c>
      <c r="O168" s="18">
        <f>IF(ISNUMBER(M168), $B172 * N168, "")</f>
        <v>903.61445783132535</v>
      </c>
      <c r="Q168" s="146"/>
      <c r="R168" s="146"/>
      <c r="S168" s="146"/>
    </row>
    <row r="169" spans="1:19" ht="17.25" thickBot="1">
      <c r="A169" s="109" t="s">
        <v>165</v>
      </c>
      <c r="B169" s="110">
        <v>878</v>
      </c>
      <c r="C169" s="70">
        <v>-4.5351473999999999E-3</v>
      </c>
      <c r="D169" s="15">
        <v>881</v>
      </c>
      <c r="E169" s="32">
        <f t="shared" si="90"/>
        <v>3.4168564920273349E-3</v>
      </c>
      <c r="F169" s="18">
        <f>IF(ISNUMBER(D169), $B172 * E169, "")</f>
        <v>512.52847380410026</v>
      </c>
      <c r="G169" s="31">
        <v>885</v>
      </c>
      <c r="H169" s="32">
        <f t="shared" si="91"/>
        <v>7.972665148063782E-3</v>
      </c>
      <c r="I169" s="91">
        <f>IF(ISNUMBER(G169), $B172 * H169, "")</f>
        <v>1195.8997722095673</v>
      </c>
      <c r="J169" s="15">
        <v>883</v>
      </c>
      <c r="K169" s="32">
        <f t="shared" si="92"/>
        <v>5.6947608200455585E-3</v>
      </c>
      <c r="L169" s="18">
        <f>IF(ISNUMBER(J169), $B172 * K169, "")</f>
        <v>854.2141230068338</v>
      </c>
      <c r="M169" s="31">
        <v>878</v>
      </c>
      <c r="N169" s="32">
        <f t="shared" si="93"/>
        <v>0</v>
      </c>
      <c r="O169" s="18">
        <f>IF(ISNUMBER(M169), $B172 * N169, "")</f>
        <v>0</v>
      </c>
      <c r="Q169" s="146"/>
      <c r="R169" s="146"/>
      <c r="S169" s="146"/>
    </row>
    <row r="170" spans="1:19">
      <c r="A170" s="109" t="s">
        <v>317</v>
      </c>
      <c r="B170" s="110">
        <v>566</v>
      </c>
      <c r="C170" s="70">
        <v>-1.04895105E-2</v>
      </c>
      <c r="D170" s="15">
        <v>564</v>
      </c>
      <c r="E170" s="32">
        <f t="shared" si="90"/>
        <v>-3.5335689045936395E-3</v>
      </c>
      <c r="F170" s="18">
        <f>IF(ISNUMBER(D170), $B172 * E170, "")</f>
        <v>-530.03533568904595</v>
      </c>
      <c r="G170" s="31">
        <v>566</v>
      </c>
      <c r="H170" s="32">
        <f t="shared" si="91"/>
        <v>0</v>
      </c>
      <c r="I170" s="91">
        <f>IF(ISNUMBER(G170), $B172 * H170, "")</f>
        <v>0</v>
      </c>
      <c r="J170" s="15">
        <v>567</v>
      </c>
      <c r="K170" s="32">
        <f t="shared" si="92"/>
        <v>1.7667844522968198E-3</v>
      </c>
      <c r="L170" s="18">
        <f>IF(ISNUMBER(J170), $B172 * K170, "")</f>
        <v>265.01766784452298</v>
      </c>
      <c r="M170" s="31">
        <v>565</v>
      </c>
      <c r="N170" s="32">
        <f t="shared" si="93"/>
        <v>-1.7667844522968198E-3</v>
      </c>
      <c r="O170" s="18">
        <f>IF(ISNUMBER(M170), $B172 * N170, "")</f>
        <v>-265.01766784452298</v>
      </c>
      <c r="Q170" s="135"/>
      <c r="R170" s="136"/>
      <c r="S170" s="137"/>
    </row>
    <row r="171" spans="1:19" ht="17.25" thickBot="1">
      <c r="A171" s="114" t="s">
        <v>116</v>
      </c>
      <c r="B171" s="115">
        <v>914</v>
      </c>
      <c r="C171" s="72">
        <v>-2.0364415899999998E-2</v>
      </c>
      <c r="D171" s="24">
        <v>910</v>
      </c>
      <c r="E171" s="25">
        <f t="shared" si="90"/>
        <v>-4.3763676148796497E-3</v>
      </c>
      <c r="F171" s="94">
        <f>IF(ISNUMBER(D171), $B172 * E171, "")</f>
        <v>-656.45514223194743</v>
      </c>
      <c r="G171" s="92">
        <v>918</v>
      </c>
      <c r="H171" s="25">
        <f t="shared" si="91"/>
        <v>4.3763676148796497E-3</v>
      </c>
      <c r="I171" s="93">
        <f>IF(ISNUMBER(G171), $B172 * H171, "")</f>
        <v>656.45514223194743</v>
      </c>
      <c r="J171" s="24">
        <v>916</v>
      </c>
      <c r="K171" s="25">
        <f t="shared" si="92"/>
        <v>2.1881838074398249E-3</v>
      </c>
      <c r="L171" s="94">
        <f>IF(ISNUMBER(J171), $B172 * K171, "")</f>
        <v>328.22757111597372</v>
      </c>
      <c r="M171" s="92">
        <v>911</v>
      </c>
      <c r="N171" s="25">
        <f t="shared" si="93"/>
        <v>-3.2822757111597373E-3</v>
      </c>
      <c r="O171" s="94">
        <f>IF(ISNUMBER(M171), $B172 * N171, "")</f>
        <v>-492.3413566739606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9.5729515587436955E-4</v>
      </c>
      <c r="F172" s="28">
        <f>SUM(F152:F171)</f>
        <v>2871.8854676231099</v>
      </c>
      <c r="G172" s="26" t="s">
        <v>258</v>
      </c>
      <c r="H172" s="27">
        <f>IF(COUNT(H152:H171), SUM(H152:H171) / COUNT(H152:H171), 0)</f>
        <v>6.7884359866798357E-3</v>
      </c>
      <c r="I172" s="28">
        <f>SUM(I152:I171)</f>
        <v>20365.30796003951</v>
      </c>
      <c r="J172" s="26" t="s">
        <v>258</v>
      </c>
      <c r="K172" s="27">
        <f>IF(COUNT(K152:K171), SUM(K152:K171) / COUNT(K152:K171), 0)</f>
        <v>6.476361579253377E-3</v>
      </c>
      <c r="L172" s="28">
        <f>SUM(L152:L171)</f>
        <v>19429.084737760135</v>
      </c>
      <c r="M172" s="26" t="s">
        <v>258</v>
      </c>
      <c r="N172" s="27">
        <f>IF(COUNT(N152:N171), SUM(N152:N171) / COUNT(N152:N171), 0)</f>
        <v>7.449254022612341E-4</v>
      </c>
      <c r="O172" s="28">
        <f>SUM(O152:O171)</f>
        <v>2234.7762067837016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21539000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1.0224474E-3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2023-01-03(화) 오전 00:00</v>
      </c>
      <c r="C177" s="198"/>
      <c r="D177" s="170" t="str">
        <f>TEXT($G$1, "[$-ko-KR]yyyy-mm-dd(ddd) ") &amp; "오후 14:00"</f>
        <v>2023-01-03(화) 오후 14:00</v>
      </c>
      <c r="E177" s="171"/>
      <c r="F177" s="172"/>
      <c r="G177" s="170" t="str">
        <f>TEXT($G$1, "[$-ko-KR]yyyy-mm-dd(ddd) ") &amp; "오후 19:00"</f>
        <v>2023-01-03(화) 오후 19:00</v>
      </c>
      <c r="H177" s="171"/>
      <c r="I177" s="172"/>
      <c r="J177" s="170" t="str">
        <f>TEXT($G$1, "[$-ko-KR]yyyy-mm-dd(ddd) ") &amp; "오후 21:00"</f>
        <v>2023-01-03(화) 오후 21:00</v>
      </c>
      <c r="K177" s="171"/>
      <c r="L177" s="172"/>
      <c r="M177" s="170" t="str">
        <f>TEXT($G$1+1, "[$-ko-KR]yyyy-mm-dd(ddd) ") &amp; "오전 00:00"</f>
        <v>2023-01-04(수)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241</v>
      </c>
      <c r="B179" s="108">
        <v>87</v>
      </c>
      <c r="C179" s="69">
        <v>0</v>
      </c>
      <c r="D179" s="13">
        <v>86.4</v>
      </c>
      <c r="E179" s="14">
        <f>IF(ISNUMBER(D179), (D179 - $B179) / $B179, "")</f>
        <v>-6.8965517241378659E-3</v>
      </c>
      <c r="F179" s="16">
        <f>IF(ISNUMBER(D179), $B199 * E179, "")</f>
        <v>-1034.48275862068</v>
      </c>
      <c r="G179" s="29">
        <v>86.3</v>
      </c>
      <c r="H179" s="14">
        <f>IF(ISNUMBER(G179), (G179 - $B179) / $B179, "")</f>
        <v>-8.0459770114942857E-3</v>
      </c>
      <c r="I179" s="90">
        <f>IF(ISNUMBER(G179), $B199 * H179, "")</f>
        <v>-1206.8965517241429</v>
      </c>
      <c r="J179" s="13">
        <v>86.5</v>
      </c>
      <c r="K179" s="14">
        <f>IF(ISNUMBER(J179), (J179 - $B179) / $B179, "")</f>
        <v>-5.7471264367816091E-3</v>
      </c>
      <c r="L179" s="16">
        <f>IF(ISNUMBER(J179), $B199 * K179, "")</f>
        <v>-862.06896551724139</v>
      </c>
      <c r="M179" s="29">
        <v>86</v>
      </c>
      <c r="N179" s="14">
        <f>IF(ISNUMBER(M179), (M179 - $B179) / $B179, "")</f>
        <v>-1.1494252873563218E-2</v>
      </c>
      <c r="O179" s="16">
        <f>IF(ISNUMBER(M179), $B199 * N179, "")</f>
        <v>-1724.1379310344828</v>
      </c>
      <c r="Q179" s="156"/>
      <c r="R179" s="156"/>
      <c r="S179" s="156"/>
    </row>
    <row r="180" spans="1:19" ht="17.25" thickBot="1">
      <c r="A180" s="109" t="s">
        <v>97</v>
      </c>
      <c r="B180" s="110">
        <v>8.0000000000000004E-4</v>
      </c>
      <c r="C180" s="70">
        <v>0</v>
      </c>
      <c r="D180" s="15">
        <v>8.0000000000000004E-4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8.0000000000000004E-4</v>
      </c>
      <c r="H180" s="32">
        <f t="shared" ref="H180:H183" si="95">IF(ISNUMBER(G180), (G180 - $B180) / $B180, "")</f>
        <v>0</v>
      </c>
      <c r="I180" s="91">
        <f>IF(ISNUMBER(G180), $B199 * H180, "")</f>
        <v>0</v>
      </c>
      <c r="J180" s="15">
        <v>8.0000000000000004E-4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8.0000000000000004E-4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56"/>
      <c r="R180" s="156"/>
      <c r="S180" s="156"/>
    </row>
    <row r="181" spans="1:19" ht="17.25" thickBot="1">
      <c r="A181" s="109" t="s">
        <v>215</v>
      </c>
      <c r="B181" s="110">
        <v>281</v>
      </c>
      <c r="C181" s="70">
        <v>0</v>
      </c>
      <c r="D181" s="15">
        <v>283</v>
      </c>
      <c r="E181" s="32">
        <f t="shared" si="94"/>
        <v>7.1174377224199285E-3</v>
      </c>
      <c r="F181" s="18">
        <f>IF(ISNUMBER(D181), $B199 * E181, "")</f>
        <v>1067.6156583629893</v>
      </c>
      <c r="G181" s="31">
        <v>284</v>
      </c>
      <c r="H181" s="32">
        <f t="shared" si="95"/>
        <v>1.0676156583629894E-2</v>
      </c>
      <c r="I181" s="91">
        <f>IF(ISNUMBER(G181), $B199 * H181, "")</f>
        <v>1601.423487544484</v>
      </c>
      <c r="J181" s="15">
        <v>284</v>
      </c>
      <c r="K181" s="32">
        <f t="shared" si="96"/>
        <v>1.0676156583629894E-2</v>
      </c>
      <c r="L181" s="18">
        <f>IF(ISNUMBER(J181), $B199 * K181, "")</f>
        <v>1601.423487544484</v>
      </c>
      <c r="M181" s="31">
        <v>283</v>
      </c>
      <c r="N181" s="32">
        <f t="shared" si="97"/>
        <v>7.1174377224199285E-3</v>
      </c>
      <c r="O181" s="18">
        <f>IF(ISNUMBER(M181), $B199 * N181, "")</f>
        <v>1067.6156583629893</v>
      </c>
      <c r="Q181" s="146"/>
      <c r="R181" s="146"/>
      <c r="S181" s="146"/>
    </row>
    <row r="182" spans="1:19" ht="17.25" thickBot="1">
      <c r="A182" s="109" t="s">
        <v>64</v>
      </c>
      <c r="B182" s="110">
        <v>8.83</v>
      </c>
      <c r="C182" s="70">
        <v>0</v>
      </c>
      <c r="D182" s="15">
        <v>8.99</v>
      </c>
      <c r="E182" s="32">
        <f t="shared" si="94"/>
        <v>1.8120045300113265E-2</v>
      </c>
      <c r="F182" s="18">
        <f>IF(ISNUMBER(D182), $B199 * E182, "")</f>
        <v>2718.0067950169896</v>
      </c>
      <c r="G182" s="31">
        <v>9.0500000000000007</v>
      </c>
      <c r="H182" s="32">
        <f t="shared" si="95"/>
        <v>2.491506228765579E-2</v>
      </c>
      <c r="I182" s="91">
        <f>IF(ISNUMBER(G182), $B199 * H182, "")</f>
        <v>3737.2593431483683</v>
      </c>
      <c r="J182" s="15">
        <v>8.99</v>
      </c>
      <c r="K182" s="32">
        <f t="shared" si="96"/>
        <v>1.8120045300113265E-2</v>
      </c>
      <c r="L182" s="18">
        <f>IF(ISNUMBER(J182), $B199 * K182, "")</f>
        <v>2718.0067950169896</v>
      </c>
      <c r="M182" s="31">
        <v>8.9</v>
      </c>
      <c r="N182" s="32">
        <f t="shared" si="97"/>
        <v>7.9275198187995794E-3</v>
      </c>
      <c r="O182" s="18">
        <f>IF(ISNUMBER(M182), $B199 * N182, "")</f>
        <v>1189.127972819937</v>
      </c>
      <c r="Q182" s="146"/>
      <c r="R182" s="146"/>
      <c r="S182" s="146"/>
    </row>
    <row r="183" spans="1:19" ht="17.25" thickBot="1">
      <c r="A183" s="111" t="s">
        <v>211</v>
      </c>
      <c r="B183" s="112">
        <v>917</v>
      </c>
      <c r="C183" s="71">
        <v>0</v>
      </c>
      <c r="D183" s="20">
        <v>921</v>
      </c>
      <c r="E183" s="21">
        <f t="shared" si="94"/>
        <v>4.3620501635768813E-3</v>
      </c>
      <c r="F183" s="22">
        <f>IF(ISNUMBER(D183), $B199 * E183, "")</f>
        <v>654.30752453653224</v>
      </c>
      <c r="G183" s="30">
        <v>920</v>
      </c>
      <c r="H183" s="21">
        <f t="shared" si="95"/>
        <v>3.2715376226826608E-3</v>
      </c>
      <c r="I183" s="95">
        <f>IF(ISNUMBER(G183), $B199 * H183, "")</f>
        <v>490.7306434023991</v>
      </c>
      <c r="J183" s="20">
        <v>918</v>
      </c>
      <c r="K183" s="21">
        <f t="shared" si="96"/>
        <v>1.0905125408942203E-3</v>
      </c>
      <c r="L183" s="22">
        <f>IF(ISNUMBER(J183), $B199 * K183, "")</f>
        <v>163.57688113413306</v>
      </c>
      <c r="M183" s="30">
        <v>913</v>
      </c>
      <c r="N183" s="21">
        <f t="shared" si="97"/>
        <v>-4.3620501635768813E-3</v>
      </c>
      <c r="O183" s="22">
        <f>IF(ISNUMBER(M183), $B199 * N183, "")</f>
        <v>-654.30752453653224</v>
      </c>
      <c r="Q183" s="146"/>
      <c r="R183" s="146"/>
      <c r="S183" s="146"/>
    </row>
    <row r="184" spans="1:19" ht="17.25" thickBot="1">
      <c r="A184" s="109" t="s">
        <v>176</v>
      </c>
      <c r="B184" s="113">
        <v>281</v>
      </c>
      <c r="C184" s="73">
        <v>0</v>
      </c>
      <c r="D184" s="96">
        <v>278</v>
      </c>
      <c r="E184" s="97">
        <f>IF(ISNUMBER(D184), (D184 - $B184) / $B184, "")</f>
        <v>-1.0676156583629894E-2</v>
      </c>
      <c r="F184" s="98">
        <f>IF(ISNUMBER(D184), $B199 * E184, "")</f>
        <v>-1601.423487544484</v>
      </c>
      <c r="G184" s="99">
        <v>280</v>
      </c>
      <c r="H184" s="97">
        <f>IF(ISNUMBER(G184), (G184 - $B184) / $B184, "")</f>
        <v>-3.5587188612099642E-3</v>
      </c>
      <c r="I184" s="100">
        <f>IF(ISNUMBER(G184), $B199 * H184, "")</f>
        <v>-533.80782918149464</v>
      </c>
      <c r="J184" s="96">
        <v>280</v>
      </c>
      <c r="K184" s="97">
        <f>IF(ISNUMBER(J184), (J184 - $B184) / $B184, "")</f>
        <v>-3.5587188612099642E-3</v>
      </c>
      <c r="L184" s="98">
        <f>IF(ISNUMBER(J184), $B199 * K184, "")</f>
        <v>-533.80782918149464</v>
      </c>
      <c r="M184" s="99">
        <v>279</v>
      </c>
      <c r="N184" s="97">
        <f>IF(ISNUMBER(M184), (M184 - $B184) / $B184, "")</f>
        <v>-7.1174377224199285E-3</v>
      </c>
      <c r="O184" s="98">
        <f>IF(ISNUMBER(M184), $B199 * N184, "")</f>
        <v>-1067.6156583629893</v>
      </c>
      <c r="Q184" s="146"/>
      <c r="R184" s="146"/>
      <c r="S184" s="146"/>
    </row>
    <row r="185" spans="1:19" ht="17.25" thickBot="1">
      <c r="A185" s="109" t="s">
        <v>101</v>
      </c>
      <c r="B185" s="110">
        <v>195</v>
      </c>
      <c r="C185" s="70">
        <v>0</v>
      </c>
      <c r="D185" s="15">
        <v>197</v>
      </c>
      <c r="E185" s="32">
        <f t="shared" ref="E185:E188" si="98">IF(ISNUMBER(D185), (D185 - $B185) / $B185, "")</f>
        <v>1.0256410256410256E-2</v>
      </c>
      <c r="F185" s="18">
        <f>IF(ISNUMBER(D185), $B199 * E185, "")</f>
        <v>1538.4615384615386</v>
      </c>
      <c r="G185" s="31">
        <v>198</v>
      </c>
      <c r="H185" s="32">
        <f t="shared" ref="H185:H188" si="99">IF(ISNUMBER(G185), (G185 - $B185) / $B185, "")</f>
        <v>1.5384615384615385E-2</v>
      </c>
      <c r="I185" s="91">
        <f>IF(ISNUMBER(G185), $B199 * H185, "")</f>
        <v>2307.6923076923076</v>
      </c>
      <c r="J185" s="15">
        <v>197</v>
      </c>
      <c r="K185" s="32">
        <f t="shared" ref="K185:K188" si="100">IF(ISNUMBER(J185), (J185 - $B185) / $B185, "")</f>
        <v>1.0256410256410256E-2</v>
      </c>
      <c r="L185" s="18">
        <f>IF(ISNUMBER(J185), $B199 * K185, "")</f>
        <v>1538.4615384615386</v>
      </c>
      <c r="M185" s="31">
        <v>196</v>
      </c>
      <c r="N185" s="32">
        <f t="shared" ref="N185:N188" si="101">IF(ISNUMBER(M185), (M185 - $B185) / $B185, "")</f>
        <v>5.1282051282051282E-3</v>
      </c>
      <c r="O185" s="18">
        <f>IF(ISNUMBER(M185), $B199 * N185, "")</f>
        <v>769.23076923076928</v>
      </c>
      <c r="Q185" s="146"/>
      <c r="R185" s="146"/>
      <c r="S185" s="146"/>
    </row>
    <row r="186" spans="1:19" ht="17.25" thickBot="1">
      <c r="A186" s="109" t="s">
        <v>321</v>
      </c>
      <c r="B186" s="110">
        <v>153</v>
      </c>
      <c r="C186" s="70">
        <v>0</v>
      </c>
      <c r="D186" s="15">
        <v>154</v>
      </c>
      <c r="E186" s="32">
        <f t="shared" si="98"/>
        <v>6.5359477124183009E-3</v>
      </c>
      <c r="F186" s="18">
        <f>IF(ISNUMBER(D186), $B199 * E186, "")</f>
        <v>980.39215686274508</v>
      </c>
      <c r="G186" s="31">
        <v>155</v>
      </c>
      <c r="H186" s="32">
        <f t="shared" si="99"/>
        <v>1.3071895424836602E-2</v>
      </c>
      <c r="I186" s="91">
        <f>IF(ISNUMBER(G186), $B199 * H186, "")</f>
        <v>1960.7843137254902</v>
      </c>
      <c r="J186" s="15">
        <v>155</v>
      </c>
      <c r="K186" s="32">
        <f t="shared" si="100"/>
        <v>1.3071895424836602E-2</v>
      </c>
      <c r="L186" s="18">
        <f>IF(ISNUMBER(J186), $B199 * K186, "")</f>
        <v>1960.7843137254902</v>
      </c>
      <c r="M186" s="31">
        <v>154</v>
      </c>
      <c r="N186" s="32">
        <f t="shared" si="101"/>
        <v>6.5359477124183009E-3</v>
      </c>
      <c r="O186" s="18">
        <f>IF(ISNUMBER(M186), $B199 * N186, "")</f>
        <v>980.39215686274508</v>
      </c>
      <c r="Q186" s="146"/>
      <c r="R186" s="146"/>
      <c r="S186" s="146"/>
    </row>
    <row r="187" spans="1:19" ht="17.25" thickBot="1">
      <c r="A187" s="109" t="s">
        <v>167</v>
      </c>
      <c r="B187" s="110">
        <v>157</v>
      </c>
      <c r="C187" s="70">
        <v>0</v>
      </c>
      <c r="D187" s="15">
        <v>158</v>
      </c>
      <c r="E187" s="32">
        <f t="shared" si="98"/>
        <v>6.369426751592357E-3</v>
      </c>
      <c r="F187" s="18">
        <f>IF(ISNUMBER(D187), $B199 * E187, "")</f>
        <v>955.41401273885356</v>
      </c>
      <c r="G187" s="31">
        <v>159</v>
      </c>
      <c r="H187" s="32">
        <f t="shared" si="99"/>
        <v>1.2738853503184714E-2</v>
      </c>
      <c r="I187" s="91">
        <f>IF(ISNUMBER(G187), $B199 * H187, "")</f>
        <v>1910.8280254777071</v>
      </c>
      <c r="J187" s="15">
        <v>160</v>
      </c>
      <c r="K187" s="32">
        <f t="shared" si="100"/>
        <v>1.9108280254777069E-2</v>
      </c>
      <c r="L187" s="18">
        <f>IF(ISNUMBER(J187), $B199 * K187, "")</f>
        <v>2866.2420382165606</v>
      </c>
      <c r="M187" s="31">
        <v>158</v>
      </c>
      <c r="N187" s="32">
        <f t="shared" si="101"/>
        <v>6.369426751592357E-3</v>
      </c>
      <c r="O187" s="18">
        <f>IF(ISNUMBER(M187), $B199 * N187, "")</f>
        <v>955.41401273885356</v>
      </c>
      <c r="Q187" s="33"/>
      <c r="R187" s="33"/>
    </row>
    <row r="188" spans="1:19" ht="17.25" thickBot="1">
      <c r="A188" s="114" t="s">
        <v>213</v>
      </c>
      <c r="B188" s="115">
        <v>405</v>
      </c>
      <c r="C188" s="72">
        <v>0</v>
      </c>
      <c r="D188" s="24">
        <v>405</v>
      </c>
      <c r="E188" s="25">
        <f t="shared" si="98"/>
        <v>0</v>
      </c>
      <c r="F188" s="94">
        <f>IF(ISNUMBER(D188), $B199 * E188, "")</f>
        <v>0</v>
      </c>
      <c r="G188" s="92">
        <v>408</v>
      </c>
      <c r="H188" s="25">
        <f t="shared" si="99"/>
        <v>7.4074074074074077E-3</v>
      </c>
      <c r="I188" s="93">
        <f>IF(ISNUMBER(G188), $B199 * H188, "")</f>
        <v>1111.1111111111111</v>
      </c>
      <c r="J188" s="24">
        <v>410</v>
      </c>
      <c r="K188" s="25">
        <f t="shared" si="100"/>
        <v>1.2345679012345678E-2</v>
      </c>
      <c r="L188" s="94">
        <f>IF(ISNUMBER(J188), $B199 * K188, "")</f>
        <v>1851.8518518518517</v>
      </c>
      <c r="M188" s="92">
        <v>402</v>
      </c>
      <c r="N188" s="25">
        <f t="shared" si="101"/>
        <v>-7.4074074074074077E-3</v>
      </c>
      <c r="O188" s="94">
        <f>IF(ISNUMBER(M188), $B199 * N188, "")</f>
        <v>-1111.1111111111111</v>
      </c>
      <c r="Q188" s="147"/>
      <c r="R188" s="148"/>
      <c r="S188" s="149"/>
    </row>
    <row r="189" spans="1:19">
      <c r="A189" s="107" t="s">
        <v>141</v>
      </c>
      <c r="B189" s="108">
        <v>2.91</v>
      </c>
      <c r="C189" s="69">
        <v>0</v>
      </c>
      <c r="D189" s="13">
        <v>2.92</v>
      </c>
      <c r="E189" s="14">
        <f>IF(ISNUMBER(D189), (D189 - $B189) / $B189, "")</f>
        <v>3.4364261168384146E-3</v>
      </c>
      <c r="F189" s="16">
        <f>IF(ISNUMBER(D189), $B199 * E189, "")</f>
        <v>515.46391752576221</v>
      </c>
      <c r="G189" s="29">
        <v>2.94</v>
      </c>
      <c r="H189" s="14">
        <f>IF(ISNUMBER(G189), (G189 - $B189) / $B189, "")</f>
        <v>1.0309278350515396E-2</v>
      </c>
      <c r="I189" s="90">
        <f>IF(ISNUMBER(G189), $B199 * H189, "")</f>
        <v>1546.3917525773095</v>
      </c>
      <c r="J189" s="13">
        <v>2.94</v>
      </c>
      <c r="K189" s="14">
        <f>IF(ISNUMBER(J189), (J189 - $B189) / $B189, "")</f>
        <v>1.0309278350515396E-2</v>
      </c>
      <c r="L189" s="16">
        <f>IF(ISNUMBER(J189), $B199 * K189, "")</f>
        <v>1546.3917525773095</v>
      </c>
      <c r="M189" s="29">
        <v>2.92</v>
      </c>
      <c r="N189" s="14">
        <f>IF(ISNUMBER(M189), (M189 - $B189) / $B189, "")</f>
        <v>3.4364261168384146E-3</v>
      </c>
      <c r="O189" s="16">
        <f>IF(ISNUMBER(M189), $B199 * N189, "")</f>
        <v>515.46391752576221</v>
      </c>
      <c r="Q189" s="150"/>
      <c r="R189" s="151"/>
      <c r="S189" s="152"/>
    </row>
    <row r="190" spans="1:19" ht="17.25" thickBot="1">
      <c r="A190" s="109" t="s">
        <v>235</v>
      </c>
      <c r="B190" s="110">
        <v>498</v>
      </c>
      <c r="C190" s="70">
        <v>0</v>
      </c>
      <c r="D190" s="15">
        <v>502</v>
      </c>
      <c r="E190" s="32">
        <f t="shared" ref="E190:E193" si="102">IF(ISNUMBER(D190), (D190 - $B190) / $B190, "")</f>
        <v>8.0321285140562242E-3</v>
      </c>
      <c r="F190" s="18">
        <f>IF(ISNUMBER(D190), $B199 * E190, "")</f>
        <v>1204.8192771084337</v>
      </c>
      <c r="G190" s="31">
        <v>503</v>
      </c>
      <c r="H190" s="32">
        <f t="shared" ref="H190:H193" si="103">IF(ISNUMBER(G190), (G190 - $B190) / $B190, "")</f>
        <v>1.0040160642570281E-2</v>
      </c>
      <c r="I190" s="91">
        <f>IF(ISNUMBER(G190), $B199 * H190, "")</f>
        <v>1506.0240963855422</v>
      </c>
      <c r="J190" s="15">
        <v>503</v>
      </c>
      <c r="K190" s="32">
        <f t="shared" ref="K190:K193" si="104">IF(ISNUMBER(J190), (J190 - $B190) / $B190, "")</f>
        <v>1.0040160642570281E-2</v>
      </c>
      <c r="L190" s="18">
        <f>IF(ISNUMBER(J190), $B199 * K190, "")</f>
        <v>1506.0240963855422</v>
      </c>
      <c r="M190" s="31">
        <v>501</v>
      </c>
      <c r="N190" s="32">
        <f t="shared" ref="N190:N193" si="105">IF(ISNUMBER(M190), (M190 - $B190) / $B190, "")</f>
        <v>6.024096385542169E-3</v>
      </c>
      <c r="O190" s="18">
        <f>IF(ISNUMBER(M190), $B199 * N190, "")</f>
        <v>903.61445783132535</v>
      </c>
      <c r="Q190" s="153"/>
      <c r="R190" s="154"/>
      <c r="S190" s="155"/>
    </row>
    <row r="191" spans="1:19" ht="17.25" thickBot="1">
      <c r="A191" s="109" t="s">
        <v>122</v>
      </c>
      <c r="B191" s="110">
        <v>20.399999999999999</v>
      </c>
      <c r="C191" s="70">
        <v>0</v>
      </c>
      <c r="D191" s="15">
        <v>20.399999999999999</v>
      </c>
      <c r="E191" s="32">
        <f t="shared" si="102"/>
        <v>0</v>
      </c>
      <c r="F191" s="18">
        <f>IF(ISNUMBER(D191), $B199 * E191, "")</f>
        <v>0</v>
      </c>
      <c r="G191" s="31">
        <v>20.6</v>
      </c>
      <c r="H191" s="32">
        <f t="shared" si="103"/>
        <v>9.8039215686275914E-3</v>
      </c>
      <c r="I191" s="91">
        <f>IF(ISNUMBER(G191), $B199 * H191, "")</f>
        <v>1470.5882352941387</v>
      </c>
      <c r="J191" s="15">
        <v>20.6</v>
      </c>
      <c r="K191" s="32">
        <f t="shared" si="104"/>
        <v>9.8039215686275914E-3</v>
      </c>
      <c r="L191" s="18">
        <f>IF(ISNUMBER(J191), $B199 * K191, "")</f>
        <v>1470.5882352941387</v>
      </c>
      <c r="M191" s="31">
        <v>20.6</v>
      </c>
      <c r="N191" s="32">
        <f t="shared" si="105"/>
        <v>9.8039215686275914E-3</v>
      </c>
      <c r="O191" s="18">
        <f>IF(ISNUMBER(M191), $B199 * N191, "")</f>
        <v>1470.5882352941387</v>
      </c>
      <c r="Q191" s="146"/>
      <c r="R191" s="146"/>
      <c r="S191" s="146"/>
    </row>
    <row r="192" spans="1:19" ht="17.25" thickBot="1">
      <c r="A192" s="109" t="s">
        <v>71</v>
      </c>
      <c r="B192" s="110">
        <v>9.92</v>
      </c>
      <c r="C192" s="70">
        <v>-1.0070493E-3</v>
      </c>
      <c r="D192" s="15">
        <v>9.8000000000000007</v>
      </c>
      <c r="E192" s="32">
        <f t="shared" si="102"/>
        <v>-1.2096774193548309E-2</v>
      </c>
      <c r="F192" s="18">
        <f>IF(ISNUMBER(D192), $B199 * E192, "")</f>
        <v>-1814.5161290322462</v>
      </c>
      <c r="G192" s="31">
        <v>9.85</v>
      </c>
      <c r="H192" s="32">
        <f t="shared" si="103"/>
        <v>-7.0564516129032542E-3</v>
      </c>
      <c r="I192" s="91">
        <f>IF(ISNUMBER(G192), $B199 * H192, "")</f>
        <v>-1058.4677419354882</v>
      </c>
      <c r="J192" s="15">
        <v>9.8000000000000007</v>
      </c>
      <c r="K192" s="32">
        <f t="shared" si="104"/>
        <v>-1.2096774193548309E-2</v>
      </c>
      <c r="L192" s="18">
        <f>IF(ISNUMBER(J192), $B199 * K192, "")</f>
        <v>-1814.5161290322462</v>
      </c>
      <c r="M192" s="31">
        <v>9.7899999999999991</v>
      </c>
      <c r="N192" s="32">
        <f t="shared" si="105"/>
        <v>-1.3104838709677498E-2</v>
      </c>
      <c r="O192" s="18">
        <f>IF(ISNUMBER(M192), $B199 * N192, "")</f>
        <v>-1965.7258064516247</v>
      </c>
      <c r="Q192" s="156"/>
      <c r="R192" s="156"/>
      <c r="S192" s="156"/>
    </row>
    <row r="193" spans="1:19" ht="17.25" thickBot="1">
      <c r="A193" s="111" t="s">
        <v>136</v>
      </c>
      <c r="B193" s="112">
        <v>2565</v>
      </c>
      <c r="C193" s="71">
        <v>-1.9455252999999999E-3</v>
      </c>
      <c r="D193" s="20">
        <v>2570</v>
      </c>
      <c r="E193" s="21">
        <f t="shared" si="102"/>
        <v>1.9493177387914229E-3</v>
      </c>
      <c r="F193" s="22">
        <f>IF(ISNUMBER(D193), $B199 * E193, "")</f>
        <v>292.39766081871346</v>
      </c>
      <c r="G193" s="30">
        <v>2590</v>
      </c>
      <c r="H193" s="21">
        <f t="shared" si="103"/>
        <v>9.7465886939571145E-3</v>
      </c>
      <c r="I193" s="95">
        <f>IF(ISNUMBER(G193), $B199 * H193, "")</f>
        <v>1461.9883040935672</v>
      </c>
      <c r="J193" s="20">
        <v>2590</v>
      </c>
      <c r="K193" s="21">
        <f t="shared" si="104"/>
        <v>9.7465886939571145E-3</v>
      </c>
      <c r="L193" s="22">
        <f>IF(ISNUMBER(J193), $B199 * K193, "")</f>
        <v>1461.9883040935672</v>
      </c>
      <c r="M193" s="30">
        <v>2580</v>
      </c>
      <c r="N193" s="21">
        <f t="shared" si="105"/>
        <v>5.8479532163742687E-3</v>
      </c>
      <c r="O193" s="22">
        <f>IF(ISNUMBER(M193), $B199 * N193, "")</f>
        <v>877.19298245614027</v>
      </c>
      <c r="Q193" s="156"/>
      <c r="R193" s="156"/>
      <c r="S193" s="156"/>
    </row>
    <row r="194" spans="1:19" ht="17.25" thickBot="1">
      <c r="A194" s="109" t="s">
        <v>165</v>
      </c>
      <c r="B194" s="113">
        <v>878</v>
      </c>
      <c r="C194" s="73">
        <v>-4.5351473999999999E-3</v>
      </c>
      <c r="D194" s="96">
        <v>881</v>
      </c>
      <c r="E194" s="97">
        <f>IF(ISNUMBER(D194), (D194 - $B194) / $B194, "")</f>
        <v>3.4168564920273349E-3</v>
      </c>
      <c r="F194" s="98">
        <f>IF(ISNUMBER(D194), $B199 * E194, "")</f>
        <v>512.52847380410026</v>
      </c>
      <c r="G194" s="99">
        <v>885</v>
      </c>
      <c r="H194" s="97">
        <f>IF(ISNUMBER(G194), (G194 - $B194) / $B194, "")</f>
        <v>7.972665148063782E-3</v>
      </c>
      <c r="I194" s="100">
        <f>IF(ISNUMBER(G194), $B199 * H194, "")</f>
        <v>1195.8997722095673</v>
      </c>
      <c r="J194" s="96">
        <v>883</v>
      </c>
      <c r="K194" s="97">
        <f>IF(ISNUMBER(J194), (J194 - $B194) / $B194, "")</f>
        <v>5.6947608200455585E-3</v>
      </c>
      <c r="L194" s="98">
        <f>IF(ISNUMBER(J194), $B199 * K194, "")</f>
        <v>854.2141230068338</v>
      </c>
      <c r="M194" s="99">
        <v>878</v>
      </c>
      <c r="N194" s="97">
        <f>IF(ISNUMBER(M194), (M194 - $B194) / $B194, "")</f>
        <v>0</v>
      </c>
      <c r="O194" s="98">
        <f>IF(ISNUMBER(M194), $B199 * N194, "")</f>
        <v>0</v>
      </c>
      <c r="Q194" s="146"/>
      <c r="R194" s="146"/>
      <c r="S194" s="146"/>
    </row>
    <row r="195" spans="1:19" ht="17.25" thickBot="1">
      <c r="A195" s="109" t="s">
        <v>317</v>
      </c>
      <c r="B195" s="110">
        <v>566</v>
      </c>
      <c r="C195" s="70">
        <v>-1.04895105E-2</v>
      </c>
      <c r="D195" s="15">
        <v>564</v>
      </c>
      <c r="E195" s="32">
        <f t="shared" ref="E195:E198" si="106">IF(ISNUMBER(D195), (D195 - $B195) / $B195, "")</f>
        <v>-3.5335689045936395E-3</v>
      </c>
      <c r="F195" s="18">
        <f>IF(ISNUMBER(D195), $B199 * E195, "")</f>
        <v>-530.03533568904595</v>
      </c>
      <c r="G195" s="31">
        <v>566</v>
      </c>
      <c r="H195" s="32">
        <f t="shared" ref="H195:H198" si="107">IF(ISNUMBER(G195), (G195 - $B195) / $B195, "")</f>
        <v>0</v>
      </c>
      <c r="I195" s="91">
        <f>IF(ISNUMBER(G195), $B199 * H195, "")</f>
        <v>0</v>
      </c>
      <c r="J195" s="15">
        <v>567</v>
      </c>
      <c r="K195" s="32">
        <f t="shared" ref="K195:K198" si="108">IF(ISNUMBER(J195), (J195 - $B195) / $B195, "")</f>
        <v>1.7667844522968198E-3</v>
      </c>
      <c r="L195" s="18">
        <f>IF(ISNUMBER(J195), $B199 * K195, "")</f>
        <v>265.01766784452298</v>
      </c>
      <c r="M195" s="31">
        <v>565</v>
      </c>
      <c r="N195" s="32">
        <f t="shared" ref="N195:N198" si="109">IF(ISNUMBER(M195), (M195 - $B195) / $B195, "")</f>
        <v>-1.7667844522968198E-3</v>
      </c>
      <c r="O195" s="18">
        <f>IF(ISNUMBER(M195), $B199 * N195, "")</f>
        <v>-265.01766784452298</v>
      </c>
      <c r="Q195" s="146"/>
      <c r="R195" s="146"/>
      <c r="S195" s="146"/>
    </row>
    <row r="196" spans="1:19" ht="17.25" thickBot="1">
      <c r="A196" s="109" t="s">
        <v>350</v>
      </c>
      <c r="B196" s="110">
        <v>5.56</v>
      </c>
      <c r="C196" s="70">
        <v>-1.4184397200000001E-2</v>
      </c>
      <c r="D196" s="15">
        <v>5.57</v>
      </c>
      <c r="E196" s="32">
        <f t="shared" si="106"/>
        <v>1.7985611510792582E-3</v>
      </c>
      <c r="F196" s="18">
        <f>IF(ISNUMBER(D196), $B199 * E196, "")</f>
        <v>269.78417266188876</v>
      </c>
      <c r="G196" s="31">
        <v>5.59</v>
      </c>
      <c r="H196" s="32">
        <f t="shared" si="107"/>
        <v>5.3956834532374555E-3</v>
      </c>
      <c r="I196" s="91">
        <f>IF(ISNUMBER(G196), $B199 * H196, "")</f>
        <v>809.35251798561831</v>
      </c>
      <c r="J196" s="15">
        <v>5.6</v>
      </c>
      <c r="K196" s="32">
        <f t="shared" si="108"/>
        <v>7.1942446043165541E-3</v>
      </c>
      <c r="L196" s="18">
        <f>IF(ISNUMBER(J196), $B199 * K196, "")</f>
        <v>1079.1366906474832</v>
      </c>
      <c r="M196" s="31">
        <v>5.58</v>
      </c>
      <c r="N196" s="32">
        <f t="shared" si="109"/>
        <v>3.5971223021583568E-3</v>
      </c>
      <c r="O196" s="18">
        <f>IF(ISNUMBER(M196), $B199 * N196, "")</f>
        <v>539.56834532375353</v>
      </c>
      <c r="Q196" s="146"/>
      <c r="R196" s="146"/>
      <c r="S196" s="146"/>
    </row>
    <row r="197" spans="1:19">
      <c r="A197" s="109" t="s">
        <v>116</v>
      </c>
      <c r="B197" s="110">
        <v>914</v>
      </c>
      <c r="C197" s="70">
        <v>-2.0364415899999998E-2</v>
      </c>
      <c r="D197" s="15">
        <v>910</v>
      </c>
      <c r="E197" s="32">
        <f t="shared" si="106"/>
        <v>-4.3763676148796497E-3</v>
      </c>
      <c r="F197" s="18">
        <f>IF(ISNUMBER(D197), $B199 * E197, "")</f>
        <v>-656.45514223194743</v>
      </c>
      <c r="G197" s="31">
        <v>918</v>
      </c>
      <c r="H197" s="32">
        <f t="shared" si="107"/>
        <v>4.3763676148796497E-3</v>
      </c>
      <c r="I197" s="91">
        <f>IF(ISNUMBER(G197), $B199 * H197, "")</f>
        <v>656.45514223194743</v>
      </c>
      <c r="J197" s="15">
        <v>916</v>
      </c>
      <c r="K197" s="32">
        <f t="shared" si="108"/>
        <v>2.1881838074398249E-3</v>
      </c>
      <c r="L197" s="18">
        <f>IF(ISNUMBER(J197), $B199 * K197, "")</f>
        <v>328.22757111597372</v>
      </c>
      <c r="M197" s="31">
        <v>911</v>
      </c>
      <c r="N197" s="32">
        <f t="shared" si="109"/>
        <v>-3.2822757111597373E-3</v>
      </c>
      <c r="O197" s="18">
        <f>IF(ISNUMBER(M197), $B199 * N197, "")</f>
        <v>-492.3413566739606</v>
      </c>
      <c r="Q197" s="135"/>
      <c r="R197" s="136"/>
      <c r="S197" s="137"/>
    </row>
    <row r="198" spans="1:19" ht="17.25" thickBot="1">
      <c r="A198" s="114" t="s">
        <v>113</v>
      </c>
      <c r="B198" s="115">
        <v>1060</v>
      </c>
      <c r="C198" s="72">
        <v>-2.7522935799999999E-2</v>
      </c>
      <c r="D198" s="24">
        <v>1070</v>
      </c>
      <c r="E198" s="25">
        <f t="shared" si="106"/>
        <v>9.433962264150943E-3</v>
      </c>
      <c r="F198" s="94">
        <f>IF(ISNUMBER(D198), $B199 * E198, "")</f>
        <v>1415.0943396226414</v>
      </c>
      <c r="G198" s="92">
        <v>1075</v>
      </c>
      <c r="H198" s="25">
        <f t="shared" si="107"/>
        <v>1.4150943396226415E-2</v>
      </c>
      <c r="I198" s="93">
        <f>IF(ISNUMBER(G198), $B199 * H198, "")</f>
        <v>2122.6415094339623</v>
      </c>
      <c r="J198" s="24">
        <v>1080</v>
      </c>
      <c r="K198" s="25">
        <f t="shared" si="108"/>
        <v>1.8867924528301886E-2</v>
      </c>
      <c r="L198" s="94">
        <f>IF(ISNUMBER(J198), $B199 * K198, "")</f>
        <v>2830.1886792452829</v>
      </c>
      <c r="M198" s="92">
        <v>1090</v>
      </c>
      <c r="N198" s="25">
        <f t="shared" si="109"/>
        <v>2.8301886792452831E-2</v>
      </c>
      <c r="O198" s="94">
        <f>IF(ISNUMBER(M198), $B199 * N198, "")</f>
        <v>4245.2830188679245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2.1624575581342615E-3</v>
      </c>
      <c r="F199" s="28">
        <f>SUM(F179:F198)</f>
        <v>6487.3726744027836</v>
      </c>
      <c r="G199" s="26" t="s">
        <v>258</v>
      </c>
      <c r="H199" s="27">
        <f>IF(COUNT(H179:H198), SUM(H179:H198) / COUNT(H179:H198), 0)</f>
        <v>7.0299994798241321E-3</v>
      </c>
      <c r="I199" s="28">
        <f>SUM(I179:I198)</f>
        <v>21089.998439472398</v>
      </c>
      <c r="J199" s="26" t="s">
        <v>258</v>
      </c>
      <c r="K199" s="27">
        <f>IF(COUNT(K179:K198), SUM(K179:K198) / COUNT(K179:K198), 0)</f>
        <v>6.9439103674769059E-3</v>
      </c>
      <c r="L199" s="28">
        <f>SUM(L179:L198)</f>
        <v>20831.73110243072</v>
      </c>
      <c r="M199" s="26" t="s">
        <v>258</v>
      </c>
      <c r="N199" s="27">
        <f>IF(COUNT(N179:N198), SUM(N179:N198) / COUNT(N179:N198), 0)</f>
        <v>2.0777448237663718E-3</v>
      </c>
      <c r="O199" s="28">
        <f>SUM(O179:O198)</f>
        <v>6233.2344712991153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CB893-56E3-4C73-A693-7FBE8D70B794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44930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103,376 KRW (3.45%)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59,107 KRW (1.97%)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89,239 KRW (2.97%)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58,301 KRW (1.94%)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21539000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1.0224474E-3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2023-01-04(수) 오전 00:00</v>
      </c>
      <c r="C15" s="196"/>
      <c r="D15" s="170" t="str">
        <f>TEXT($G$1, "[$-ko-KR]yyyy-mm-dd(ddd) ") &amp; "오후 14:00"</f>
        <v>2023-01-04(수) 오후 14:00</v>
      </c>
      <c r="E15" s="171"/>
      <c r="F15" s="172"/>
      <c r="G15" s="170" t="str">
        <f>TEXT($G$1, "[$-ko-KR]yyyy-mm-dd(ddd) ") &amp; "오후 19:00"</f>
        <v>2023-01-04(수) 오후 19:00</v>
      </c>
      <c r="H15" s="171"/>
      <c r="I15" s="172"/>
      <c r="J15" s="170" t="str">
        <f>TEXT($G$1, "[$-ko-KR]yyyy-mm-dd(ddd) ") &amp; "오후 21:00"</f>
        <v>2023-01-04(수) 오후 21:00</v>
      </c>
      <c r="K15" s="171"/>
      <c r="L15" s="172"/>
      <c r="M15" s="170" t="str">
        <f>TEXT($G$1+1, "[$-ko-KR]yyyy-mm-dd(ddd) ") &amp; "오전 00:00"</f>
        <v>2023-01-05(목)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21539000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1.0224474E-3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2023-01-04(수) 오전 00:00</v>
      </c>
      <c r="C42" s="198"/>
      <c r="D42" s="170" t="str">
        <f>TEXT($G$1, "[$-ko-KR]yyyy-mm-dd(ddd) ") &amp; "오후 14:00"</f>
        <v>2023-01-04(수) 오후 14:00</v>
      </c>
      <c r="E42" s="171"/>
      <c r="F42" s="172"/>
      <c r="G42" s="170" t="str">
        <f>TEXT($G$1, "[$-ko-KR]yyyy-mm-dd(ddd) ") &amp; "오후 19:00"</f>
        <v>2023-01-04(수) 오후 19:00</v>
      </c>
      <c r="H42" s="171"/>
      <c r="I42" s="172"/>
      <c r="J42" s="170" t="str">
        <f>TEXT($G$1, "[$-ko-KR]yyyy-mm-dd(ddd) ") &amp; "오후 21:00"</f>
        <v>2023-01-04(수) 오후 21:00</v>
      </c>
      <c r="K42" s="171"/>
      <c r="L42" s="172"/>
      <c r="M42" s="170" t="str">
        <f>TEXT($G$1+1, "[$-ko-KR]yyyy-mm-dd(ddd) ") &amp; "오전 00:00"</f>
        <v>2023-01-05(목)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155</v>
      </c>
      <c r="B44" s="108">
        <v>24.5</v>
      </c>
      <c r="C44" s="69">
        <v>1.2396694200000001E-2</v>
      </c>
      <c r="D44" s="13">
        <v>24.8</v>
      </c>
      <c r="E44" s="14">
        <f>IF(ISNUMBER(D44), (D44 - $B44) / $B44, "")</f>
        <v>1.2244897959183702E-2</v>
      </c>
      <c r="F44" s="16">
        <f>IF(ISNUMBER(D44), $B64 * E44, "")</f>
        <v>1836.7346938775554</v>
      </c>
      <c r="G44" s="29">
        <v>24.8</v>
      </c>
      <c r="H44" s="14">
        <f>IF(ISNUMBER(G44), (G44 - $B44) / $B44, "")</f>
        <v>1.2244897959183702E-2</v>
      </c>
      <c r="I44" s="90">
        <f>IF(ISNUMBER(G44), $B64 * H44, "")</f>
        <v>1836.7346938775554</v>
      </c>
      <c r="J44" s="13">
        <v>24.9</v>
      </c>
      <c r="K44" s="14">
        <f>IF(ISNUMBER(J44), (J44 - $B44) / $B44, "")</f>
        <v>1.632653061224484E-2</v>
      </c>
      <c r="L44" s="16">
        <f>IF(ISNUMBER(J44), $B64 * K44, "")</f>
        <v>2448.9795918367263</v>
      </c>
      <c r="M44" s="29">
        <v>24.8</v>
      </c>
      <c r="N44" s="14">
        <f>IF(ISNUMBER(M44), (M44 - $B44) / $B44, "")</f>
        <v>1.2244897959183702E-2</v>
      </c>
      <c r="O44" s="16">
        <f>IF(ISNUMBER(M44), $B64 * N44, "")</f>
        <v>1836.7346938775554</v>
      </c>
      <c r="Q44" s="156"/>
      <c r="R44" s="156"/>
      <c r="S44" s="156"/>
    </row>
    <row r="45" spans="1:19" ht="17.25" customHeight="1" thickBot="1">
      <c r="A45" s="109" t="s">
        <v>203</v>
      </c>
      <c r="B45" s="110">
        <v>2.96</v>
      </c>
      <c r="C45" s="70">
        <v>1.02389078E-2</v>
      </c>
      <c r="D45" s="15">
        <v>3.02</v>
      </c>
      <c r="E45" s="32">
        <f t="shared" ref="E45:E48" si="14">IF(ISNUMBER(D45), (D45 - $B45) / $B45, "")</f>
        <v>2.0270270270270289E-2</v>
      </c>
      <c r="F45" s="18">
        <f>IF(ISNUMBER(D45), $B64 * E45, "")</f>
        <v>3040.5405405405431</v>
      </c>
      <c r="G45" s="31">
        <v>2.99</v>
      </c>
      <c r="H45" s="32">
        <f t="shared" ref="H45:H48" si="15">IF(ISNUMBER(G45), (G45 - $B45) / $B45, "")</f>
        <v>1.0135135135135219E-2</v>
      </c>
      <c r="I45" s="91">
        <f>IF(ISNUMBER(G45), $B64 * H45, "")</f>
        <v>1520.2702702702829</v>
      </c>
      <c r="J45" s="15">
        <v>3.01</v>
      </c>
      <c r="K45" s="32">
        <f t="shared" ref="K45:K48" si="16">IF(ISNUMBER(J45), (J45 - $B45) / $B45, "")</f>
        <v>1.689189189189183E-2</v>
      </c>
      <c r="L45" s="18">
        <f>IF(ISNUMBER(J45), $B64 * K45, "")</f>
        <v>2533.7837837837747</v>
      </c>
      <c r="M45" s="31">
        <v>3.01</v>
      </c>
      <c r="N45" s="32">
        <f t="shared" ref="N45:N48" si="17">IF(ISNUMBER(M45), (M45 - $B45) / $B45, "")</f>
        <v>1.689189189189183E-2</v>
      </c>
      <c r="O45" s="18">
        <f>IF(ISNUMBER(M45), $B64 * N45, "")</f>
        <v>2533.7837837837747</v>
      </c>
      <c r="Q45" s="156"/>
      <c r="R45" s="156"/>
      <c r="S45" s="156"/>
    </row>
    <row r="46" spans="1:19" ht="17.25" customHeight="1" thickBot="1">
      <c r="A46" s="109" t="s">
        <v>145</v>
      </c>
      <c r="B46" s="110">
        <v>70.7</v>
      </c>
      <c r="C46" s="70">
        <v>8.5592011000000003E-3</v>
      </c>
      <c r="D46" s="15">
        <v>71.099999999999994</v>
      </c>
      <c r="E46" s="32">
        <f t="shared" si="14"/>
        <v>5.6577086280055365E-3</v>
      </c>
      <c r="F46" s="18">
        <f>IF(ISNUMBER(D46), $B64 * E46, "")</f>
        <v>848.65629420083042</v>
      </c>
      <c r="G46" s="31">
        <v>70.7</v>
      </c>
      <c r="H46" s="32">
        <f t="shared" si="15"/>
        <v>0</v>
      </c>
      <c r="I46" s="91">
        <f>IF(ISNUMBER(G46), $B64 * H46, "")</f>
        <v>0</v>
      </c>
      <c r="J46" s="15">
        <v>70.599999999999994</v>
      </c>
      <c r="K46" s="32">
        <f t="shared" si="16"/>
        <v>-1.414427157001535E-3</v>
      </c>
      <c r="L46" s="18">
        <f>IF(ISNUMBER(J46), $B64 * K46, "")</f>
        <v>-212.16407355023026</v>
      </c>
      <c r="M46" s="31">
        <v>70.400000000000006</v>
      </c>
      <c r="N46" s="32">
        <f t="shared" si="17"/>
        <v>-4.2432814710042033E-3</v>
      </c>
      <c r="O46" s="18">
        <f>IF(ISNUMBER(M46), $B64 * N46, "")</f>
        <v>-636.49222065063054</v>
      </c>
      <c r="Q46" s="146"/>
      <c r="R46" s="146"/>
      <c r="S46" s="146"/>
    </row>
    <row r="47" spans="1:19" ht="17.25" customHeight="1" thickBot="1">
      <c r="A47" s="109" t="s">
        <v>118</v>
      </c>
      <c r="B47" s="110">
        <v>4.7</v>
      </c>
      <c r="C47" s="70">
        <v>6.4239828999999998E-3</v>
      </c>
      <c r="D47" s="15">
        <v>4.83</v>
      </c>
      <c r="E47" s="32">
        <f t="shared" si="14"/>
        <v>2.7659574468085084E-2</v>
      </c>
      <c r="F47" s="18">
        <f>IF(ISNUMBER(D47), $B64 * E47, "")</f>
        <v>4148.9361702127626</v>
      </c>
      <c r="G47" s="31">
        <v>4.84</v>
      </c>
      <c r="H47" s="32">
        <f t="shared" si="15"/>
        <v>2.9787234042553123E-2</v>
      </c>
      <c r="I47" s="91">
        <f>IF(ISNUMBER(G47), $B64 * H47, "")</f>
        <v>4468.0851063829687</v>
      </c>
      <c r="J47" s="15">
        <v>4.82</v>
      </c>
      <c r="K47" s="32">
        <f t="shared" si="16"/>
        <v>2.5531914893617044E-2</v>
      </c>
      <c r="L47" s="18">
        <f>IF(ISNUMBER(J47), $B64 * K47, "")</f>
        <v>3829.7872340425565</v>
      </c>
      <c r="M47" s="31">
        <v>4.82</v>
      </c>
      <c r="N47" s="32">
        <f t="shared" si="17"/>
        <v>2.5531914893617044E-2</v>
      </c>
      <c r="O47" s="18">
        <f>IF(ISNUMBER(M47), $B64 * N47, "")</f>
        <v>3829.7872340425565</v>
      </c>
      <c r="Q47" s="146"/>
      <c r="R47" s="146"/>
      <c r="S47" s="146"/>
    </row>
    <row r="48" spans="1:19" ht="17.25" customHeight="1" thickBot="1">
      <c r="A48" s="111" t="s">
        <v>51</v>
      </c>
      <c r="B48" s="112">
        <v>94.3</v>
      </c>
      <c r="C48" s="71">
        <v>5.3304904000000004E-3</v>
      </c>
      <c r="D48" s="20">
        <v>95</v>
      </c>
      <c r="E48" s="21">
        <f t="shared" si="14"/>
        <v>7.4231177094379944E-3</v>
      </c>
      <c r="F48" s="22">
        <f>IF(ISNUMBER(D48), $B64 * E48, "")</f>
        <v>1113.4676564156991</v>
      </c>
      <c r="G48" s="30">
        <v>94.8</v>
      </c>
      <c r="H48" s="21">
        <f t="shared" si="15"/>
        <v>5.3022269353128317E-3</v>
      </c>
      <c r="I48" s="95">
        <f>IF(ISNUMBER(G48), $B64 * H48, "")</f>
        <v>795.33404029692474</v>
      </c>
      <c r="J48" s="20">
        <v>94.8</v>
      </c>
      <c r="K48" s="21">
        <f t="shared" si="16"/>
        <v>5.3022269353128317E-3</v>
      </c>
      <c r="L48" s="22">
        <f>IF(ISNUMBER(J48), $B64 * K48, "")</f>
        <v>795.33404029692474</v>
      </c>
      <c r="M48" s="30">
        <v>94.6</v>
      </c>
      <c r="N48" s="21">
        <f t="shared" si="17"/>
        <v>3.181336161187669E-3</v>
      </c>
      <c r="O48" s="22">
        <f>IF(ISNUMBER(M48), $B64 * N48, "")</f>
        <v>477.20042417815034</v>
      </c>
      <c r="Q48" s="146"/>
      <c r="R48" s="146"/>
      <c r="S48" s="146"/>
    </row>
    <row r="49" spans="1:19" ht="17.25" customHeight="1" thickBot="1">
      <c r="A49" s="109" t="s">
        <v>324</v>
      </c>
      <c r="B49" s="113">
        <v>73.400000000000006</v>
      </c>
      <c r="C49" s="73">
        <v>4.1039672000000001E-3</v>
      </c>
      <c r="D49" s="96">
        <v>74.900000000000006</v>
      </c>
      <c r="E49" s="97">
        <f>IF(ISNUMBER(D49), (D49 - $B49) / $B49, "")</f>
        <v>2.0435967302452316E-2</v>
      </c>
      <c r="F49" s="98">
        <f>IF(ISNUMBER(D49), $B64 * E49, "")</f>
        <v>3065.3950953678473</v>
      </c>
      <c r="G49" s="99">
        <v>75</v>
      </c>
      <c r="H49" s="97">
        <f>IF(ISNUMBER(G49), (G49 - $B49) / $B49, "")</f>
        <v>2.1798365122615723E-2</v>
      </c>
      <c r="I49" s="100">
        <f>IF(ISNUMBER(G49), $B64 * H49, "")</f>
        <v>3269.7547683923585</v>
      </c>
      <c r="J49" s="96">
        <v>75.5</v>
      </c>
      <c r="K49" s="97">
        <f>IF(ISNUMBER(J49), (J49 - $B49) / $B49, "")</f>
        <v>2.8610354223433162E-2</v>
      </c>
      <c r="L49" s="98">
        <f>IF(ISNUMBER(J49), $B64 * K49, "")</f>
        <v>4291.5531335149744</v>
      </c>
      <c r="M49" s="99">
        <v>75</v>
      </c>
      <c r="N49" s="97">
        <f>IF(ISNUMBER(M49), (M49 - $B49) / $B49, "")</f>
        <v>2.1798365122615723E-2</v>
      </c>
      <c r="O49" s="98">
        <f>IF(ISNUMBER(M49), $B64 * N49, "")</f>
        <v>3269.7547683923585</v>
      </c>
      <c r="Q49" s="146"/>
      <c r="R49" s="146"/>
      <c r="S49" s="146"/>
    </row>
    <row r="50" spans="1:19" ht="17.25" customHeight="1" thickBot="1">
      <c r="A50" s="109" t="s">
        <v>195</v>
      </c>
      <c r="B50" s="110">
        <v>5.51</v>
      </c>
      <c r="C50" s="70">
        <v>3.6429871999999999E-3</v>
      </c>
      <c r="D50" s="15">
        <v>5.55</v>
      </c>
      <c r="E50" s="32">
        <f t="shared" ref="E50:E53" si="18">IF(ISNUMBER(D50), (D50 - $B50) / $B50, "")</f>
        <v>7.259528130671513E-3</v>
      </c>
      <c r="F50" s="18">
        <f>IF(ISNUMBER(D50), $B64 * E50, "")</f>
        <v>1088.929219600727</v>
      </c>
      <c r="G50" s="31">
        <v>5.54</v>
      </c>
      <c r="H50" s="32">
        <f t="shared" ref="H50:H53" si="19">IF(ISNUMBER(G50), (G50 - $B50) / $B50, "")</f>
        <v>5.4446460980036755E-3</v>
      </c>
      <c r="I50" s="91">
        <f>IF(ISNUMBER(G50), $B64 * H50, "")</f>
        <v>816.69691470055136</v>
      </c>
      <c r="J50" s="15">
        <v>5.57</v>
      </c>
      <c r="K50" s="32">
        <f t="shared" ref="K50:K53" si="20">IF(ISNUMBER(J50), (J50 - $B50) / $B50, "")</f>
        <v>1.0889292196007351E-2</v>
      </c>
      <c r="L50" s="18">
        <f>IF(ISNUMBER(J50), $B64 * K50, "")</f>
        <v>1633.3938294011027</v>
      </c>
      <c r="M50" s="31">
        <v>5.55</v>
      </c>
      <c r="N50" s="32">
        <f t="shared" ref="N50:N53" si="21">IF(ISNUMBER(M50), (M50 - $B50) / $B50, "")</f>
        <v>7.259528130671513E-3</v>
      </c>
      <c r="O50" s="18">
        <f>IF(ISNUMBER(M50), $B64 * N50, "")</f>
        <v>1088.929219600727</v>
      </c>
      <c r="Q50" s="146"/>
      <c r="R50" s="146"/>
      <c r="S50" s="146"/>
    </row>
    <row r="51" spans="1:19" ht="17.25" customHeight="1" thickBot="1">
      <c r="A51" s="109" t="s">
        <v>329</v>
      </c>
      <c r="B51" s="110">
        <v>49.5</v>
      </c>
      <c r="C51" s="70">
        <v>2.0242914999999998E-3</v>
      </c>
      <c r="D51" s="15">
        <v>49.9</v>
      </c>
      <c r="E51" s="32">
        <f t="shared" si="18"/>
        <v>8.0808080808080513E-3</v>
      </c>
      <c r="F51" s="18">
        <f>IF(ISNUMBER(D51), $B64 * E51, "")</f>
        <v>1212.1212121212077</v>
      </c>
      <c r="G51" s="31">
        <v>49.6</v>
      </c>
      <c r="H51" s="32">
        <f t="shared" si="19"/>
        <v>2.0202020202020488E-3</v>
      </c>
      <c r="I51" s="91">
        <f>IF(ISNUMBER(G51), $B64 * H51, "")</f>
        <v>303.03030303030732</v>
      </c>
      <c r="J51" s="15">
        <v>49.3</v>
      </c>
      <c r="K51" s="32">
        <f t="shared" si="20"/>
        <v>-4.0404040404040976E-3</v>
      </c>
      <c r="L51" s="18">
        <f>IF(ISNUMBER(J51), $B64 * K51, "")</f>
        <v>-606.06060606061465</v>
      </c>
      <c r="M51" s="31">
        <v>49.2</v>
      </c>
      <c r="N51" s="32">
        <f t="shared" si="21"/>
        <v>-6.0606060606060034E-3</v>
      </c>
      <c r="O51" s="18">
        <f>IF(ISNUMBER(M51), $B64 * N51, "")</f>
        <v>-909.09090909090048</v>
      </c>
      <c r="Q51" s="146"/>
      <c r="R51" s="146"/>
      <c r="S51" s="146"/>
    </row>
    <row r="52" spans="1:19" ht="17.25" customHeight="1" thickBot="1">
      <c r="A52" s="109" t="s">
        <v>207</v>
      </c>
      <c r="B52" s="110">
        <v>59.2</v>
      </c>
      <c r="C52" s="70">
        <v>1.6920474E-3</v>
      </c>
      <c r="D52" s="15">
        <v>60</v>
      </c>
      <c r="E52" s="32">
        <f t="shared" si="18"/>
        <v>1.3513513513513466E-2</v>
      </c>
      <c r="F52" s="18">
        <f>IF(ISNUMBER(D52), $B64 * E52, "")</f>
        <v>2027.0270270270198</v>
      </c>
      <c r="G52" s="31">
        <v>59.5</v>
      </c>
      <c r="H52" s="32">
        <f t="shared" si="19"/>
        <v>5.0675675675675193E-3</v>
      </c>
      <c r="I52" s="91">
        <f>IF(ISNUMBER(G52), $B64 * H52, "")</f>
        <v>760.13513513512794</v>
      </c>
      <c r="J52" s="15">
        <v>59.6</v>
      </c>
      <c r="K52" s="32">
        <f t="shared" si="20"/>
        <v>6.7567567567567328E-3</v>
      </c>
      <c r="L52" s="18">
        <f>IF(ISNUMBER(J52), $B64 * K52, "")</f>
        <v>1013.5135135135099</v>
      </c>
      <c r="M52" s="31">
        <v>60.1</v>
      </c>
      <c r="N52" s="32">
        <f t="shared" si="21"/>
        <v>1.5202702702702678E-2</v>
      </c>
      <c r="O52" s="18">
        <f>IF(ISNUMBER(M52), $B64 * N52, "")</f>
        <v>2280.4054054054018</v>
      </c>
      <c r="Q52" s="33"/>
      <c r="R52" s="33"/>
    </row>
    <row r="53" spans="1:19" ht="17.25" customHeight="1" thickBot="1">
      <c r="A53" s="114" t="s">
        <v>253</v>
      </c>
      <c r="B53" s="115">
        <v>90.9</v>
      </c>
      <c r="C53" s="72">
        <v>1.1013215999999999E-3</v>
      </c>
      <c r="D53" s="24">
        <v>92.5</v>
      </c>
      <c r="E53" s="25">
        <f t="shared" si="18"/>
        <v>1.7601760176017538E-2</v>
      </c>
      <c r="F53" s="94">
        <f>IF(ISNUMBER(D53), $B64 * E53, "")</f>
        <v>2640.2640264026309</v>
      </c>
      <c r="G53" s="92">
        <v>92.4</v>
      </c>
      <c r="H53" s="25">
        <f t="shared" si="19"/>
        <v>1.65016501650165E-2</v>
      </c>
      <c r="I53" s="93">
        <f>IF(ISNUMBER(G53), $B64 * H53, "")</f>
        <v>2475.2475247524749</v>
      </c>
      <c r="J53" s="24">
        <v>92.1</v>
      </c>
      <c r="K53" s="25">
        <f t="shared" si="20"/>
        <v>1.3201320132013075E-2</v>
      </c>
      <c r="L53" s="94">
        <f>IF(ISNUMBER(J53), $B64 * K53, "")</f>
        <v>1980.1980198019612</v>
      </c>
      <c r="M53" s="92">
        <v>92.3</v>
      </c>
      <c r="N53" s="25">
        <f t="shared" si="21"/>
        <v>1.5401540154015307E-2</v>
      </c>
      <c r="O53" s="94">
        <f>IF(ISNUMBER(M53), $B64 * N53, "")</f>
        <v>2310.2310231022961</v>
      </c>
      <c r="Q53" s="147"/>
      <c r="R53" s="148"/>
      <c r="S53" s="149"/>
    </row>
    <row r="54" spans="1:19" ht="17.25" customHeight="1">
      <c r="A54" s="107" t="s">
        <v>97</v>
      </c>
      <c r="B54" s="108">
        <v>8.0000000000000004E-4</v>
      </c>
      <c r="C54" s="69">
        <v>0</v>
      </c>
      <c r="D54" s="13">
        <v>8.0000000000000004E-4</v>
      </c>
      <c r="E54" s="14">
        <f>IF(ISNUMBER(D54), (D54 - $B54) / $B54, "")</f>
        <v>0</v>
      </c>
      <c r="F54" s="16">
        <f>IF(ISNUMBER(D54), $B64 * E54, "")</f>
        <v>0</v>
      </c>
      <c r="G54" s="29">
        <v>8.9999999999999998E-4</v>
      </c>
      <c r="H54" s="14">
        <f>IF(ISNUMBER(G54), (G54 - $B54) / $B54, "")</f>
        <v>0.12499999999999992</v>
      </c>
      <c r="I54" s="90">
        <f>IF(ISNUMBER(G54), $B64 * H54, "")</f>
        <v>18749.999999999989</v>
      </c>
      <c r="J54" s="13">
        <v>8.0000000000000004E-4</v>
      </c>
      <c r="K54" s="14">
        <f>IF(ISNUMBER(J54), (J54 - $B54) / $B54, "")</f>
        <v>0</v>
      </c>
      <c r="L54" s="16">
        <f>IF(ISNUMBER(J54), $B64 * K54, "")</f>
        <v>0</v>
      </c>
      <c r="M54" s="29">
        <v>8.9999999999999998E-4</v>
      </c>
      <c r="N54" s="14">
        <f>IF(ISNUMBER(M54), (M54 - $B54) / $B54, "")</f>
        <v>0.12499999999999992</v>
      </c>
      <c r="O54" s="16">
        <f>IF(ISNUMBER(M54), $B64 * N54, "")</f>
        <v>18749.999999999989</v>
      </c>
      <c r="Q54" s="150"/>
      <c r="R54" s="151"/>
      <c r="S54" s="152"/>
    </row>
    <row r="55" spans="1:19" ht="17.25" customHeight="1" thickBot="1">
      <c r="A55" s="109" t="s">
        <v>237</v>
      </c>
      <c r="B55" s="110">
        <v>25.6</v>
      </c>
      <c r="C55" s="70">
        <v>0</v>
      </c>
      <c r="D55" s="15">
        <v>25.9</v>
      </c>
      <c r="E55" s="32">
        <f t="shared" ref="E55:E58" si="22">IF(ISNUMBER(D55), (D55 - $B55) / $B55, "")</f>
        <v>1.1718749999999889E-2</v>
      </c>
      <c r="F55" s="18">
        <f>IF(ISNUMBER(D55), $B64 * E55, "")</f>
        <v>1757.8124999999834</v>
      </c>
      <c r="G55" s="31">
        <v>25.8</v>
      </c>
      <c r="H55" s="32">
        <f t="shared" ref="H55:H58" si="23">IF(ISNUMBER(G55), (G55 - $B55) / $B55, "")</f>
        <v>7.8124999999999722E-3</v>
      </c>
      <c r="I55" s="91">
        <f>IF(ISNUMBER(G55), $B64 * H55, "")</f>
        <v>1171.8749999999959</v>
      </c>
      <c r="J55" s="15">
        <v>25.8</v>
      </c>
      <c r="K55" s="32">
        <f t="shared" ref="K55:K58" si="24">IF(ISNUMBER(J55), (J55 - $B55) / $B55, "")</f>
        <v>7.8124999999999722E-3</v>
      </c>
      <c r="L55" s="18">
        <f>IF(ISNUMBER(J55), $B64 * K55, "")</f>
        <v>1171.8749999999959</v>
      </c>
      <c r="M55" s="31">
        <v>25.9</v>
      </c>
      <c r="N55" s="32">
        <f t="shared" ref="N55:N58" si="25">IF(ISNUMBER(M55), (M55 - $B55) / $B55, "")</f>
        <v>1.1718749999999889E-2</v>
      </c>
      <c r="O55" s="18">
        <f>IF(ISNUMBER(M55), $B64 * N55, "")</f>
        <v>1757.8124999999834</v>
      </c>
      <c r="Q55" s="153"/>
      <c r="R55" s="154"/>
      <c r="S55" s="155"/>
    </row>
    <row r="56" spans="1:19" ht="17.25" customHeight="1" thickBot="1">
      <c r="A56" s="109" t="s">
        <v>124</v>
      </c>
      <c r="B56" s="110">
        <v>27</v>
      </c>
      <c r="C56" s="70">
        <v>0</v>
      </c>
      <c r="D56" s="15">
        <v>27.4</v>
      </c>
      <c r="E56" s="32">
        <f t="shared" si="22"/>
        <v>1.4814814814814762E-2</v>
      </c>
      <c r="F56" s="18">
        <f>IF(ISNUMBER(D56), $B64 * E56, "")</f>
        <v>2222.2222222222144</v>
      </c>
      <c r="G56" s="31">
        <v>27.4</v>
      </c>
      <c r="H56" s="32">
        <f t="shared" si="23"/>
        <v>1.4814814814814762E-2</v>
      </c>
      <c r="I56" s="91">
        <f>IF(ISNUMBER(G56), $B64 * H56, "")</f>
        <v>2222.2222222222144</v>
      </c>
      <c r="J56" s="15">
        <v>27.5</v>
      </c>
      <c r="K56" s="32">
        <f t="shared" si="24"/>
        <v>1.8518518518518517E-2</v>
      </c>
      <c r="L56" s="18">
        <f>IF(ISNUMBER(J56), $B64 * K56, "")</f>
        <v>2777.7777777777778</v>
      </c>
      <c r="M56" s="31">
        <v>27.5</v>
      </c>
      <c r="N56" s="32">
        <f t="shared" si="25"/>
        <v>1.8518518518518517E-2</v>
      </c>
      <c r="O56" s="18">
        <f>IF(ISNUMBER(M56), $B64 * N56, "")</f>
        <v>2777.7777777777778</v>
      </c>
      <c r="Q56" s="146"/>
      <c r="R56" s="146"/>
      <c r="S56" s="146"/>
    </row>
    <row r="57" spans="1:19" ht="17.25" customHeight="1" thickBot="1">
      <c r="A57" s="109" t="s">
        <v>349</v>
      </c>
      <c r="B57" s="110">
        <v>20.399999999999999</v>
      </c>
      <c r="C57" s="70">
        <v>0</v>
      </c>
      <c r="D57" s="15">
        <v>20.9</v>
      </c>
      <c r="E57" s="32">
        <f t="shared" si="22"/>
        <v>2.4509803921568631E-2</v>
      </c>
      <c r="F57" s="18">
        <f>IF(ISNUMBER(D57), $B64 * E57, "")</f>
        <v>3676.4705882352946</v>
      </c>
      <c r="G57" s="31">
        <v>20.7</v>
      </c>
      <c r="H57" s="32">
        <f t="shared" si="23"/>
        <v>1.4705882352941213E-2</v>
      </c>
      <c r="I57" s="91">
        <f>IF(ISNUMBER(G57), $B64 * H57, "")</f>
        <v>2205.882352941182</v>
      </c>
      <c r="J57" s="15">
        <v>20.7</v>
      </c>
      <c r="K57" s="32">
        <f t="shared" si="24"/>
        <v>1.4705882352941213E-2</v>
      </c>
      <c r="L57" s="18">
        <f>IF(ISNUMBER(J57), $B64 * K57, "")</f>
        <v>2205.882352941182</v>
      </c>
      <c r="M57" s="31">
        <v>20.8</v>
      </c>
      <c r="N57" s="32">
        <f t="shared" si="25"/>
        <v>1.9607843137255009E-2</v>
      </c>
      <c r="O57" s="18">
        <f>IF(ISNUMBER(M57), $B64 * N57, "")</f>
        <v>2941.1764705882515</v>
      </c>
      <c r="Q57" s="156"/>
      <c r="R57" s="156"/>
      <c r="S57" s="156"/>
    </row>
    <row r="58" spans="1:19" ht="17.25" customHeight="1" thickBot="1">
      <c r="A58" s="111" t="s">
        <v>132</v>
      </c>
      <c r="B58" s="112">
        <v>40.9</v>
      </c>
      <c r="C58" s="71">
        <v>0</v>
      </c>
      <c r="D58" s="20">
        <v>41.9</v>
      </c>
      <c r="E58" s="21">
        <f t="shared" si="22"/>
        <v>2.4449877750611249E-2</v>
      </c>
      <c r="F58" s="22">
        <f>IF(ISNUMBER(D58), $B64 * E58, "")</f>
        <v>3667.4816625916874</v>
      </c>
      <c r="G58" s="30">
        <v>41.8</v>
      </c>
      <c r="H58" s="21">
        <f t="shared" si="23"/>
        <v>2.2004889975550088E-2</v>
      </c>
      <c r="I58" s="95">
        <f>IF(ISNUMBER(G58), $B64 * H58, "")</f>
        <v>3300.7334963325134</v>
      </c>
      <c r="J58" s="20">
        <v>41.9</v>
      </c>
      <c r="K58" s="21">
        <f t="shared" si="24"/>
        <v>2.4449877750611249E-2</v>
      </c>
      <c r="L58" s="22">
        <f>IF(ISNUMBER(J58), $B64 * K58, "")</f>
        <v>3667.4816625916874</v>
      </c>
      <c r="M58" s="30">
        <v>42.2</v>
      </c>
      <c r="N58" s="21">
        <f t="shared" si="25"/>
        <v>3.1784841075794726E-2</v>
      </c>
      <c r="O58" s="22">
        <f>IF(ISNUMBER(M58), $B64 * N58, "")</f>
        <v>4767.726161369209</v>
      </c>
      <c r="Q58" s="156"/>
      <c r="R58" s="156"/>
      <c r="S58" s="156"/>
    </row>
    <row r="59" spans="1:19" ht="17.25" customHeight="1" thickBot="1">
      <c r="A59" s="109" t="s">
        <v>122</v>
      </c>
      <c r="B59" s="113">
        <v>20.6</v>
      </c>
      <c r="C59" s="73">
        <v>0</v>
      </c>
      <c r="D59" s="96">
        <v>21</v>
      </c>
      <c r="E59" s="97">
        <f>IF(ISNUMBER(D59), (D59 - $B59) / $B59, "")</f>
        <v>1.9417475728155269E-2</v>
      </c>
      <c r="F59" s="98">
        <f>IF(ISNUMBER(D59), $B64 * E59, "")</f>
        <v>2912.6213592232903</v>
      </c>
      <c r="G59" s="99">
        <v>21</v>
      </c>
      <c r="H59" s="97">
        <f>IF(ISNUMBER(G59), (G59 - $B59) / $B59, "")</f>
        <v>1.9417475728155269E-2</v>
      </c>
      <c r="I59" s="100">
        <f>IF(ISNUMBER(G59), $B64 * H59, "")</f>
        <v>2912.6213592232903</v>
      </c>
      <c r="J59" s="96">
        <v>21</v>
      </c>
      <c r="K59" s="97">
        <f>IF(ISNUMBER(J59), (J59 - $B59) / $B59, "")</f>
        <v>1.9417475728155269E-2</v>
      </c>
      <c r="L59" s="98">
        <f>IF(ISNUMBER(J59), $B64 * K59, "")</f>
        <v>2912.6213592232903</v>
      </c>
      <c r="M59" s="99">
        <v>21</v>
      </c>
      <c r="N59" s="97">
        <f>IF(ISNUMBER(M59), (M59 - $B59) / $B59, "")</f>
        <v>1.9417475728155269E-2</v>
      </c>
      <c r="O59" s="98">
        <f>IF(ISNUMBER(M59), $B64 * N59, "")</f>
        <v>2912.6213592232903</v>
      </c>
      <c r="Q59" s="146"/>
      <c r="R59" s="146"/>
      <c r="S59" s="146"/>
    </row>
    <row r="60" spans="1:19" ht="17.25" customHeight="1" thickBot="1">
      <c r="A60" s="109" t="s">
        <v>217</v>
      </c>
      <c r="B60" s="110">
        <v>54.3</v>
      </c>
      <c r="C60" s="70">
        <v>0</v>
      </c>
      <c r="D60" s="15">
        <v>55.2</v>
      </c>
      <c r="E60" s="32">
        <f t="shared" ref="E60:E63" si="26">IF(ISNUMBER(D60), (D60 - $B60) / $B60, "")</f>
        <v>1.6574585635359223E-2</v>
      </c>
      <c r="F60" s="18">
        <f>IF(ISNUMBER(D60), $B64 * E60, "")</f>
        <v>2486.1878453038835</v>
      </c>
      <c r="G60" s="31">
        <v>55.3</v>
      </c>
      <c r="H60" s="32">
        <f t="shared" ref="H60:H63" si="27">IF(ISNUMBER(G60), (G60 - $B60) / $B60, "")</f>
        <v>1.841620626151013E-2</v>
      </c>
      <c r="I60" s="91">
        <f>IF(ISNUMBER(G60), $B64 * H60, "")</f>
        <v>2762.4309392265195</v>
      </c>
      <c r="J60" s="15">
        <v>55.2</v>
      </c>
      <c r="K60" s="32">
        <f t="shared" ref="K60:K63" si="28">IF(ISNUMBER(J60), (J60 - $B60) / $B60, "")</f>
        <v>1.6574585635359223E-2</v>
      </c>
      <c r="L60" s="18">
        <f>IF(ISNUMBER(J60), $B64 * K60, "")</f>
        <v>2486.1878453038835</v>
      </c>
      <c r="M60" s="31">
        <v>55.3</v>
      </c>
      <c r="N60" s="32">
        <f t="shared" ref="N60:N63" si="29">IF(ISNUMBER(M60), (M60 - $B60) / $B60, "")</f>
        <v>1.841620626151013E-2</v>
      </c>
      <c r="O60" s="18">
        <f>IF(ISNUMBER(M60), $B64 * N60, "")</f>
        <v>2762.4309392265195</v>
      </c>
      <c r="Q60" s="146"/>
      <c r="R60" s="146"/>
      <c r="S60" s="146"/>
    </row>
    <row r="61" spans="1:19" ht="17.25" customHeight="1" thickBot="1">
      <c r="A61" s="109" t="s">
        <v>126</v>
      </c>
      <c r="B61" s="110">
        <v>21.1</v>
      </c>
      <c r="C61" s="70">
        <v>0</v>
      </c>
      <c r="D61" s="15">
        <v>21.8</v>
      </c>
      <c r="E61" s="32">
        <f t="shared" si="26"/>
        <v>3.3175355450236928E-2</v>
      </c>
      <c r="F61" s="18">
        <f>IF(ISNUMBER(D61), $B64 * E61, "")</f>
        <v>4976.3033175355395</v>
      </c>
      <c r="G61" s="31">
        <v>21.7</v>
      </c>
      <c r="H61" s="32">
        <f t="shared" si="27"/>
        <v>2.843601895734587E-2</v>
      </c>
      <c r="I61" s="91">
        <f>IF(ISNUMBER(G61), $B64 * H61, "")</f>
        <v>4265.4028436018807</v>
      </c>
      <c r="J61" s="15">
        <v>21.7</v>
      </c>
      <c r="K61" s="32">
        <f t="shared" si="28"/>
        <v>2.843601895734587E-2</v>
      </c>
      <c r="L61" s="18">
        <f>IF(ISNUMBER(J61), $B64 * K61, "")</f>
        <v>4265.4028436018807</v>
      </c>
      <c r="M61" s="31">
        <v>21.6</v>
      </c>
      <c r="N61" s="32">
        <f t="shared" si="29"/>
        <v>2.3696682464454975E-2</v>
      </c>
      <c r="O61" s="18">
        <f>IF(ISNUMBER(M61), $B64 * N61, "")</f>
        <v>3554.502369668246</v>
      </c>
      <c r="Q61" s="146"/>
      <c r="R61" s="146"/>
      <c r="S61" s="146"/>
    </row>
    <row r="62" spans="1:19" ht="17.25" customHeight="1">
      <c r="A62" s="109" t="s">
        <v>209</v>
      </c>
      <c r="B62" s="110">
        <v>70.8</v>
      </c>
      <c r="C62" s="70">
        <v>-1.4104371999999999E-3</v>
      </c>
      <c r="D62" s="15">
        <v>71.2</v>
      </c>
      <c r="E62" s="32">
        <f t="shared" si="26"/>
        <v>5.6497175141243744E-3</v>
      </c>
      <c r="F62" s="18">
        <f>IF(ISNUMBER(D62), $B64 * E62, "")</f>
        <v>847.45762711865621</v>
      </c>
      <c r="G62" s="31">
        <v>71</v>
      </c>
      <c r="H62" s="32">
        <f t="shared" si="27"/>
        <v>2.8248587570621872E-3</v>
      </c>
      <c r="I62" s="91">
        <f>IF(ISNUMBER(G62), $B64 * H62, "")</f>
        <v>423.7288135593281</v>
      </c>
      <c r="J62" s="15">
        <v>71</v>
      </c>
      <c r="K62" s="32">
        <f t="shared" si="28"/>
        <v>2.8248587570621872E-3</v>
      </c>
      <c r="L62" s="18">
        <f>IF(ISNUMBER(J62), $B64 * K62, "")</f>
        <v>423.7288135593281</v>
      </c>
      <c r="M62" s="31">
        <v>71.099999999999994</v>
      </c>
      <c r="N62" s="32">
        <f t="shared" si="29"/>
        <v>4.2372881355931804E-3</v>
      </c>
      <c r="O62" s="18">
        <f>IF(ISNUMBER(M62), $B64 * N62, "")</f>
        <v>635.59322033897706</v>
      </c>
      <c r="Q62" s="135"/>
      <c r="R62" s="136"/>
      <c r="S62" s="137"/>
    </row>
    <row r="63" spans="1:19" ht="17.25" customHeight="1" thickBot="1">
      <c r="A63" s="114" t="s">
        <v>197</v>
      </c>
      <c r="B63" s="115">
        <v>5.54</v>
      </c>
      <c r="C63" s="72">
        <v>-1.8018018000000001E-3</v>
      </c>
      <c r="D63" s="24">
        <v>5.63</v>
      </c>
      <c r="E63" s="25">
        <f t="shared" si="26"/>
        <v>1.6245487364620913E-2</v>
      </c>
      <c r="F63" s="94">
        <f>IF(ISNUMBER(D63), $B64 * E63, "")</f>
        <v>2436.8231046931369</v>
      </c>
      <c r="G63" s="92">
        <v>5.64</v>
      </c>
      <c r="H63" s="25">
        <f t="shared" si="27"/>
        <v>1.8050541516245425E-2</v>
      </c>
      <c r="I63" s="93">
        <f>IF(ISNUMBER(G63), $B64 * H63, "")</f>
        <v>2707.5812274368136</v>
      </c>
      <c r="J63" s="24">
        <v>5.63</v>
      </c>
      <c r="K63" s="25">
        <f t="shared" si="28"/>
        <v>1.6245487364620913E-2</v>
      </c>
      <c r="L63" s="94">
        <f>IF(ISNUMBER(J63), $B64 * K63, "")</f>
        <v>2436.8231046931369</v>
      </c>
      <c r="M63" s="92">
        <v>5.62</v>
      </c>
      <c r="N63" s="25">
        <f t="shared" si="29"/>
        <v>1.4440433212996403E-2</v>
      </c>
      <c r="O63" s="94">
        <f>IF(ISNUMBER(M63), $B64 * N63, "")</f>
        <v>2166.0649819494602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1.5335150720896831E-2</v>
      </c>
      <c r="F64" s="28">
        <f>SUM(F44:F63)</f>
        <v>46005.452162690512</v>
      </c>
      <c r="G64" s="26" t="s">
        <v>258</v>
      </c>
      <c r="H64" s="27">
        <f>IF(COUNT(H44:H63), SUM(H44:H63) / COUNT(H44:H63), 0)</f>
        <v>1.898925567046076E-2</v>
      </c>
      <c r="I64" s="28">
        <f>SUM(I44:I63)</f>
        <v>56967.767011382268</v>
      </c>
      <c r="J64" s="26" t="s">
        <v>258</v>
      </c>
      <c r="K64" s="27">
        <f>IF(COUNT(K44:K63), SUM(K44:K63) / COUNT(K44:K63), 0)</f>
        <v>1.3352033075424282E-2</v>
      </c>
      <c r="L64" s="28">
        <f>SUM(L44:L63)</f>
        <v>40056.09922627284</v>
      </c>
      <c r="M64" s="26" t="s">
        <v>258</v>
      </c>
      <c r="N64" s="27">
        <f>IF(COUNT(N44:N63), SUM(N44:N63) / COUNT(N44:N63), 0)</f>
        <v>1.9702316400927664E-2</v>
      </c>
      <c r="O64" s="28">
        <f>SUM(O44:O63)</f>
        <v>59106.949202782991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21539000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1.0224474E-3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2023-01-04(수) 오전 00:00</v>
      </c>
      <c r="C69" s="198"/>
      <c r="D69" s="170" t="str">
        <f>TEXT($G$1, "[$-ko-KR]yyyy-mm-dd(ddd) ") &amp; "오후 14:00"</f>
        <v>2023-01-04(수) 오후 14:00</v>
      </c>
      <c r="E69" s="171"/>
      <c r="F69" s="172"/>
      <c r="G69" s="170" t="str">
        <f>TEXT($G$1, "[$-ko-KR]yyyy-mm-dd(ddd) ") &amp; "오후 19:00"</f>
        <v>2023-01-04(수) 오후 19:00</v>
      </c>
      <c r="H69" s="171"/>
      <c r="I69" s="172"/>
      <c r="J69" s="170" t="str">
        <f>TEXT($G$1, "[$-ko-KR]yyyy-mm-dd(ddd) ") &amp; "오후 21:00"</f>
        <v>2023-01-04(수) 오후 21:00</v>
      </c>
      <c r="K69" s="171"/>
      <c r="L69" s="172"/>
      <c r="M69" s="170" t="str">
        <f>TEXT($G$1+1, "[$-ko-KR]yyyy-mm-dd(ddd) ") &amp; "오전 00:00"</f>
        <v>2023-01-05(목)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189</v>
      </c>
      <c r="B71" s="108">
        <v>932</v>
      </c>
      <c r="C71" s="69">
        <v>0.10035419130000001</v>
      </c>
      <c r="D71" s="13">
        <v>938</v>
      </c>
      <c r="E71" s="14">
        <f>IF(ISNUMBER(D71), (D71 - $B71) / $B71, "")</f>
        <v>6.4377682403433476E-3</v>
      </c>
      <c r="F71" s="16">
        <f>IF(ISNUMBER(D71), $B91 * E71, "")</f>
        <v>965.66523605150212</v>
      </c>
      <c r="G71" s="29">
        <v>942</v>
      </c>
      <c r="H71" s="14">
        <f>IF(ISNUMBER(G71), (G71 - $B71) / $B71, "")</f>
        <v>1.0729613733905579E-2</v>
      </c>
      <c r="I71" s="90">
        <f>IF(ISNUMBER(G71), $B91 * H71, "")</f>
        <v>1609.4420600858368</v>
      </c>
      <c r="J71" s="13">
        <v>939</v>
      </c>
      <c r="K71" s="14">
        <f>IF(ISNUMBER(J71), (J71 - $B71) / $B71, "")</f>
        <v>7.5107296137339056E-3</v>
      </c>
      <c r="L71" s="16">
        <f>IF(ISNUMBER(J71), $B91 * K71, "")</f>
        <v>1126.6094420600859</v>
      </c>
      <c r="M71" s="29">
        <v>929</v>
      </c>
      <c r="N71" s="14">
        <f>IF(ISNUMBER(M71), (M71 - $B71) / $B71, "")</f>
        <v>-3.2188841201716738E-3</v>
      </c>
      <c r="O71" s="16">
        <f>IF(ISNUMBER(M71), $B91 * N71, "")</f>
        <v>-482.83261802575106</v>
      </c>
      <c r="Q71" s="156"/>
      <c r="R71" s="156"/>
      <c r="S71" s="156"/>
    </row>
    <row r="72" spans="1:19" ht="17.25" thickBot="1">
      <c r="A72" s="109" t="s">
        <v>68</v>
      </c>
      <c r="B72" s="110">
        <v>241</v>
      </c>
      <c r="C72" s="70">
        <v>3.4334763900000002E-2</v>
      </c>
      <c r="D72" s="15">
        <v>271</v>
      </c>
      <c r="E72" s="32">
        <f t="shared" ref="E72:E75" si="30">IF(ISNUMBER(D72), (D72 - $B72) / $B72, "")</f>
        <v>0.12448132780082988</v>
      </c>
      <c r="F72" s="18">
        <f>IF(ISNUMBER(D72), $B91 * E72, "")</f>
        <v>18672.199170124481</v>
      </c>
      <c r="G72" s="31">
        <v>272</v>
      </c>
      <c r="H72" s="32">
        <f t="shared" ref="H72:H75" si="31">IF(ISNUMBER(G72), (G72 - $B72) / $B72, "")</f>
        <v>0.12863070539419086</v>
      </c>
      <c r="I72" s="91">
        <f>IF(ISNUMBER(G72), $B91 * H72, "")</f>
        <v>19294.605809128629</v>
      </c>
      <c r="J72" s="15">
        <v>271</v>
      </c>
      <c r="K72" s="32">
        <f t="shared" ref="K72:K75" si="32">IF(ISNUMBER(J72), (J72 - $B72) / $B72, "")</f>
        <v>0.12448132780082988</v>
      </c>
      <c r="L72" s="18">
        <f>IF(ISNUMBER(J72), $B91 * K72, "")</f>
        <v>18672.199170124481</v>
      </c>
      <c r="M72" s="31">
        <v>267</v>
      </c>
      <c r="N72" s="32">
        <f t="shared" ref="N72:N75" si="33">IF(ISNUMBER(M72), (M72 - $B72) / $B72, "")</f>
        <v>0.1078838174273859</v>
      </c>
      <c r="O72" s="18">
        <f>IF(ISNUMBER(M72), $B91 * N72, "")</f>
        <v>16182.572614107885</v>
      </c>
      <c r="Q72" s="156"/>
      <c r="R72" s="156"/>
      <c r="S72" s="156"/>
    </row>
    <row r="73" spans="1:19" ht="17.25" thickBot="1">
      <c r="A73" s="109" t="s">
        <v>201</v>
      </c>
      <c r="B73" s="110">
        <v>182</v>
      </c>
      <c r="C73" s="70">
        <v>2.2471910099999999E-2</v>
      </c>
      <c r="D73" s="15">
        <v>183</v>
      </c>
      <c r="E73" s="32">
        <f t="shared" si="30"/>
        <v>5.4945054945054949E-3</v>
      </c>
      <c r="F73" s="18">
        <f>IF(ISNUMBER(D73), $B91 * E73, "")</f>
        <v>824.17582417582423</v>
      </c>
      <c r="G73" s="31">
        <v>183</v>
      </c>
      <c r="H73" s="32">
        <f t="shared" si="31"/>
        <v>5.4945054945054949E-3</v>
      </c>
      <c r="I73" s="91">
        <f>IF(ISNUMBER(G73), $B91 * H73, "")</f>
        <v>824.17582417582423</v>
      </c>
      <c r="J73" s="15">
        <v>183</v>
      </c>
      <c r="K73" s="32">
        <f t="shared" si="32"/>
        <v>5.4945054945054949E-3</v>
      </c>
      <c r="L73" s="18">
        <f>IF(ISNUMBER(J73), $B91 * K73, "")</f>
        <v>824.17582417582423</v>
      </c>
      <c r="M73" s="31">
        <v>183</v>
      </c>
      <c r="N73" s="32">
        <f t="shared" si="33"/>
        <v>5.4945054945054949E-3</v>
      </c>
      <c r="O73" s="18">
        <f>IF(ISNUMBER(M73), $B91 * N73, "")</f>
        <v>824.17582417582423</v>
      </c>
      <c r="Q73" s="146"/>
      <c r="R73" s="146"/>
      <c r="S73" s="146"/>
    </row>
    <row r="74" spans="1:19" ht="17.25" thickBot="1">
      <c r="A74" s="109" t="s">
        <v>95</v>
      </c>
      <c r="B74" s="110">
        <v>961</v>
      </c>
      <c r="C74" s="70">
        <v>2.23404255E-2</v>
      </c>
      <c r="D74" s="15">
        <v>980</v>
      </c>
      <c r="E74" s="32">
        <f t="shared" si="30"/>
        <v>1.9771071800208116E-2</v>
      </c>
      <c r="F74" s="18">
        <f>IF(ISNUMBER(D74), $B91 * E74, "")</f>
        <v>2965.6607700312175</v>
      </c>
      <c r="G74" s="31">
        <v>982</v>
      </c>
      <c r="H74" s="32">
        <f t="shared" si="31"/>
        <v>2.1852237252861603E-2</v>
      </c>
      <c r="I74" s="91">
        <f>IF(ISNUMBER(G74), $B91 * H74, "")</f>
        <v>3277.8355879292403</v>
      </c>
      <c r="J74" s="15">
        <v>979</v>
      </c>
      <c r="K74" s="32">
        <f t="shared" si="32"/>
        <v>1.8730489073881373E-2</v>
      </c>
      <c r="L74" s="18">
        <f>IF(ISNUMBER(J74), $B91 * K74, "")</f>
        <v>2809.5733610822058</v>
      </c>
      <c r="M74" s="31">
        <v>979</v>
      </c>
      <c r="N74" s="32">
        <f t="shared" si="33"/>
        <v>1.8730489073881373E-2</v>
      </c>
      <c r="O74" s="18">
        <f>IF(ISNUMBER(M74), $B91 * N74, "")</f>
        <v>2809.5733610822058</v>
      </c>
      <c r="Q74" s="146"/>
      <c r="R74" s="146"/>
      <c r="S74" s="146"/>
    </row>
    <row r="75" spans="1:19" ht="17.25" thickBot="1">
      <c r="A75" s="111" t="s">
        <v>159</v>
      </c>
      <c r="B75" s="112">
        <v>140</v>
      </c>
      <c r="C75" s="71">
        <v>1.44927536E-2</v>
      </c>
      <c r="D75" s="20">
        <v>142</v>
      </c>
      <c r="E75" s="21">
        <f t="shared" si="30"/>
        <v>1.4285714285714285E-2</v>
      </c>
      <c r="F75" s="22">
        <f>IF(ISNUMBER(D75), $B91 * E75, "")</f>
        <v>2142.8571428571427</v>
      </c>
      <c r="G75" s="30">
        <v>141</v>
      </c>
      <c r="H75" s="21">
        <f t="shared" si="31"/>
        <v>7.1428571428571426E-3</v>
      </c>
      <c r="I75" s="95">
        <f>IF(ISNUMBER(G75), $B91 * H75, "")</f>
        <v>1071.4285714285713</v>
      </c>
      <c r="J75" s="20">
        <v>141</v>
      </c>
      <c r="K75" s="21">
        <f t="shared" si="32"/>
        <v>7.1428571428571426E-3</v>
      </c>
      <c r="L75" s="22">
        <f>IF(ISNUMBER(J75), $B91 * K75, "")</f>
        <v>1071.4285714285713</v>
      </c>
      <c r="M75" s="30">
        <v>141</v>
      </c>
      <c r="N75" s="21">
        <f t="shared" si="33"/>
        <v>7.1428571428571426E-3</v>
      </c>
      <c r="O75" s="22">
        <f>IF(ISNUMBER(M75), $B91 * N75, "")</f>
        <v>1071.4285714285713</v>
      </c>
      <c r="Q75" s="146"/>
      <c r="R75" s="146"/>
      <c r="S75" s="146"/>
    </row>
    <row r="76" spans="1:19" ht="17.25" thickBot="1">
      <c r="A76" s="109" t="s">
        <v>326</v>
      </c>
      <c r="B76" s="113">
        <v>232</v>
      </c>
      <c r="C76" s="73">
        <v>1.3100436700000001E-2</v>
      </c>
      <c r="D76" s="96">
        <v>242</v>
      </c>
      <c r="E76" s="97">
        <f>IF(ISNUMBER(D76), (D76 - $B76) / $B76, "")</f>
        <v>4.3103448275862072E-2</v>
      </c>
      <c r="F76" s="98">
        <f>IF(ISNUMBER(D76), $B91 * E76, "")</f>
        <v>6465.5172413793107</v>
      </c>
      <c r="G76" s="99">
        <v>242</v>
      </c>
      <c r="H76" s="97">
        <f>IF(ISNUMBER(G76), (G76 - $B76) / $B76, "")</f>
        <v>4.3103448275862072E-2</v>
      </c>
      <c r="I76" s="100">
        <f>IF(ISNUMBER(G76), $B91 * H76, "")</f>
        <v>6465.5172413793107</v>
      </c>
      <c r="J76" s="96">
        <v>241</v>
      </c>
      <c r="K76" s="97">
        <f>IF(ISNUMBER(J76), (J76 - $B76) / $B76, "")</f>
        <v>3.8793103448275863E-2</v>
      </c>
      <c r="L76" s="98">
        <f>IF(ISNUMBER(J76), $B91 * K76, "")</f>
        <v>5818.9655172413795</v>
      </c>
      <c r="M76" s="99">
        <v>241</v>
      </c>
      <c r="N76" s="97">
        <f>IF(ISNUMBER(M76), (M76 - $B76) / $B76, "")</f>
        <v>3.8793103448275863E-2</v>
      </c>
      <c r="O76" s="98">
        <f>IF(ISNUMBER(M76), $B91 * N76, "")</f>
        <v>5818.9655172413795</v>
      </c>
      <c r="Q76" s="146"/>
      <c r="R76" s="146"/>
      <c r="S76" s="146"/>
    </row>
    <row r="77" spans="1:19" ht="17.25" thickBot="1">
      <c r="A77" s="109" t="s">
        <v>199</v>
      </c>
      <c r="B77" s="110">
        <v>268</v>
      </c>
      <c r="C77" s="70">
        <v>1.13207547E-2</v>
      </c>
      <c r="D77" s="15">
        <v>271</v>
      </c>
      <c r="E77" s="32">
        <f t="shared" ref="E77:E80" si="34">IF(ISNUMBER(D77), (D77 - $B77) / $B77, "")</f>
        <v>1.1194029850746268E-2</v>
      </c>
      <c r="F77" s="18">
        <f>IF(ISNUMBER(D77), $B91 * E77, "")</f>
        <v>1679.1044776119402</v>
      </c>
      <c r="G77" s="31">
        <v>270</v>
      </c>
      <c r="H77" s="32">
        <f t="shared" ref="H77:H80" si="35">IF(ISNUMBER(G77), (G77 - $B77) / $B77, "")</f>
        <v>7.462686567164179E-3</v>
      </c>
      <c r="I77" s="91">
        <f>IF(ISNUMBER(G77), $B91 * H77, "")</f>
        <v>1119.4029850746269</v>
      </c>
      <c r="J77" s="15">
        <v>270</v>
      </c>
      <c r="K77" s="32">
        <f t="shared" ref="K77:K80" si="36">IF(ISNUMBER(J77), (J77 - $B77) / $B77, "")</f>
        <v>7.462686567164179E-3</v>
      </c>
      <c r="L77" s="18">
        <f>IF(ISNUMBER(J77), $B91 * K77, "")</f>
        <v>1119.4029850746269</v>
      </c>
      <c r="M77" s="31">
        <v>271</v>
      </c>
      <c r="N77" s="32">
        <f t="shared" ref="N77:N80" si="37">IF(ISNUMBER(M77), (M77 - $B77) / $B77, "")</f>
        <v>1.1194029850746268E-2</v>
      </c>
      <c r="O77" s="18">
        <f>IF(ISNUMBER(M77), $B91 * N77, "")</f>
        <v>1679.1044776119402</v>
      </c>
      <c r="Q77" s="146"/>
      <c r="R77" s="146"/>
      <c r="S77" s="146"/>
    </row>
    <row r="78" spans="1:19" ht="17.25" thickBot="1">
      <c r="A78" s="109" t="s">
        <v>341</v>
      </c>
      <c r="B78" s="110">
        <v>629</v>
      </c>
      <c r="C78" s="70">
        <v>8.0128205000000001E-3</v>
      </c>
      <c r="D78" s="15">
        <v>658</v>
      </c>
      <c r="E78" s="32">
        <f t="shared" si="34"/>
        <v>4.6104928457869634E-2</v>
      </c>
      <c r="F78" s="18">
        <f>IF(ISNUMBER(D78), $B91 * E78, "")</f>
        <v>6915.7392686804451</v>
      </c>
      <c r="G78" s="31">
        <v>656</v>
      </c>
      <c r="H78" s="32">
        <f t="shared" si="35"/>
        <v>4.2925278219395867E-2</v>
      </c>
      <c r="I78" s="91">
        <f>IF(ISNUMBER(G78), $B91 * H78, "")</f>
        <v>6438.7917329093798</v>
      </c>
      <c r="J78" s="15">
        <v>659</v>
      </c>
      <c r="K78" s="32">
        <f t="shared" si="36"/>
        <v>4.7694753577106522E-2</v>
      </c>
      <c r="L78" s="18">
        <f>IF(ISNUMBER(J78), $B91 * K78, "")</f>
        <v>7154.2130365659787</v>
      </c>
      <c r="M78" s="31">
        <v>653</v>
      </c>
      <c r="N78" s="32">
        <f t="shared" si="37"/>
        <v>3.8155802861685212E-2</v>
      </c>
      <c r="O78" s="18">
        <f>IF(ISNUMBER(M78), $B91 * N78, "")</f>
        <v>5723.3704292527818</v>
      </c>
      <c r="Q78" s="146"/>
      <c r="R78" s="146"/>
      <c r="S78" s="146"/>
    </row>
    <row r="79" spans="1:19" ht="17.25" thickBot="1">
      <c r="A79" s="109" t="s">
        <v>81</v>
      </c>
      <c r="B79" s="110">
        <v>324</v>
      </c>
      <c r="C79" s="70">
        <v>6.2111800999999998E-3</v>
      </c>
      <c r="D79" s="15">
        <v>337</v>
      </c>
      <c r="E79" s="32">
        <f t="shared" si="34"/>
        <v>4.0123456790123455E-2</v>
      </c>
      <c r="F79" s="18">
        <f>IF(ISNUMBER(D79), $B91 * E79, "")</f>
        <v>6018.5185185185182</v>
      </c>
      <c r="G79" s="31">
        <v>338</v>
      </c>
      <c r="H79" s="32">
        <f t="shared" si="35"/>
        <v>4.3209876543209874E-2</v>
      </c>
      <c r="I79" s="91">
        <f>IF(ISNUMBER(G79), $B91 * H79, "")</f>
        <v>6481.4814814814808</v>
      </c>
      <c r="J79" s="15">
        <v>338</v>
      </c>
      <c r="K79" s="32">
        <f t="shared" si="36"/>
        <v>4.3209876543209874E-2</v>
      </c>
      <c r="L79" s="18">
        <f>IF(ISNUMBER(J79), $B91 * K79, "")</f>
        <v>6481.4814814814808</v>
      </c>
      <c r="M79" s="31">
        <v>339</v>
      </c>
      <c r="N79" s="32">
        <f t="shared" si="37"/>
        <v>4.6296296296296294E-2</v>
      </c>
      <c r="O79" s="18">
        <f>IF(ISNUMBER(M79), $B91 * N79, "")</f>
        <v>6944.4444444444443</v>
      </c>
      <c r="Q79" s="33"/>
      <c r="R79" s="33"/>
    </row>
    <row r="80" spans="1:19" ht="17.25" thickBot="1">
      <c r="A80" s="114" t="s">
        <v>130</v>
      </c>
      <c r="B80" s="115">
        <v>598</v>
      </c>
      <c r="C80" s="72">
        <v>5.0420168000000001E-3</v>
      </c>
      <c r="D80" s="24">
        <v>619</v>
      </c>
      <c r="E80" s="25">
        <f t="shared" si="34"/>
        <v>3.5117056856187288E-2</v>
      </c>
      <c r="F80" s="94">
        <f>IF(ISNUMBER(D80), $B91 * E80, "")</f>
        <v>5267.5585284280933</v>
      </c>
      <c r="G80" s="92">
        <v>620</v>
      </c>
      <c r="H80" s="25">
        <f t="shared" si="35"/>
        <v>3.678929765886288E-2</v>
      </c>
      <c r="I80" s="93">
        <f>IF(ISNUMBER(G80), $B91 * H80, "")</f>
        <v>5518.3946488294323</v>
      </c>
      <c r="J80" s="24">
        <v>626</v>
      </c>
      <c r="K80" s="25">
        <f t="shared" si="36"/>
        <v>4.6822742474916385E-2</v>
      </c>
      <c r="L80" s="94">
        <f>IF(ISNUMBER(J80), $B91 * K80, "")</f>
        <v>7023.4113712374574</v>
      </c>
      <c r="M80" s="92">
        <v>629</v>
      </c>
      <c r="N80" s="25">
        <f t="shared" si="37"/>
        <v>5.1839464882943144E-2</v>
      </c>
      <c r="O80" s="94">
        <f>IF(ISNUMBER(M80), $B91 * N80, "")</f>
        <v>7775.9197324414718</v>
      </c>
      <c r="Q80" s="147"/>
      <c r="R80" s="148"/>
      <c r="S80" s="149"/>
    </row>
    <row r="81" spans="1:19">
      <c r="A81" s="107" t="s">
        <v>231</v>
      </c>
      <c r="B81" s="108">
        <v>306</v>
      </c>
      <c r="C81" s="69">
        <v>3.2786884999999998E-3</v>
      </c>
      <c r="D81" s="13">
        <v>308</v>
      </c>
      <c r="E81" s="14">
        <f>IF(ISNUMBER(D81), (D81 - $B81) / $B81, "")</f>
        <v>6.5359477124183009E-3</v>
      </c>
      <c r="F81" s="16">
        <f>IF(ISNUMBER(D81), $B91 * E81, "")</f>
        <v>980.39215686274508</v>
      </c>
      <c r="G81" s="29">
        <v>308</v>
      </c>
      <c r="H81" s="14">
        <f>IF(ISNUMBER(G81), (G81 - $B81) / $B81, "")</f>
        <v>6.5359477124183009E-3</v>
      </c>
      <c r="I81" s="90">
        <f>IF(ISNUMBER(G81), $B91 * H81, "")</f>
        <v>980.39215686274508</v>
      </c>
      <c r="J81" s="13">
        <v>308</v>
      </c>
      <c r="K81" s="14">
        <f>IF(ISNUMBER(J81), (J81 - $B81) / $B81, "")</f>
        <v>6.5359477124183009E-3</v>
      </c>
      <c r="L81" s="16">
        <f>IF(ISNUMBER(J81), $B91 * K81, "")</f>
        <v>980.39215686274508</v>
      </c>
      <c r="M81" s="29">
        <v>308</v>
      </c>
      <c r="N81" s="14">
        <f>IF(ISNUMBER(M81), (M81 - $B81) / $B81, "")</f>
        <v>6.5359477124183009E-3</v>
      </c>
      <c r="O81" s="16">
        <f>IF(ISNUMBER(M81), $B91 * N81, "")</f>
        <v>980.39215686274508</v>
      </c>
      <c r="Q81" s="150"/>
      <c r="R81" s="151"/>
      <c r="S81" s="152"/>
    </row>
    <row r="82" spans="1:19" ht="17.25" thickBot="1">
      <c r="A82" s="109" t="s">
        <v>339</v>
      </c>
      <c r="B82" s="110">
        <v>994</v>
      </c>
      <c r="C82" s="70">
        <v>1.0070493E-3</v>
      </c>
      <c r="D82" s="15">
        <v>1025</v>
      </c>
      <c r="E82" s="32">
        <f t="shared" ref="E82:E85" si="38">IF(ISNUMBER(D82), (D82 - $B82) / $B82, "")</f>
        <v>3.1187122736418511E-2</v>
      </c>
      <c r="F82" s="18">
        <f>IF(ISNUMBER(D82), $B91 * E82, "")</f>
        <v>4678.0684104627762</v>
      </c>
      <c r="G82" s="31">
        <v>1025</v>
      </c>
      <c r="H82" s="32">
        <f t="shared" ref="H82:H85" si="39">IF(ISNUMBER(G82), (G82 - $B82) / $B82, "")</f>
        <v>3.1187122736418511E-2</v>
      </c>
      <c r="I82" s="91">
        <f>IF(ISNUMBER(G82), $B91 * H82, "")</f>
        <v>4678.0684104627762</v>
      </c>
      <c r="J82" s="15">
        <v>1020</v>
      </c>
      <c r="K82" s="32">
        <f t="shared" ref="K82:K85" si="40">IF(ISNUMBER(J82), (J82 - $B82) / $B82, "")</f>
        <v>2.6156941649899398E-2</v>
      </c>
      <c r="L82" s="18">
        <f>IF(ISNUMBER(J82), $B91 * K82, "")</f>
        <v>3923.5412474849095</v>
      </c>
      <c r="M82" s="31">
        <v>1025</v>
      </c>
      <c r="N82" s="32">
        <f t="shared" ref="N82:N85" si="41">IF(ISNUMBER(M82), (M82 - $B82) / $B82, "")</f>
        <v>3.1187122736418511E-2</v>
      </c>
      <c r="O82" s="18">
        <f>IF(ISNUMBER(M82), $B91 * N82, "")</f>
        <v>4678.0684104627762</v>
      </c>
      <c r="Q82" s="153"/>
      <c r="R82" s="154"/>
      <c r="S82" s="155"/>
    </row>
    <row r="83" spans="1:19" ht="17.25" thickBot="1">
      <c r="A83" s="109" t="s">
        <v>85</v>
      </c>
      <c r="B83" s="110">
        <v>130</v>
      </c>
      <c r="C83" s="70">
        <v>0</v>
      </c>
      <c r="D83" s="15">
        <v>134</v>
      </c>
      <c r="E83" s="32">
        <f t="shared" si="38"/>
        <v>3.0769230769230771E-2</v>
      </c>
      <c r="F83" s="18">
        <f>IF(ISNUMBER(D83), $B91 * E83, "")</f>
        <v>4615.3846153846152</v>
      </c>
      <c r="G83" s="31">
        <v>133</v>
      </c>
      <c r="H83" s="32">
        <f t="shared" si="39"/>
        <v>2.3076923076923078E-2</v>
      </c>
      <c r="I83" s="91">
        <f>IF(ISNUMBER(G83), $B91 * H83, "")</f>
        <v>3461.5384615384619</v>
      </c>
      <c r="J83" s="15">
        <v>133</v>
      </c>
      <c r="K83" s="32">
        <f t="shared" si="40"/>
        <v>2.3076923076923078E-2</v>
      </c>
      <c r="L83" s="18">
        <f>IF(ISNUMBER(J83), $B91 * K83, "")</f>
        <v>3461.5384615384619</v>
      </c>
      <c r="M83" s="31">
        <v>134</v>
      </c>
      <c r="N83" s="32">
        <f t="shared" si="41"/>
        <v>3.0769230769230771E-2</v>
      </c>
      <c r="O83" s="18">
        <f>IF(ISNUMBER(M83), $B91 * N83, "")</f>
        <v>4615.3846153846152</v>
      </c>
      <c r="Q83" s="146"/>
      <c r="R83" s="146"/>
      <c r="S83" s="146"/>
    </row>
    <row r="84" spans="1:19" ht="17.25" thickBot="1">
      <c r="A84" s="109" t="s">
        <v>157</v>
      </c>
      <c r="B84" s="110">
        <v>207</v>
      </c>
      <c r="C84" s="70">
        <v>0</v>
      </c>
      <c r="D84" s="15">
        <v>209</v>
      </c>
      <c r="E84" s="32">
        <f t="shared" si="38"/>
        <v>9.6618357487922701E-3</v>
      </c>
      <c r="F84" s="18">
        <f>IF(ISNUMBER(D84), $B91 * E84, "")</f>
        <v>1449.2753623188405</v>
      </c>
      <c r="G84" s="31">
        <v>210</v>
      </c>
      <c r="H84" s="32">
        <f t="shared" si="39"/>
        <v>1.4492753623188406E-2</v>
      </c>
      <c r="I84" s="91">
        <f>IF(ISNUMBER(G84), $B91 * H84, "")</f>
        <v>2173.913043478261</v>
      </c>
      <c r="J84" s="15">
        <v>211</v>
      </c>
      <c r="K84" s="32">
        <f t="shared" si="40"/>
        <v>1.932367149758454E-2</v>
      </c>
      <c r="L84" s="18">
        <f>IF(ISNUMBER(J84), $B91 * K84, "")</f>
        <v>2898.550724637681</v>
      </c>
      <c r="M84" s="31">
        <v>215</v>
      </c>
      <c r="N84" s="32">
        <f t="shared" si="41"/>
        <v>3.864734299516908E-2</v>
      </c>
      <c r="O84" s="18">
        <f>IF(ISNUMBER(M84), $B91 * N84, "")</f>
        <v>5797.101449275362</v>
      </c>
      <c r="Q84" s="156"/>
      <c r="R84" s="156"/>
      <c r="S84" s="156"/>
    </row>
    <row r="85" spans="1:19" ht="17.25" thickBot="1">
      <c r="A85" s="111" t="s">
        <v>219</v>
      </c>
      <c r="B85" s="112">
        <v>336</v>
      </c>
      <c r="C85" s="71">
        <v>0</v>
      </c>
      <c r="D85" s="20">
        <v>348</v>
      </c>
      <c r="E85" s="21">
        <f t="shared" si="38"/>
        <v>3.5714285714285712E-2</v>
      </c>
      <c r="F85" s="22">
        <f>IF(ISNUMBER(D85), $B91 * E85, "")</f>
        <v>5357.1428571428569</v>
      </c>
      <c r="G85" s="30">
        <v>349</v>
      </c>
      <c r="H85" s="21">
        <f t="shared" si="39"/>
        <v>3.8690476190476192E-2</v>
      </c>
      <c r="I85" s="95">
        <f>IF(ISNUMBER(G85), $B91 * H85, "")</f>
        <v>5803.5714285714284</v>
      </c>
      <c r="J85" s="20">
        <v>348</v>
      </c>
      <c r="K85" s="21">
        <f t="shared" si="40"/>
        <v>3.5714285714285712E-2</v>
      </c>
      <c r="L85" s="22">
        <f>IF(ISNUMBER(J85), $B91 * K85, "")</f>
        <v>5357.1428571428569</v>
      </c>
      <c r="M85" s="30">
        <v>349</v>
      </c>
      <c r="N85" s="21">
        <f t="shared" si="41"/>
        <v>3.8690476190476192E-2</v>
      </c>
      <c r="O85" s="22">
        <f>IF(ISNUMBER(M85), $B91 * N85, "")</f>
        <v>5803.5714285714284</v>
      </c>
      <c r="Q85" s="156"/>
      <c r="R85" s="156"/>
      <c r="S85" s="156"/>
    </row>
    <row r="86" spans="1:19" ht="17.25" thickBot="1">
      <c r="A86" s="109" t="s">
        <v>105</v>
      </c>
      <c r="B86" s="113">
        <v>187</v>
      </c>
      <c r="C86" s="73">
        <v>0</v>
      </c>
      <c r="D86" s="96">
        <v>192</v>
      </c>
      <c r="E86" s="97">
        <f>IF(ISNUMBER(D86), (D86 - $B86) / $B86, "")</f>
        <v>2.6737967914438502E-2</v>
      </c>
      <c r="F86" s="98">
        <f>IF(ISNUMBER(D86), $B91 * E86, "")</f>
        <v>4010.6951871657752</v>
      </c>
      <c r="G86" s="99">
        <v>192</v>
      </c>
      <c r="H86" s="97">
        <f>IF(ISNUMBER(G86), (G86 - $B86) / $B86, "")</f>
        <v>2.6737967914438502E-2</v>
      </c>
      <c r="I86" s="100">
        <f>IF(ISNUMBER(G86), $B91 * H86, "")</f>
        <v>4010.6951871657752</v>
      </c>
      <c r="J86" s="96">
        <v>192</v>
      </c>
      <c r="K86" s="97">
        <f>IF(ISNUMBER(J86), (J86 - $B86) / $B86, "")</f>
        <v>2.6737967914438502E-2</v>
      </c>
      <c r="L86" s="98">
        <f>IF(ISNUMBER(J86), $B91 * K86, "")</f>
        <v>4010.6951871657752</v>
      </c>
      <c r="M86" s="99">
        <v>192</v>
      </c>
      <c r="N86" s="97">
        <f>IF(ISNUMBER(M86), (M86 - $B86) / $B86, "")</f>
        <v>2.6737967914438502E-2</v>
      </c>
      <c r="O86" s="98">
        <f>IF(ISNUMBER(M86), $B91 * N86, "")</f>
        <v>4010.6951871657752</v>
      </c>
      <c r="Q86" s="146"/>
      <c r="R86" s="146"/>
      <c r="S86" s="146"/>
    </row>
    <row r="87" spans="1:19" ht="17.25" thickBot="1">
      <c r="A87" s="109" t="s">
        <v>60</v>
      </c>
      <c r="B87" s="110">
        <v>394</v>
      </c>
      <c r="C87" s="70">
        <v>0</v>
      </c>
      <c r="D87" s="15">
        <v>413</v>
      </c>
      <c r="E87" s="32">
        <f t="shared" ref="E87:E90" si="42">IF(ISNUMBER(D87), (D87 - $B87) / $B87, "")</f>
        <v>4.8223350253807105E-2</v>
      </c>
      <c r="F87" s="18">
        <f>IF(ISNUMBER(D87), $B91 * E87, "")</f>
        <v>7233.5025380710658</v>
      </c>
      <c r="G87" s="31">
        <v>413</v>
      </c>
      <c r="H87" s="32">
        <f t="shared" ref="H87:H90" si="43">IF(ISNUMBER(G87), (G87 - $B87) / $B87, "")</f>
        <v>4.8223350253807105E-2</v>
      </c>
      <c r="I87" s="91">
        <f>IF(ISNUMBER(G87), $B91 * H87, "")</f>
        <v>7233.5025380710658</v>
      </c>
      <c r="J87" s="15">
        <v>413</v>
      </c>
      <c r="K87" s="32">
        <f t="shared" ref="K87:K90" si="44">IF(ISNUMBER(J87), (J87 - $B87) / $B87, "")</f>
        <v>4.8223350253807105E-2</v>
      </c>
      <c r="L87" s="18">
        <f>IF(ISNUMBER(J87), $B91 * K87, "")</f>
        <v>7233.5025380710658</v>
      </c>
      <c r="M87" s="31">
        <v>412</v>
      </c>
      <c r="N87" s="32">
        <f t="shared" ref="N87:N90" si="45">IF(ISNUMBER(M87), (M87 - $B87) / $B87, "")</f>
        <v>4.5685279187817257E-2</v>
      </c>
      <c r="O87" s="18">
        <f>IF(ISNUMBER(M87), $B91 * N87, "")</f>
        <v>6852.7918781725884</v>
      </c>
      <c r="Q87" s="146"/>
      <c r="R87" s="146"/>
      <c r="S87" s="146"/>
    </row>
    <row r="88" spans="1:19" ht="17.25" thickBot="1">
      <c r="A88" s="109" t="s">
        <v>345</v>
      </c>
      <c r="B88" s="110">
        <v>108</v>
      </c>
      <c r="C88" s="70">
        <v>0</v>
      </c>
      <c r="D88" s="15">
        <v>111</v>
      </c>
      <c r="E88" s="32">
        <f t="shared" si="42"/>
        <v>2.7777777777777776E-2</v>
      </c>
      <c r="F88" s="18">
        <f>IF(ISNUMBER(D88), $B91 * E88, "")</f>
        <v>4166.6666666666661</v>
      </c>
      <c r="G88" s="31">
        <v>109</v>
      </c>
      <c r="H88" s="32">
        <f t="shared" si="43"/>
        <v>9.2592592592592587E-3</v>
      </c>
      <c r="I88" s="91">
        <f>IF(ISNUMBER(G88), $B91 * H88, "")</f>
        <v>1388.8888888888889</v>
      </c>
      <c r="J88" s="15">
        <v>109</v>
      </c>
      <c r="K88" s="32">
        <f t="shared" si="44"/>
        <v>9.2592592592592587E-3</v>
      </c>
      <c r="L88" s="18">
        <f>IF(ISNUMBER(J88), $B91 * K88, "")</f>
        <v>1388.8888888888889</v>
      </c>
      <c r="M88" s="31">
        <v>109</v>
      </c>
      <c r="N88" s="32">
        <f t="shared" si="45"/>
        <v>9.2592592592592587E-3</v>
      </c>
      <c r="O88" s="18">
        <f>IF(ISNUMBER(M88), $B91 * N88, "")</f>
        <v>1388.8888888888889</v>
      </c>
      <c r="Q88" s="146"/>
      <c r="R88" s="146"/>
      <c r="S88" s="146"/>
    </row>
    <row r="89" spans="1:19">
      <c r="A89" s="109" t="s">
        <v>101</v>
      </c>
      <c r="B89" s="110">
        <v>196</v>
      </c>
      <c r="C89" s="70">
        <v>0</v>
      </c>
      <c r="D89" s="15">
        <v>202</v>
      </c>
      <c r="E89" s="32">
        <f t="shared" si="42"/>
        <v>3.0612244897959183E-2</v>
      </c>
      <c r="F89" s="18">
        <f>IF(ISNUMBER(D89), $B91 * E89, "")</f>
        <v>4591.8367346938776</v>
      </c>
      <c r="G89" s="31">
        <v>203</v>
      </c>
      <c r="H89" s="32">
        <f t="shared" si="43"/>
        <v>3.5714285714285712E-2</v>
      </c>
      <c r="I89" s="91">
        <f>IF(ISNUMBER(G89), $B91 * H89, "")</f>
        <v>5357.1428571428569</v>
      </c>
      <c r="J89" s="15">
        <v>202</v>
      </c>
      <c r="K89" s="32">
        <f t="shared" si="44"/>
        <v>3.0612244897959183E-2</v>
      </c>
      <c r="L89" s="18">
        <f>IF(ISNUMBER(J89), $B91 * K89, "")</f>
        <v>4591.8367346938776</v>
      </c>
      <c r="M89" s="31">
        <v>202</v>
      </c>
      <c r="N89" s="32">
        <f t="shared" si="45"/>
        <v>3.0612244897959183E-2</v>
      </c>
      <c r="O89" s="18">
        <f>IF(ISNUMBER(M89), $B91 * N89, "")</f>
        <v>4591.8367346938776</v>
      </c>
      <c r="Q89" s="135"/>
      <c r="R89" s="136"/>
      <c r="S89" s="137"/>
    </row>
    <row r="90" spans="1:19" ht="17.25" thickBot="1">
      <c r="A90" s="114" t="s">
        <v>161</v>
      </c>
      <c r="B90" s="115">
        <v>276</v>
      </c>
      <c r="C90" s="72">
        <v>0</v>
      </c>
      <c r="D90" s="24">
        <v>280</v>
      </c>
      <c r="E90" s="25">
        <f t="shared" si="42"/>
        <v>1.4492753623188406E-2</v>
      </c>
      <c r="F90" s="94">
        <f>IF(ISNUMBER(D90), $B91 * E90, "")</f>
        <v>2173.913043478261</v>
      </c>
      <c r="G90" s="92">
        <v>282</v>
      </c>
      <c r="H90" s="25">
        <f t="shared" si="43"/>
        <v>2.1739130434782608E-2</v>
      </c>
      <c r="I90" s="93">
        <f>IF(ISNUMBER(G90), $B91 * H90, "")</f>
        <v>3260.869565217391</v>
      </c>
      <c r="J90" s="24">
        <v>280</v>
      </c>
      <c r="K90" s="25">
        <f t="shared" si="44"/>
        <v>1.4492753623188406E-2</v>
      </c>
      <c r="L90" s="94">
        <f>IF(ISNUMBER(J90), $B91 * K90, "")</f>
        <v>2173.913043478261</v>
      </c>
      <c r="M90" s="92">
        <v>280</v>
      </c>
      <c r="N90" s="25">
        <f t="shared" si="45"/>
        <v>1.4492753623188406E-2</v>
      </c>
      <c r="O90" s="94">
        <f>IF(ISNUMBER(M90), $B91 * N90, "")</f>
        <v>2173.913043478261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3.039129125003532E-2</v>
      </c>
      <c r="F91" s="28">
        <f>SUM(F71:F90)</f>
        <v>91173.873750105966</v>
      </c>
      <c r="G91" s="26" t="s">
        <v>258</v>
      </c>
      <c r="H91" s="27">
        <f>IF(COUNT(H71:H90), SUM(H71:H90) / COUNT(H71:H90), 0)</f>
        <v>3.0149886159940659E-2</v>
      </c>
      <c r="I91" s="28">
        <f>SUM(I71:I90)</f>
        <v>90449.658479821999</v>
      </c>
      <c r="J91" s="26" t="s">
        <v>258</v>
      </c>
      <c r="K91" s="27">
        <f>IF(COUNT(K71:K90), SUM(K71:K90) / COUNT(K71:K90), 0)</f>
        <v>2.93738208668122E-2</v>
      </c>
      <c r="L91" s="28">
        <f>SUM(L71:L90)</f>
        <v>88121.462600436629</v>
      </c>
      <c r="M91" s="26" t="s">
        <v>258</v>
      </c>
      <c r="N91" s="27">
        <f>IF(COUNT(N71:N90), SUM(N71:N90) / COUNT(N71:N90), 0)</f>
        <v>2.9746455382239023E-2</v>
      </c>
      <c r="O91" s="28">
        <f>SUM(O71:O90)</f>
        <v>89239.366146717075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21539000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1.0224474E-3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2023-01-04(수) 오전 00:00</v>
      </c>
      <c r="C96" s="198"/>
      <c r="D96" s="170" t="str">
        <f>TEXT($G$1, "[$-ko-KR]yyyy-mm-dd(ddd) ") &amp; "오후 14:00"</f>
        <v>2023-01-04(수) 오후 14:00</v>
      </c>
      <c r="E96" s="171"/>
      <c r="F96" s="172"/>
      <c r="G96" s="170" t="str">
        <f>TEXT($G$1, "[$-ko-KR]yyyy-mm-dd(ddd) ") &amp; "오후 19:00"</f>
        <v>2023-01-04(수) 오후 19:00</v>
      </c>
      <c r="H96" s="171"/>
      <c r="I96" s="172"/>
      <c r="J96" s="170" t="str">
        <f>TEXT($G$1, "[$-ko-KR]yyyy-mm-dd(ddd) ") &amp; "오후 21:00"</f>
        <v>2023-01-04(수) 오후 21:00</v>
      </c>
      <c r="K96" s="171"/>
      <c r="L96" s="172"/>
      <c r="M96" s="170" t="str">
        <f>TEXT($G$1+1, "[$-ko-KR]yyyy-mm-dd(ddd) ") &amp; "오전 00:00"</f>
        <v>2023-01-05(목)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189</v>
      </c>
      <c r="B98" s="108">
        <v>932</v>
      </c>
      <c r="C98" s="69">
        <v>0.10035419130000001</v>
      </c>
      <c r="D98" s="13">
        <v>938</v>
      </c>
      <c r="E98" s="14">
        <f>IF(ISNUMBER(D98), (D98 - $B98) / $B98, "")</f>
        <v>6.4377682403433476E-3</v>
      </c>
      <c r="F98" s="16">
        <f>IF(ISNUMBER(D98), $B118 * E98, "")</f>
        <v>965.66523605150212</v>
      </c>
      <c r="G98" s="29">
        <v>942</v>
      </c>
      <c r="H98" s="14">
        <f>IF(ISNUMBER(G98), (G98 - $B98) / $B98, "")</f>
        <v>1.0729613733905579E-2</v>
      </c>
      <c r="I98" s="90">
        <f>IF(ISNUMBER(G98), $B118 * H98, "")</f>
        <v>1609.4420600858368</v>
      </c>
      <c r="J98" s="13">
        <v>939</v>
      </c>
      <c r="K98" s="14">
        <f>IF(ISNUMBER(J98), (J98 - $B98) / $B98, "")</f>
        <v>7.5107296137339056E-3</v>
      </c>
      <c r="L98" s="16">
        <f>IF(ISNUMBER(J98), $B118 * K98, "")</f>
        <v>1126.6094420600859</v>
      </c>
      <c r="M98" s="29">
        <v>929</v>
      </c>
      <c r="N98" s="14">
        <f>IF(ISNUMBER(M98), (M98 - $B98) / $B98, "")</f>
        <v>-3.2188841201716738E-3</v>
      </c>
      <c r="O98" s="16">
        <f>IF(ISNUMBER(M98), $B118 * N98, "")</f>
        <v>-482.83261802575106</v>
      </c>
      <c r="Q98" s="156"/>
      <c r="R98" s="156"/>
      <c r="S98" s="156"/>
    </row>
    <row r="99" spans="1:19" ht="17.25" thickBot="1">
      <c r="A99" s="109" t="s">
        <v>343</v>
      </c>
      <c r="B99" s="110">
        <v>15720</v>
      </c>
      <c r="C99" s="70">
        <v>9.6234309599999998E-2</v>
      </c>
      <c r="D99" s="15">
        <v>17180</v>
      </c>
      <c r="E99" s="32">
        <f t="shared" ref="E99:E102" si="46">IF(ISNUMBER(D99), (D99 - $B99) / $B99, "")</f>
        <v>9.2875318066157758E-2</v>
      </c>
      <c r="F99" s="18">
        <f>IF(ISNUMBER(D99), $B118 * E99, "")</f>
        <v>13931.297709923663</v>
      </c>
      <c r="G99" s="31">
        <v>17650</v>
      </c>
      <c r="H99" s="32">
        <f t="shared" ref="H99:H102" si="47">IF(ISNUMBER(G99), (G99 - $B99) / $B99, "")</f>
        <v>0.1227735368956743</v>
      </c>
      <c r="I99" s="91">
        <f>IF(ISNUMBER(G99), $B118 * H99, "")</f>
        <v>18416.030534351146</v>
      </c>
      <c r="J99" s="15">
        <v>17480</v>
      </c>
      <c r="K99" s="32">
        <f t="shared" ref="K99:K102" si="48">IF(ISNUMBER(J99), (J99 - $B99) / $B99, "")</f>
        <v>0.11195928753180662</v>
      </c>
      <c r="L99" s="18">
        <f>IF(ISNUMBER(J99), $B118 * K99, "")</f>
        <v>16793.893129770993</v>
      </c>
      <c r="M99" s="31">
        <v>17190</v>
      </c>
      <c r="N99" s="32">
        <f t="shared" ref="N99:N102" si="49">IF(ISNUMBER(M99), (M99 - $B99) / $B99, "")</f>
        <v>9.3511450381679392E-2</v>
      </c>
      <c r="O99" s="18">
        <f>IF(ISNUMBER(M99), $B118 * N99, "")</f>
        <v>14026.717557251908</v>
      </c>
      <c r="Q99" s="156"/>
      <c r="R99" s="156"/>
      <c r="S99" s="156"/>
    </row>
    <row r="100" spans="1:19" ht="17.25" thickBot="1">
      <c r="A100" s="109" t="s">
        <v>73</v>
      </c>
      <c r="B100" s="110">
        <v>12960</v>
      </c>
      <c r="C100" s="70">
        <v>3.8461538500000003E-2</v>
      </c>
      <c r="D100" s="15">
        <v>13200</v>
      </c>
      <c r="E100" s="32">
        <f t="shared" si="46"/>
        <v>1.8518518518518517E-2</v>
      </c>
      <c r="F100" s="18">
        <f>IF(ISNUMBER(D100), $B118 * E100, "")</f>
        <v>2777.7777777777778</v>
      </c>
      <c r="G100" s="31">
        <v>13110</v>
      </c>
      <c r="H100" s="32">
        <f t="shared" si="47"/>
        <v>1.1574074074074073E-2</v>
      </c>
      <c r="I100" s="91">
        <f>IF(ISNUMBER(G100), $B118 * H100, "")</f>
        <v>1736.1111111111111</v>
      </c>
      <c r="J100" s="15">
        <v>13050</v>
      </c>
      <c r="K100" s="32">
        <f t="shared" si="48"/>
        <v>6.9444444444444441E-3</v>
      </c>
      <c r="L100" s="18">
        <f>IF(ISNUMBER(J100), $B118 * K100, "")</f>
        <v>1041.6666666666665</v>
      </c>
      <c r="M100" s="31">
        <v>13060</v>
      </c>
      <c r="N100" s="32">
        <f t="shared" si="49"/>
        <v>7.716049382716049E-3</v>
      </c>
      <c r="O100" s="18">
        <f>IF(ISNUMBER(M100), $B118 * N100, "")</f>
        <v>1157.4074074074074</v>
      </c>
      <c r="Q100" s="146"/>
      <c r="R100" s="146"/>
      <c r="S100" s="146"/>
    </row>
    <row r="101" spans="1:19" ht="17.25" thickBot="1">
      <c r="A101" s="109" t="s">
        <v>68</v>
      </c>
      <c r="B101" s="110">
        <v>241</v>
      </c>
      <c r="C101" s="70">
        <v>3.4334763900000002E-2</v>
      </c>
      <c r="D101" s="15">
        <v>271</v>
      </c>
      <c r="E101" s="32">
        <f t="shared" si="46"/>
        <v>0.12448132780082988</v>
      </c>
      <c r="F101" s="18">
        <f>IF(ISNUMBER(D101), $B118 * E101, "")</f>
        <v>18672.199170124481</v>
      </c>
      <c r="G101" s="31">
        <v>272</v>
      </c>
      <c r="H101" s="32">
        <f t="shared" si="47"/>
        <v>0.12863070539419086</v>
      </c>
      <c r="I101" s="91">
        <f>IF(ISNUMBER(G101), $B118 * H101, "")</f>
        <v>19294.605809128629</v>
      </c>
      <c r="J101" s="15">
        <v>271</v>
      </c>
      <c r="K101" s="32">
        <f t="shared" si="48"/>
        <v>0.12448132780082988</v>
      </c>
      <c r="L101" s="18">
        <f>IF(ISNUMBER(J101), $B118 * K101, "")</f>
        <v>18672.199170124481</v>
      </c>
      <c r="M101" s="31">
        <v>267</v>
      </c>
      <c r="N101" s="32">
        <f t="shared" si="49"/>
        <v>0.1078838174273859</v>
      </c>
      <c r="O101" s="18">
        <f>IF(ISNUMBER(M101), $B118 * N101, "")</f>
        <v>16182.572614107885</v>
      </c>
      <c r="Q101" s="146"/>
      <c r="R101" s="146"/>
      <c r="S101" s="146"/>
    </row>
    <row r="102" spans="1:19" ht="17.25" thickBot="1">
      <c r="A102" s="111" t="s">
        <v>201</v>
      </c>
      <c r="B102" s="112">
        <v>182</v>
      </c>
      <c r="C102" s="71">
        <v>2.2471910099999999E-2</v>
      </c>
      <c r="D102" s="20">
        <v>183</v>
      </c>
      <c r="E102" s="21">
        <f t="shared" si="46"/>
        <v>5.4945054945054949E-3</v>
      </c>
      <c r="F102" s="22">
        <f>IF(ISNUMBER(D102), $B118 * E102, "")</f>
        <v>824.17582417582423</v>
      </c>
      <c r="G102" s="30">
        <v>183</v>
      </c>
      <c r="H102" s="21">
        <f t="shared" si="47"/>
        <v>5.4945054945054949E-3</v>
      </c>
      <c r="I102" s="95">
        <f>IF(ISNUMBER(G102), $B118 * H102, "")</f>
        <v>824.17582417582423</v>
      </c>
      <c r="J102" s="20">
        <v>183</v>
      </c>
      <c r="K102" s="21">
        <f t="shared" si="48"/>
        <v>5.4945054945054949E-3</v>
      </c>
      <c r="L102" s="22">
        <f>IF(ISNUMBER(J102), $B118 * K102, "")</f>
        <v>824.17582417582423</v>
      </c>
      <c r="M102" s="30">
        <v>183</v>
      </c>
      <c r="N102" s="21">
        <f t="shared" si="49"/>
        <v>5.4945054945054949E-3</v>
      </c>
      <c r="O102" s="22">
        <f>IF(ISNUMBER(M102), $B118 * N102, "")</f>
        <v>824.17582417582423</v>
      </c>
      <c r="Q102" s="146"/>
      <c r="R102" s="146"/>
      <c r="S102" s="146"/>
    </row>
    <row r="103" spans="1:19" ht="17.25" thickBot="1">
      <c r="A103" s="109" t="s">
        <v>95</v>
      </c>
      <c r="B103" s="113">
        <v>961</v>
      </c>
      <c r="C103" s="73">
        <v>2.23404255E-2</v>
      </c>
      <c r="D103" s="96">
        <v>980</v>
      </c>
      <c r="E103" s="97">
        <f>IF(ISNUMBER(D103), (D103 - $B103) / $B103, "")</f>
        <v>1.9771071800208116E-2</v>
      </c>
      <c r="F103" s="98">
        <f>IF(ISNUMBER(D103), $B118 * E103, "")</f>
        <v>2965.6607700312175</v>
      </c>
      <c r="G103" s="99">
        <v>982</v>
      </c>
      <c r="H103" s="97">
        <f>IF(ISNUMBER(G103), (G103 - $B103) / $B103, "")</f>
        <v>2.1852237252861603E-2</v>
      </c>
      <c r="I103" s="100">
        <f>IF(ISNUMBER(G103), $B118 * H103, "")</f>
        <v>3277.8355879292403</v>
      </c>
      <c r="J103" s="96">
        <v>979</v>
      </c>
      <c r="K103" s="97">
        <f>IF(ISNUMBER(J103), (J103 - $B103) / $B103, "")</f>
        <v>1.8730489073881373E-2</v>
      </c>
      <c r="L103" s="98">
        <f>IF(ISNUMBER(J103), $B118 * K103, "")</f>
        <v>2809.5733610822058</v>
      </c>
      <c r="M103" s="99">
        <v>979</v>
      </c>
      <c r="N103" s="97">
        <f>IF(ISNUMBER(M103), (M103 - $B103) / $B103, "")</f>
        <v>1.8730489073881373E-2</v>
      </c>
      <c r="O103" s="98">
        <f>IF(ISNUMBER(M103), $B118 * N103, "")</f>
        <v>2809.5733610822058</v>
      </c>
      <c r="Q103" s="146"/>
      <c r="R103" s="146"/>
      <c r="S103" s="146"/>
    </row>
    <row r="104" spans="1:19" ht="17.25" thickBot="1">
      <c r="A104" s="109" t="s">
        <v>335</v>
      </c>
      <c r="B104" s="110">
        <v>1700</v>
      </c>
      <c r="C104" s="70">
        <v>2.1021021000000001E-2</v>
      </c>
      <c r="D104" s="15">
        <v>1820</v>
      </c>
      <c r="E104" s="32">
        <f t="shared" ref="E104:E107" si="50">IF(ISNUMBER(D104), (D104 - $B104) / $B104, "")</f>
        <v>7.0588235294117646E-2</v>
      </c>
      <c r="F104" s="18">
        <f>IF(ISNUMBER(D104), $B118 * E104, "")</f>
        <v>10588.235294117647</v>
      </c>
      <c r="G104" s="31">
        <v>1950</v>
      </c>
      <c r="H104" s="32">
        <f t="shared" ref="H104:H107" si="51">IF(ISNUMBER(G104), (G104 - $B104) / $B104, "")</f>
        <v>0.14705882352941177</v>
      </c>
      <c r="I104" s="91">
        <f>IF(ISNUMBER(G104), $B118 * H104, "")</f>
        <v>22058.823529411766</v>
      </c>
      <c r="J104" s="15">
        <v>1920</v>
      </c>
      <c r="K104" s="32">
        <f t="shared" ref="K104:K107" si="52">IF(ISNUMBER(J104), (J104 - $B104) / $B104, "")</f>
        <v>0.12941176470588237</v>
      </c>
      <c r="L104" s="18">
        <f>IF(ISNUMBER(J104), $B118 * K104, "")</f>
        <v>19411.764705882353</v>
      </c>
      <c r="M104" s="31">
        <v>1990</v>
      </c>
      <c r="N104" s="32">
        <f t="shared" ref="N104:N107" si="53">IF(ISNUMBER(M104), (M104 - $B104) / $B104, "")</f>
        <v>0.17058823529411765</v>
      </c>
      <c r="O104" s="18">
        <f>IF(ISNUMBER(M104), $B118 * N104, "")</f>
        <v>25588.235294117647</v>
      </c>
      <c r="Q104" s="146"/>
      <c r="R104" s="146"/>
      <c r="S104" s="146"/>
    </row>
    <row r="105" spans="1:19" ht="17.25" thickBot="1">
      <c r="A105" s="109" t="s">
        <v>87</v>
      </c>
      <c r="B105" s="110">
        <v>54360</v>
      </c>
      <c r="C105" s="70">
        <v>2.0653398399999998E-2</v>
      </c>
      <c r="D105" s="15">
        <v>54850</v>
      </c>
      <c r="E105" s="32">
        <f t="shared" si="50"/>
        <v>9.0139808682855038E-3</v>
      </c>
      <c r="F105" s="18">
        <f>IF(ISNUMBER(D105), $B118 * E105, "")</f>
        <v>1352.0971302428256</v>
      </c>
      <c r="G105" s="31">
        <v>54870</v>
      </c>
      <c r="H105" s="32">
        <f t="shared" si="51"/>
        <v>9.3818984547461362E-3</v>
      </c>
      <c r="I105" s="91">
        <f>IF(ISNUMBER(G105), $B118 * H105, "")</f>
        <v>1407.2847682119204</v>
      </c>
      <c r="J105" s="15">
        <v>54660</v>
      </c>
      <c r="K105" s="32">
        <f t="shared" si="52"/>
        <v>5.5187637969094927E-3</v>
      </c>
      <c r="L105" s="18">
        <f>IF(ISNUMBER(J105), $B118 * K105, "")</f>
        <v>827.81456953642396</v>
      </c>
      <c r="M105" s="31">
        <v>54510</v>
      </c>
      <c r="N105" s="32">
        <f t="shared" si="53"/>
        <v>2.7593818984547464E-3</v>
      </c>
      <c r="O105" s="18">
        <f>IF(ISNUMBER(M105), $B118 * N105, "")</f>
        <v>413.90728476821198</v>
      </c>
      <c r="Q105" s="146"/>
      <c r="R105" s="146"/>
      <c r="S105" s="146"/>
    </row>
    <row r="106" spans="1:19" ht="17.25" thickBot="1">
      <c r="A106" s="109" t="s">
        <v>347</v>
      </c>
      <c r="B106" s="110">
        <v>14490</v>
      </c>
      <c r="C106" s="70">
        <v>2.0422535200000001E-2</v>
      </c>
      <c r="D106" s="15">
        <v>15050</v>
      </c>
      <c r="E106" s="32">
        <f t="shared" si="50"/>
        <v>3.864734299516908E-2</v>
      </c>
      <c r="F106" s="18">
        <f>IF(ISNUMBER(D106), $B118 * E106, "")</f>
        <v>5797.101449275362</v>
      </c>
      <c r="G106" s="31">
        <v>15110</v>
      </c>
      <c r="H106" s="32">
        <f t="shared" si="51"/>
        <v>4.2788129744651481E-2</v>
      </c>
      <c r="I106" s="91">
        <f>IF(ISNUMBER(G106), $B118 * H106, "")</f>
        <v>6418.2194616977222</v>
      </c>
      <c r="J106" s="15">
        <v>15080</v>
      </c>
      <c r="K106" s="32">
        <f t="shared" si="52"/>
        <v>4.071773636991028E-2</v>
      </c>
      <c r="L106" s="18">
        <f>IF(ISNUMBER(J106), $B118 * K106, "")</f>
        <v>6107.6604554865417</v>
      </c>
      <c r="M106" s="31">
        <v>15180</v>
      </c>
      <c r="N106" s="32">
        <f t="shared" si="53"/>
        <v>4.7619047619047616E-2</v>
      </c>
      <c r="O106" s="18">
        <f>IF(ISNUMBER(M106), $B118 * N106, "")</f>
        <v>7142.8571428571422</v>
      </c>
      <c r="Q106" s="33"/>
      <c r="R106" s="33"/>
    </row>
    <row r="107" spans="1:19" ht="17.25" thickBot="1">
      <c r="A107" s="114" t="s">
        <v>159</v>
      </c>
      <c r="B107" s="115">
        <v>140</v>
      </c>
      <c r="C107" s="72">
        <v>1.44927536E-2</v>
      </c>
      <c r="D107" s="24">
        <v>142</v>
      </c>
      <c r="E107" s="25">
        <f t="shared" si="50"/>
        <v>1.4285714285714285E-2</v>
      </c>
      <c r="F107" s="94">
        <f>IF(ISNUMBER(D107), $B118 * E107, "")</f>
        <v>2142.8571428571427</v>
      </c>
      <c r="G107" s="92">
        <v>141</v>
      </c>
      <c r="H107" s="25">
        <f t="shared" si="51"/>
        <v>7.1428571428571426E-3</v>
      </c>
      <c r="I107" s="93">
        <f>IF(ISNUMBER(G107), $B118 * H107, "")</f>
        <v>1071.4285714285713</v>
      </c>
      <c r="J107" s="24">
        <v>141</v>
      </c>
      <c r="K107" s="25">
        <f t="shared" si="52"/>
        <v>7.1428571428571426E-3</v>
      </c>
      <c r="L107" s="94">
        <f>IF(ISNUMBER(J107), $B118 * K107, "")</f>
        <v>1071.4285714285713</v>
      </c>
      <c r="M107" s="92">
        <v>141</v>
      </c>
      <c r="N107" s="25">
        <f t="shared" si="53"/>
        <v>7.1428571428571426E-3</v>
      </c>
      <c r="O107" s="94">
        <f>IF(ISNUMBER(M107), $B118 * N107, "")</f>
        <v>1071.4285714285713</v>
      </c>
      <c r="Q107" s="147"/>
      <c r="R107" s="148"/>
      <c r="S107" s="149"/>
    </row>
    <row r="108" spans="1:19">
      <c r="A108" s="107" t="s">
        <v>77</v>
      </c>
      <c r="B108" s="108">
        <v>128250</v>
      </c>
      <c r="C108" s="69">
        <v>1.4234875399999999E-2</v>
      </c>
      <c r="D108" s="13">
        <v>130100</v>
      </c>
      <c r="E108" s="14">
        <f>IF(ISNUMBER(D108), (D108 - $B108) / $B108, "")</f>
        <v>1.442495126705653E-2</v>
      </c>
      <c r="F108" s="16">
        <f>IF(ISNUMBER(D108), $B118 * E108, "")</f>
        <v>2163.7426900584796</v>
      </c>
      <c r="G108" s="29">
        <v>131050</v>
      </c>
      <c r="H108" s="14">
        <f>IF(ISNUMBER(G108), (G108 - $B108) / $B108, "")</f>
        <v>2.1832358674463939E-2</v>
      </c>
      <c r="I108" s="90">
        <f>IF(ISNUMBER(G108), $B118 * H108, "")</f>
        <v>3274.853801169591</v>
      </c>
      <c r="J108" s="13">
        <v>130000</v>
      </c>
      <c r="K108" s="14">
        <f>IF(ISNUMBER(J108), (J108 - $B108) / $B108, "")</f>
        <v>1.364522417153996E-2</v>
      </c>
      <c r="L108" s="16">
        <f>IF(ISNUMBER(J108), $B118 * K108, "")</f>
        <v>2046.7836257309941</v>
      </c>
      <c r="M108" s="29">
        <v>130500</v>
      </c>
      <c r="N108" s="14">
        <f>IF(ISNUMBER(M108), (M108 - $B108) / $B108, "")</f>
        <v>1.7543859649122806E-2</v>
      </c>
      <c r="O108" s="16">
        <f>IF(ISNUMBER(M108), $B118 * N108, "")</f>
        <v>2631.5789473684208</v>
      </c>
      <c r="Q108" s="150"/>
      <c r="R108" s="151"/>
      <c r="S108" s="152"/>
    </row>
    <row r="109" spans="1:19" ht="17.25" thickBot="1">
      <c r="A109" s="109" t="s">
        <v>326</v>
      </c>
      <c r="B109" s="110">
        <v>232</v>
      </c>
      <c r="C109" s="70">
        <v>1.3100436700000001E-2</v>
      </c>
      <c r="D109" s="15">
        <v>242</v>
      </c>
      <c r="E109" s="32">
        <f t="shared" ref="E109:E112" si="54">IF(ISNUMBER(D109), (D109 - $B109) / $B109, "")</f>
        <v>4.3103448275862072E-2</v>
      </c>
      <c r="F109" s="18">
        <f>IF(ISNUMBER(D109), $B118 * E109, "")</f>
        <v>6465.5172413793107</v>
      </c>
      <c r="G109" s="31">
        <v>242</v>
      </c>
      <c r="H109" s="32">
        <f t="shared" ref="H109:H112" si="55">IF(ISNUMBER(G109), (G109 - $B109) / $B109, "")</f>
        <v>4.3103448275862072E-2</v>
      </c>
      <c r="I109" s="91">
        <f>IF(ISNUMBER(G109), $B118 * H109, "")</f>
        <v>6465.5172413793107</v>
      </c>
      <c r="J109" s="15">
        <v>241</v>
      </c>
      <c r="K109" s="32">
        <f t="shared" ref="K109:K112" si="56">IF(ISNUMBER(J109), (J109 - $B109) / $B109, "")</f>
        <v>3.8793103448275863E-2</v>
      </c>
      <c r="L109" s="18">
        <f>IF(ISNUMBER(J109), $B118 * K109, "")</f>
        <v>5818.9655172413795</v>
      </c>
      <c r="M109" s="31">
        <v>241</v>
      </c>
      <c r="N109" s="32">
        <f t="shared" ref="N109:N112" si="57">IF(ISNUMBER(M109), (M109 - $B109) / $B109, "")</f>
        <v>3.8793103448275863E-2</v>
      </c>
      <c r="O109" s="18">
        <f>IF(ISNUMBER(M109), $B118 * N109, "")</f>
        <v>5818.9655172413795</v>
      </c>
      <c r="Q109" s="153"/>
      <c r="R109" s="154"/>
      <c r="S109" s="155"/>
    </row>
    <row r="110" spans="1:19" ht="17.25" thickBot="1">
      <c r="A110" s="109" t="s">
        <v>155</v>
      </c>
      <c r="B110" s="110">
        <v>24.5</v>
      </c>
      <c r="C110" s="70">
        <v>1.2396694200000001E-2</v>
      </c>
      <c r="D110" s="15">
        <v>24.8</v>
      </c>
      <c r="E110" s="32">
        <f t="shared" si="54"/>
        <v>1.2244897959183702E-2</v>
      </c>
      <c r="F110" s="18">
        <f>IF(ISNUMBER(D110), $B118 * E110, "")</f>
        <v>1836.7346938775554</v>
      </c>
      <c r="G110" s="31">
        <v>24.8</v>
      </c>
      <c r="H110" s="32">
        <f t="shared" si="55"/>
        <v>1.2244897959183702E-2</v>
      </c>
      <c r="I110" s="91">
        <f>IF(ISNUMBER(G110), $B118 * H110, "")</f>
        <v>1836.7346938775554</v>
      </c>
      <c r="J110" s="15">
        <v>24.9</v>
      </c>
      <c r="K110" s="32">
        <f t="shared" si="56"/>
        <v>1.632653061224484E-2</v>
      </c>
      <c r="L110" s="18">
        <f>IF(ISNUMBER(J110), $B118 * K110, "")</f>
        <v>2448.9795918367263</v>
      </c>
      <c r="M110" s="31">
        <v>24.8</v>
      </c>
      <c r="N110" s="32">
        <f t="shared" si="57"/>
        <v>1.2244897959183702E-2</v>
      </c>
      <c r="O110" s="18">
        <f>IF(ISNUMBER(M110), $B118 * N110, "")</f>
        <v>1836.7346938775554</v>
      </c>
      <c r="Q110" s="146"/>
      <c r="R110" s="146"/>
      <c r="S110" s="146"/>
    </row>
    <row r="111" spans="1:19" ht="17.25" thickBot="1">
      <c r="A111" s="109" t="s">
        <v>199</v>
      </c>
      <c r="B111" s="110">
        <v>268</v>
      </c>
      <c r="C111" s="70">
        <v>1.13207547E-2</v>
      </c>
      <c r="D111" s="15">
        <v>271</v>
      </c>
      <c r="E111" s="32">
        <f t="shared" si="54"/>
        <v>1.1194029850746268E-2</v>
      </c>
      <c r="F111" s="18">
        <f>IF(ISNUMBER(D111), $B118 * E111, "")</f>
        <v>1679.1044776119402</v>
      </c>
      <c r="G111" s="31">
        <v>270</v>
      </c>
      <c r="H111" s="32">
        <f t="shared" si="55"/>
        <v>7.462686567164179E-3</v>
      </c>
      <c r="I111" s="91">
        <f>IF(ISNUMBER(G111), $B118 * H111, "")</f>
        <v>1119.4029850746269</v>
      </c>
      <c r="J111" s="15">
        <v>270</v>
      </c>
      <c r="K111" s="32">
        <f t="shared" si="56"/>
        <v>7.462686567164179E-3</v>
      </c>
      <c r="L111" s="18">
        <f>IF(ISNUMBER(J111), $B118 * K111, "")</f>
        <v>1119.4029850746269</v>
      </c>
      <c r="M111" s="31">
        <v>271</v>
      </c>
      <c r="N111" s="32">
        <f t="shared" si="57"/>
        <v>1.1194029850746268E-2</v>
      </c>
      <c r="O111" s="18">
        <f>IF(ISNUMBER(M111), $B118 * N111, "")</f>
        <v>1679.1044776119402</v>
      </c>
      <c r="Q111" s="156"/>
      <c r="R111" s="156"/>
      <c r="S111" s="156"/>
    </row>
    <row r="112" spans="1:19" ht="17.25" thickBot="1">
      <c r="A112" s="111" t="s">
        <v>203</v>
      </c>
      <c r="B112" s="112">
        <v>2.96</v>
      </c>
      <c r="C112" s="71">
        <v>1.02389078E-2</v>
      </c>
      <c r="D112" s="20">
        <v>3.02</v>
      </c>
      <c r="E112" s="21">
        <f t="shared" si="54"/>
        <v>2.0270270270270289E-2</v>
      </c>
      <c r="F112" s="22">
        <f>IF(ISNUMBER(D112), $B118 * E112, "")</f>
        <v>3040.5405405405431</v>
      </c>
      <c r="G112" s="30">
        <v>2.99</v>
      </c>
      <c r="H112" s="21">
        <f t="shared" si="55"/>
        <v>1.0135135135135219E-2</v>
      </c>
      <c r="I112" s="95">
        <f>IF(ISNUMBER(G112), $B118 * H112, "")</f>
        <v>1520.2702702702829</v>
      </c>
      <c r="J112" s="20">
        <v>3.01</v>
      </c>
      <c r="K112" s="21">
        <f t="shared" si="56"/>
        <v>1.689189189189183E-2</v>
      </c>
      <c r="L112" s="22">
        <f>IF(ISNUMBER(J112), $B118 * K112, "")</f>
        <v>2533.7837837837747</v>
      </c>
      <c r="M112" s="30">
        <v>3.01</v>
      </c>
      <c r="N112" s="21">
        <f t="shared" si="57"/>
        <v>1.689189189189183E-2</v>
      </c>
      <c r="O112" s="22">
        <f>IF(ISNUMBER(M112), $B118 * N112, "")</f>
        <v>2533.7837837837747</v>
      </c>
      <c r="Q112" s="156"/>
      <c r="R112" s="156"/>
      <c r="S112" s="156"/>
    </row>
    <row r="113" spans="1:19" ht="17.25" thickBot="1">
      <c r="A113" s="109" t="s">
        <v>145</v>
      </c>
      <c r="B113" s="113">
        <v>70.7</v>
      </c>
      <c r="C113" s="73">
        <v>8.5592011000000003E-3</v>
      </c>
      <c r="D113" s="96">
        <v>71.099999999999994</v>
      </c>
      <c r="E113" s="97">
        <f>IF(ISNUMBER(D113), (D113 - $B113) / $B113, "")</f>
        <v>5.6577086280055365E-3</v>
      </c>
      <c r="F113" s="98">
        <f>IF(ISNUMBER(D113), $B118 * E113, "")</f>
        <v>848.65629420083042</v>
      </c>
      <c r="G113" s="99">
        <v>70.7</v>
      </c>
      <c r="H113" s="97">
        <f>IF(ISNUMBER(G113), (G113 - $B113) / $B113, "")</f>
        <v>0</v>
      </c>
      <c r="I113" s="100">
        <f>IF(ISNUMBER(G113), $B118 * H113, "")</f>
        <v>0</v>
      </c>
      <c r="J113" s="96">
        <v>70.599999999999994</v>
      </c>
      <c r="K113" s="97">
        <f>IF(ISNUMBER(J113), (J113 - $B113) / $B113, "")</f>
        <v>-1.414427157001535E-3</v>
      </c>
      <c r="L113" s="98">
        <f>IF(ISNUMBER(J113), $B118 * K113, "")</f>
        <v>-212.16407355023026</v>
      </c>
      <c r="M113" s="99">
        <v>70.400000000000006</v>
      </c>
      <c r="N113" s="97">
        <f>IF(ISNUMBER(M113), (M113 - $B113) / $B113, "")</f>
        <v>-4.2432814710042033E-3</v>
      </c>
      <c r="O113" s="98">
        <f>IF(ISNUMBER(M113), $B118 * N113, "")</f>
        <v>-636.49222065063054</v>
      </c>
      <c r="Q113" s="146"/>
      <c r="R113" s="146"/>
      <c r="S113" s="146"/>
    </row>
    <row r="114" spans="1:19" ht="17.25" thickBot="1">
      <c r="A114" s="109" t="s">
        <v>341</v>
      </c>
      <c r="B114" s="110">
        <v>629</v>
      </c>
      <c r="C114" s="70">
        <v>8.0128205000000001E-3</v>
      </c>
      <c r="D114" s="15">
        <v>658</v>
      </c>
      <c r="E114" s="32">
        <f t="shared" ref="E114:E117" si="58">IF(ISNUMBER(D114), (D114 - $B114) / $B114, "")</f>
        <v>4.6104928457869634E-2</v>
      </c>
      <c r="F114" s="18">
        <f>IF(ISNUMBER(D114), $B118 * E114, "")</f>
        <v>6915.7392686804451</v>
      </c>
      <c r="G114" s="31">
        <v>656</v>
      </c>
      <c r="H114" s="32">
        <f t="shared" ref="H114:H117" si="59">IF(ISNUMBER(G114), (G114 - $B114) / $B114, "")</f>
        <v>4.2925278219395867E-2</v>
      </c>
      <c r="I114" s="91">
        <f>IF(ISNUMBER(G114), $B118 * H114, "")</f>
        <v>6438.7917329093798</v>
      </c>
      <c r="J114" s="15">
        <v>659</v>
      </c>
      <c r="K114" s="32">
        <f t="shared" ref="K114:K117" si="60">IF(ISNUMBER(J114), (J114 - $B114) / $B114, "")</f>
        <v>4.7694753577106522E-2</v>
      </c>
      <c r="L114" s="18">
        <f>IF(ISNUMBER(J114), $B118 * K114, "")</f>
        <v>7154.2130365659787</v>
      </c>
      <c r="M114" s="31">
        <v>653</v>
      </c>
      <c r="N114" s="32">
        <f t="shared" ref="N114:N117" si="61">IF(ISNUMBER(M114), (M114 - $B114) / $B114, "")</f>
        <v>3.8155802861685212E-2</v>
      </c>
      <c r="O114" s="18">
        <f>IF(ISNUMBER(M114), $B118 * N114, "")</f>
        <v>5723.3704292527818</v>
      </c>
      <c r="Q114" s="146"/>
      <c r="R114" s="146"/>
      <c r="S114" s="146"/>
    </row>
    <row r="115" spans="1:19" ht="17.25" thickBot="1">
      <c r="A115" s="109" t="s">
        <v>178</v>
      </c>
      <c r="B115" s="110">
        <v>1350</v>
      </c>
      <c r="C115" s="70">
        <v>7.4626865999999998E-3</v>
      </c>
      <c r="D115" s="15">
        <v>1365</v>
      </c>
      <c r="E115" s="32">
        <f t="shared" si="58"/>
        <v>1.1111111111111112E-2</v>
      </c>
      <c r="F115" s="18">
        <f>IF(ISNUMBER(D115), $B118 * E115, "")</f>
        <v>1666.6666666666667</v>
      </c>
      <c r="G115" s="31">
        <v>1360</v>
      </c>
      <c r="H115" s="32">
        <f t="shared" si="59"/>
        <v>7.4074074074074077E-3</v>
      </c>
      <c r="I115" s="91">
        <f>IF(ISNUMBER(G115), $B118 * H115, "")</f>
        <v>1111.1111111111111</v>
      </c>
      <c r="J115" s="15">
        <v>1365</v>
      </c>
      <c r="K115" s="32">
        <f t="shared" si="60"/>
        <v>1.1111111111111112E-2</v>
      </c>
      <c r="L115" s="18">
        <f>IF(ISNUMBER(J115), $B118 * K115, "")</f>
        <v>1666.6666666666667</v>
      </c>
      <c r="M115" s="31">
        <v>1375</v>
      </c>
      <c r="N115" s="32">
        <f t="shared" si="61"/>
        <v>1.8518518518518517E-2</v>
      </c>
      <c r="O115" s="18">
        <f>IF(ISNUMBER(M115), $B118 * N115, "")</f>
        <v>2777.7777777777778</v>
      </c>
      <c r="Q115" s="146"/>
      <c r="R115" s="146"/>
      <c r="S115" s="146"/>
    </row>
    <row r="116" spans="1:19">
      <c r="A116" s="109" t="s">
        <v>328</v>
      </c>
      <c r="B116" s="110">
        <v>4815</v>
      </c>
      <c r="C116" s="70">
        <v>7.3221757E-3</v>
      </c>
      <c r="D116" s="15">
        <v>5035</v>
      </c>
      <c r="E116" s="32">
        <f t="shared" si="58"/>
        <v>4.569055036344756E-2</v>
      </c>
      <c r="F116" s="18">
        <f>IF(ISNUMBER(D116), $B118 * E116, "")</f>
        <v>6853.5825545171338</v>
      </c>
      <c r="G116" s="31">
        <v>5055</v>
      </c>
      <c r="H116" s="32">
        <f t="shared" si="59"/>
        <v>4.9844236760124609E-2</v>
      </c>
      <c r="I116" s="91">
        <f>IF(ISNUMBER(G116), $B118 * H116, "")</f>
        <v>7476.6355140186915</v>
      </c>
      <c r="J116" s="15">
        <v>5080</v>
      </c>
      <c r="K116" s="32">
        <f t="shared" si="60"/>
        <v>5.5036344755970926E-2</v>
      </c>
      <c r="L116" s="18">
        <f>IF(ISNUMBER(J116), $B118 * K116, "")</f>
        <v>8255.4517133956397</v>
      </c>
      <c r="M116" s="31">
        <v>5050</v>
      </c>
      <c r="N116" s="32">
        <f t="shared" si="61"/>
        <v>4.8805815160955349E-2</v>
      </c>
      <c r="O116" s="18">
        <f>IF(ISNUMBER(M116), $B118 * N116, "")</f>
        <v>7320.8722741433021</v>
      </c>
      <c r="Q116" s="135"/>
      <c r="R116" s="136"/>
      <c r="S116" s="137"/>
    </row>
    <row r="117" spans="1:19" ht="17.25" thickBot="1">
      <c r="A117" s="114" t="s">
        <v>128</v>
      </c>
      <c r="B117" s="115">
        <v>5750</v>
      </c>
      <c r="C117" s="72">
        <v>7.0052539000000002E-3</v>
      </c>
      <c r="D117" s="24">
        <v>5965</v>
      </c>
      <c r="E117" s="25">
        <f t="shared" si="58"/>
        <v>3.7391304347826088E-2</v>
      </c>
      <c r="F117" s="94">
        <f>IF(ISNUMBER(D117), $B118 * E117, "")</f>
        <v>5608.695652173913</v>
      </c>
      <c r="G117" s="92">
        <v>5940</v>
      </c>
      <c r="H117" s="25">
        <f t="shared" si="59"/>
        <v>3.3043478260869563E-2</v>
      </c>
      <c r="I117" s="93">
        <f>IF(ISNUMBER(G117), $B118 * H117, "")</f>
        <v>4956.5217391304341</v>
      </c>
      <c r="J117" s="24">
        <v>5930</v>
      </c>
      <c r="K117" s="25">
        <f t="shared" si="60"/>
        <v>3.1304347826086959E-2</v>
      </c>
      <c r="L117" s="94">
        <f>IF(ISNUMBER(J117), $B118 * K117, "")</f>
        <v>4695.652173913044</v>
      </c>
      <c r="M117" s="92">
        <v>5940</v>
      </c>
      <c r="N117" s="25">
        <f t="shared" si="61"/>
        <v>3.3043478260869563E-2</v>
      </c>
      <c r="O117" s="94">
        <f>IF(ISNUMBER(M117), $B118 * N117, "")</f>
        <v>4956.5217391304341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3.2365349194761424E-2</v>
      </c>
      <c r="F118" s="28">
        <f>SUM(F98:F117)</f>
        <v>97096.047584284286</v>
      </c>
      <c r="G118" s="26" t="s">
        <v>258</v>
      </c>
      <c r="H118" s="27">
        <f>IF(COUNT(H98:H117), SUM(H98:H117) / COUNT(H98:H117), 0)</f>
        <v>3.6771265448824253E-2</v>
      </c>
      <c r="I118" s="28">
        <f>SUM(I98:I117)</f>
        <v>110313.79634647274</v>
      </c>
      <c r="J118" s="26" t="s">
        <v>258</v>
      </c>
      <c r="K118" s="27">
        <f>IF(COUNT(K98:K117), SUM(K98:K117) / COUNT(K98:K117), 0)</f>
        <v>3.4738173638957578E-2</v>
      </c>
      <c r="L118" s="28">
        <f>SUM(L98:L117)</f>
        <v>104214.52091687276</v>
      </c>
      <c r="M118" s="26" t="s">
        <v>258</v>
      </c>
      <c r="N118" s="27">
        <f>IF(COUNT(N98:N117), SUM(N98:N117) / COUNT(N98:N117), 0)</f>
        <v>3.4458753286235932E-2</v>
      </c>
      <c r="O118" s="28">
        <f>SUM(O98:O117)</f>
        <v>103376.25985870778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21539000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1.0224474E-3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2023-01-04(수) 오전 00:00</v>
      </c>
      <c r="C123" s="198"/>
      <c r="D123" s="170" t="str">
        <f>TEXT($G$1, "[$-ko-KR]yyyy-mm-dd(ddd) ") &amp; "오후 14:00"</f>
        <v>2023-01-04(수) 오후 14:00</v>
      </c>
      <c r="E123" s="171"/>
      <c r="F123" s="172"/>
      <c r="G123" s="170" t="str">
        <f>TEXT($G$1, "[$-ko-KR]yyyy-mm-dd(ddd) ") &amp; "오후 19:00"</f>
        <v>2023-01-04(수) 오후 19:00</v>
      </c>
      <c r="H123" s="171"/>
      <c r="I123" s="172"/>
      <c r="J123" s="170" t="str">
        <f>TEXT($G$1, "[$-ko-KR]yyyy-mm-dd(ddd) ") &amp; "오후 21:00"</f>
        <v>2023-01-04(수) 오후 21:00</v>
      </c>
      <c r="K123" s="171"/>
      <c r="L123" s="172"/>
      <c r="M123" s="170" t="str">
        <f>TEXT($G$1+1, "[$-ko-KR]yyyy-mm-dd(ddd) ") &amp; "오전 00:00"</f>
        <v>2023-01-05(목)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333</v>
      </c>
      <c r="B125" s="108">
        <v>3.98</v>
      </c>
      <c r="C125" s="69">
        <v>-2.5062656999999999E-3</v>
      </c>
      <c r="D125" s="13">
        <v>4.0199999999999996</v>
      </c>
      <c r="E125" s="14">
        <f>IF(ISNUMBER(D125), (D125 - $B125) / $B125, "")</f>
        <v>1.0050251256281305E-2</v>
      </c>
      <c r="F125" s="16">
        <f>IF(ISNUMBER(D125), $B145 * E125, "")</f>
        <v>1507.5376884421958</v>
      </c>
      <c r="G125" s="29">
        <v>4.01</v>
      </c>
      <c r="H125" s="14">
        <f>IF(ISNUMBER(G125), (G125 - $B125) / $B125, "")</f>
        <v>7.5376884422110064E-3</v>
      </c>
      <c r="I125" s="90">
        <f>IF(ISNUMBER(G125), $B145 * H125, "")</f>
        <v>1130.6532663316509</v>
      </c>
      <c r="J125" s="13">
        <v>4.04</v>
      </c>
      <c r="K125" s="14">
        <f>IF(ISNUMBER(J125), (J125 - $B125) / $B125, "")</f>
        <v>1.5075376884422124E-2</v>
      </c>
      <c r="L125" s="16">
        <f>IF(ISNUMBER(J125), $B145 * K125, "")</f>
        <v>2261.3065326633186</v>
      </c>
      <c r="M125" s="29">
        <v>4.0199999999999996</v>
      </c>
      <c r="N125" s="14">
        <f>IF(ISNUMBER(M125), (M125 - $B125) / $B125, "")</f>
        <v>1.0050251256281305E-2</v>
      </c>
      <c r="O125" s="16">
        <f>IF(ISNUMBER(M125), $B145 * N125, "")</f>
        <v>1507.5376884421958</v>
      </c>
      <c r="Q125" s="156"/>
      <c r="R125" s="156"/>
      <c r="S125" s="156"/>
    </row>
    <row r="126" spans="1:19" ht="17.25" thickBot="1">
      <c r="A126" s="109" t="s">
        <v>181</v>
      </c>
      <c r="B126" s="110">
        <v>3.85</v>
      </c>
      <c r="C126" s="70">
        <v>-2.5906736000000001E-3</v>
      </c>
      <c r="D126" s="15">
        <v>3.91</v>
      </c>
      <c r="E126" s="32">
        <f t="shared" ref="E126:E129" si="62">IF(ISNUMBER(D126), (D126 - $B126) / $B126, "")</f>
        <v>1.5584415584415598E-2</v>
      </c>
      <c r="F126" s="18">
        <f>IF(ISNUMBER(D126), $B145 * E126, "")</f>
        <v>2337.6623376623397</v>
      </c>
      <c r="G126" s="31">
        <v>3.9</v>
      </c>
      <c r="H126" s="32">
        <f t="shared" ref="H126:H129" si="63">IF(ISNUMBER(G126), (G126 - $B126) / $B126, "")</f>
        <v>1.2987012987012941E-2</v>
      </c>
      <c r="I126" s="91">
        <f>IF(ISNUMBER(G126), $B145 * H126, "")</f>
        <v>1948.0519480519411</v>
      </c>
      <c r="J126" s="15">
        <v>3.91</v>
      </c>
      <c r="K126" s="32">
        <f t="shared" ref="K126:K129" si="64">IF(ISNUMBER(J126), (J126 - $B126) / $B126, "")</f>
        <v>1.5584415584415598E-2</v>
      </c>
      <c r="L126" s="18">
        <f>IF(ISNUMBER(J126), $B145 * K126, "")</f>
        <v>2337.6623376623397</v>
      </c>
      <c r="M126" s="31">
        <v>3.9</v>
      </c>
      <c r="N126" s="32">
        <f t="shared" ref="N126:N129" si="65">IF(ISNUMBER(M126), (M126 - $B126) / $B126, "")</f>
        <v>1.2987012987012941E-2</v>
      </c>
      <c r="O126" s="18">
        <f>IF(ISNUMBER(M126), $B145 * N126, "")</f>
        <v>1948.0519480519411</v>
      </c>
      <c r="Q126" s="156"/>
      <c r="R126" s="156"/>
      <c r="S126" s="156"/>
    </row>
    <row r="127" spans="1:19" ht="17.25" thickBot="1">
      <c r="A127" s="109" t="s">
        <v>227</v>
      </c>
      <c r="B127" s="110">
        <v>33.200000000000003</v>
      </c>
      <c r="C127" s="70">
        <v>-3.0030030000000002E-3</v>
      </c>
      <c r="D127" s="15">
        <v>33.6</v>
      </c>
      <c r="E127" s="32">
        <f t="shared" si="62"/>
        <v>1.2048192771084293E-2</v>
      </c>
      <c r="F127" s="18">
        <f>IF(ISNUMBER(D127), $B145 * E127, "")</f>
        <v>1807.2289156626439</v>
      </c>
      <c r="G127" s="31">
        <v>33.6</v>
      </c>
      <c r="H127" s="32">
        <f t="shared" si="63"/>
        <v>1.2048192771084293E-2</v>
      </c>
      <c r="I127" s="91">
        <f>IF(ISNUMBER(G127), $B145 * H127, "")</f>
        <v>1807.2289156626439</v>
      </c>
      <c r="J127" s="15">
        <v>33.6</v>
      </c>
      <c r="K127" s="32">
        <f t="shared" si="64"/>
        <v>1.2048192771084293E-2</v>
      </c>
      <c r="L127" s="18">
        <f>IF(ISNUMBER(J127), $B145 * K127, "")</f>
        <v>1807.2289156626439</v>
      </c>
      <c r="M127" s="31">
        <v>33.700000000000003</v>
      </c>
      <c r="N127" s="32">
        <f t="shared" si="65"/>
        <v>1.506024096385542E-2</v>
      </c>
      <c r="O127" s="18">
        <f>IF(ISNUMBER(M127), $B145 * N127, "")</f>
        <v>2259.0361445783128</v>
      </c>
      <c r="Q127" s="146"/>
      <c r="R127" s="146"/>
      <c r="S127" s="146"/>
    </row>
    <row r="128" spans="1:19" ht="17.25" thickBot="1">
      <c r="A128" s="109" t="s">
        <v>205</v>
      </c>
      <c r="B128" s="110">
        <v>91.5</v>
      </c>
      <c r="C128" s="70">
        <v>-3.2679738999999998E-3</v>
      </c>
      <c r="D128" s="15">
        <v>91.7</v>
      </c>
      <c r="E128" s="32">
        <f t="shared" si="62"/>
        <v>2.1857923497268072E-3</v>
      </c>
      <c r="F128" s="18">
        <f>IF(ISNUMBER(D128), $B145 * E128, "")</f>
        <v>327.86885245902107</v>
      </c>
      <c r="G128" s="31">
        <v>92.2</v>
      </c>
      <c r="H128" s="32">
        <f t="shared" si="63"/>
        <v>7.6502732240437471E-3</v>
      </c>
      <c r="I128" s="91">
        <f>IF(ISNUMBER(G128), $B145 * H128, "")</f>
        <v>1147.5409836065621</v>
      </c>
      <c r="J128" s="15">
        <v>92.2</v>
      </c>
      <c r="K128" s="32">
        <f t="shared" si="64"/>
        <v>7.6502732240437471E-3</v>
      </c>
      <c r="L128" s="18">
        <f>IF(ISNUMBER(J128), $B145 * K128, "")</f>
        <v>1147.5409836065621</v>
      </c>
      <c r="M128" s="31">
        <v>92.3</v>
      </c>
      <c r="N128" s="32">
        <f t="shared" si="65"/>
        <v>8.7431693989070726E-3</v>
      </c>
      <c r="O128" s="18">
        <f>IF(ISNUMBER(M128), $B145 * N128, "")</f>
        <v>1311.4754098360609</v>
      </c>
      <c r="Q128" s="146"/>
      <c r="R128" s="146"/>
      <c r="S128" s="146"/>
    </row>
    <row r="129" spans="1:19" ht="17.25" thickBot="1">
      <c r="A129" s="111" t="s">
        <v>185</v>
      </c>
      <c r="B129" s="112">
        <v>23</v>
      </c>
      <c r="C129" s="71">
        <v>-4.3290042999999997E-3</v>
      </c>
      <c r="D129" s="20">
        <v>23.4</v>
      </c>
      <c r="E129" s="21">
        <f t="shared" si="62"/>
        <v>1.7391304347826025E-2</v>
      </c>
      <c r="F129" s="22">
        <f>IF(ISNUMBER(D129), $B145 * E129, "")</f>
        <v>2608.6956521739039</v>
      </c>
      <c r="G129" s="30">
        <v>23.3</v>
      </c>
      <c r="H129" s="21">
        <f t="shared" si="63"/>
        <v>1.3043478260869596E-2</v>
      </c>
      <c r="I129" s="95">
        <f>IF(ISNUMBER(G129), $B145 * H129, "")</f>
        <v>1956.5217391304393</v>
      </c>
      <c r="J129" s="20">
        <v>23.3</v>
      </c>
      <c r="K129" s="21">
        <f t="shared" si="64"/>
        <v>1.3043478260869596E-2</v>
      </c>
      <c r="L129" s="22">
        <f>IF(ISNUMBER(J129), $B145 * K129, "")</f>
        <v>1956.5217391304393</v>
      </c>
      <c r="M129" s="30">
        <v>23.4</v>
      </c>
      <c r="N129" s="21">
        <f t="shared" si="65"/>
        <v>1.7391304347826025E-2</v>
      </c>
      <c r="O129" s="22">
        <f>IF(ISNUMBER(M129), $B145 * N129, "")</f>
        <v>2608.6956521739039</v>
      </c>
      <c r="Q129" s="146"/>
      <c r="R129" s="146"/>
      <c r="S129" s="146"/>
    </row>
    <row r="130" spans="1:19" ht="17.25" thickBot="1">
      <c r="A130" s="109" t="s">
        <v>138</v>
      </c>
      <c r="B130" s="113">
        <v>20.100000000000001</v>
      </c>
      <c r="C130" s="73">
        <v>-4.9504950000000001E-3</v>
      </c>
      <c r="D130" s="96">
        <v>20.8</v>
      </c>
      <c r="E130" s="97">
        <f>IF(ISNUMBER(D130), (D130 - $B130) / $B130, "")</f>
        <v>3.4825870646766129E-2</v>
      </c>
      <c r="F130" s="98">
        <f>IF(ISNUMBER(D130), $B145 * E130, "")</f>
        <v>5223.8805970149197</v>
      </c>
      <c r="G130" s="99">
        <v>21.1</v>
      </c>
      <c r="H130" s="97">
        <f>IF(ISNUMBER(G130), (G130 - $B130) / $B130, "")</f>
        <v>4.9751243781094523E-2</v>
      </c>
      <c r="I130" s="100">
        <f>IF(ISNUMBER(G130), $B145 * H130, "")</f>
        <v>7462.6865671641781</v>
      </c>
      <c r="J130" s="96">
        <v>21</v>
      </c>
      <c r="K130" s="97">
        <f>IF(ISNUMBER(J130), (J130 - $B130) / $B130, "")</f>
        <v>4.4776119402985003E-2</v>
      </c>
      <c r="L130" s="98">
        <f>IF(ISNUMBER(J130), $B145 * K130, "")</f>
        <v>6716.4179104477507</v>
      </c>
      <c r="M130" s="99">
        <v>21</v>
      </c>
      <c r="N130" s="97">
        <f>IF(ISNUMBER(M130), (M130 - $B130) / $B130, "")</f>
        <v>4.4776119402985003E-2</v>
      </c>
      <c r="O130" s="98">
        <f>IF(ISNUMBER(M130), $B145 * N130, "")</f>
        <v>6716.4179104477507</v>
      </c>
      <c r="Q130" s="146"/>
      <c r="R130" s="146"/>
      <c r="S130" s="146"/>
    </row>
    <row r="131" spans="1:19" ht="17.25" thickBot="1">
      <c r="A131" s="109" t="s">
        <v>56</v>
      </c>
      <c r="B131" s="110">
        <v>37.1</v>
      </c>
      <c r="C131" s="70">
        <v>-5.3619302999999997E-3</v>
      </c>
      <c r="D131" s="15">
        <v>37.9</v>
      </c>
      <c r="E131" s="32">
        <f t="shared" ref="E131:E134" si="66">IF(ISNUMBER(D131), (D131 - $B131) / $B131, "")</f>
        <v>2.1563342318059221E-2</v>
      </c>
      <c r="F131" s="18">
        <f>IF(ISNUMBER(D131), $B145 * E131, "")</f>
        <v>3234.5013477088833</v>
      </c>
      <c r="G131" s="31">
        <v>37.6</v>
      </c>
      <c r="H131" s="32">
        <f t="shared" ref="H131:H134" si="67">IF(ISNUMBER(G131), (G131 - $B131) / $B131, "")</f>
        <v>1.3477088948787061E-2</v>
      </c>
      <c r="I131" s="91">
        <f>IF(ISNUMBER(G131), $B145 * H131, "")</f>
        <v>2021.5633423180591</v>
      </c>
      <c r="J131" s="15">
        <v>37.6</v>
      </c>
      <c r="K131" s="32">
        <f t="shared" ref="K131:K134" si="68">IF(ISNUMBER(J131), (J131 - $B131) / $B131, "")</f>
        <v>1.3477088948787061E-2</v>
      </c>
      <c r="L131" s="18">
        <f>IF(ISNUMBER(J131), $B145 * K131, "")</f>
        <v>2021.5633423180591</v>
      </c>
      <c r="M131" s="31">
        <v>37.4</v>
      </c>
      <c r="N131" s="32">
        <f t="shared" ref="N131:N134" si="69">IF(ISNUMBER(M131), (M131 - $B131) / $B131, "")</f>
        <v>8.0862533692721596E-3</v>
      </c>
      <c r="O131" s="18">
        <f>IF(ISNUMBER(M131), $B145 * N131, "")</f>
        <v>1212.9380053908239</v>
      </c>
      <c r="Q131" s="146"/>
      <c r="R131" s="146"/>
      <c r="S131" s="146"/>
    </row>
    <row r="132" spans="1:19" ht="17.25" thickBot="1">
      <c r="A132" s="109" t="s">
        <v>221</v>
      </c>
      <c r="B132" s="110">
        <v>17.399999999999999</v>
      </c>
      <c r="C132" s="70">
        <v>-5.7142857000000002E-3</v>
      </c>
      <c r="D132" s="15">
        <v>17.7</v>
      </c>
      <c r="E132" s="32">
        <f t="shared" si="66"/>
        <v>1.7241379310344869E-2</v>
      </c>
      <c r="F132" s="18">
        <f>IF(ISNUMBER(D132), $B145 * E132, "")</f>
        <v>2586.2068965517306</v>
      </c>
      <c r="G132" s="31">
        <v>17.7</v>
      </c>
      <c r="H132" s="32">
        <f t="shared" si="67"/>
        <v>1.7241379310344869E-2</v>
      </c>
      <c r="I132" s="91">
        <f>IF(ISNUMBER(G132), $B145 * H132, "")</f>
        <v>2586.2068965517306</v>
      </c>
      <c r="J132" s="15">
        <v>17.7</v>
      </c>
      <c r="K132" s="32">
        <f t="shared" si="68"/>
        <v>1.7241379310344869E-2</v>
      </c>
      <c r="L132" s="18">
        <f>IF(ISNUMBER(J132), $B145 * K132, "")</f>
        <v>2586.2068965517306</v>
      </c>
      <c r="M132" s="31">
        <v>17.7</v>
      </c>
      <c r="N132" s="32">
        <f t="shared" si="69"/>
        <v>1.7241379310344869E-2</v>
      </c>
      <c r="O132" s="18">
        <f>IF(ISNUMBER(M132), $B145 * N132, "")</f>
        <v>2586.2068965517306</v>
      </c>
      <c r="Q132" s="146"/>
      <c r="R132" s="146"/>
      <c r="S132" s="146"/>
    </row>
    <row r="133" spans="1:19" ht="17.25" thickBot="1">
      <c r="A133" s="109" t="s">
        <v>107</v>
      </c>
      <c r="B133" s="110">
        <v>33.5</v>
      </c>
      <c r="C133" s="70">
        <v>-5.9347180999999999E-3</v>
      </c>
      <c r="D133" s="15">
        <v>34</v>
      </c>
      <c r="E133" s="32">
        <f t="shared" si="66"/>
        <v>1.4925373134328358E-2</v>
      </c>
      <c r="F133" s="18">
        <f>IF(ISNUMBER(D133), $B145 * E133, "")</f>
        <v>2238.8059701492539</v>
      </c>
      <c r="G133" s="31">
        <v>34</v>
      </c>
      <c r="H133" s="32">
        <f t="shared" si="67"/>
        <v>1.4925373134328358E-2</v>
      </c>
      <c r="I133" s="91">
        <f>IF(ISNUMBER(G133), $B145 * H133, "")</f>
        <v>2238.8059701492539</v>
      </c>
      <c r="J133" s="15">
        <v>34</v>
      </c>
      <c r="K133" s="32">
        <f t="shared" si="68"/>
        <v>1.4925373134328358E-2</v>
      </c>
      <c r="L133" s="18">
        <f>IF(ISNUMBER(J133), $B145 * K133, "")</f>
        <v>2238.8059701492539</v>
      </c>
      <c r="M133" s="31">
        <v>34.1</v>
      </c>
      <c r="N133" s="32">
        <f t="shared" si="69"/>
        <v>1.7910447761194073E-2</v>
      </c>
      <c r="O133" s="18">
        <f>IF(ISNUMBER(M133), $B145 * N133, "")</f>
        <v>2686.5671641791109</v>
      </c>
      <c r="Q133" s="33"/>
      <c r="R133" s="33"/>
    </row>
    <row r="134" spans="1:19" ht="17.25" thickBot="1">
      <c r="A134" s="114" t="s">
        <v>143</v>
      </c>
      <c r="B134" s="115">
        <v>3.33</v>
      </c>
      <c r="C134" s="72">
        <v>-5.9701492999999998E-3</v>
      </c>
      <c r="D134" s="24">
        <v>3.38</v>
      </c>
      <c r="E134" s="25">
        <f t="shared" si="66"/>
        <v>1.5015015015014961E-2</v>
      </c>
      <c r="F134" s="94">
        <f>IF(ISNUMBER(D134), $B145 * E134, "")</f>
        <v>2252.252252252244</v>
      </c>
      <c r="G134" s="92">
        <v>3.35</v>
      </c>
      <c r="H134" s="25">
        <f t="shared" si="67"/>
        <v>6.0060060060060112E-3</v>
      </c>
      <c r="I134" s="93">
        <f>IF(ISNUMBER(G134), $B145 * H134, "")</f>
        <v>900.90090090090166</v>
      </c>
      <c r="J134" s="24">
        <v>3.36</v>
      </c>
      <c r="K134" s="25">
        <f t="shared" si="68"/>
        <v>9.00900900900895E-3</v>
      </c>
      <c r="L134" s="94">
        <f>IF(ISNUMBER(J134), $B145 * K134, "")</f>
        <v>1351.3513513513426</v>
      </c>
      <c r="M134" s="92">
        <v>3.36</v>
      </c>
      <c r="N134" s="25">
        <f t="shared" si="69"/>
        <v>9.00900900900895E-3</v>
      </c>
      <c r="O134" s="94">
        <f>IF(ISNUMBER(M134), $B145 * N134, "")</f>
        <v>1351.3513513513426</v>
      </c>
      <c r="Q134" s="147"/>
      <c r="R134" s="148"/>
      <c r="S134" s="149"/>
    </row>
    <row r="135" spans="1:19">
      <c r="A135" s="107" t="s">
        <v>193</v>
      </c>
      <c r="B135" s="108">
        <v>15.2</v>
      </c>
      <c r="C135" s="69">
        <v>-6.5359477000000001E-3</v>
      </c>
      <c r="D135" s="13">
        <v>15.5</v>
      </c>
      <c r="E135" s="14">
        <f>IF(ISNUMBER(D135), (D135 - $B135) / $B135, "")</f>
        <v>1.9736842105263205E-2</v>
      </c>
      <c r="F135" s="16">
        <f>IF(ISNUMBER(D135), $B145 * E135, "")</f>
        <v>2960.526315789481</v>
      </c>
      <c r="G135" s="29">
        <v>15.4</v>
      </c>
      <c r="H135" s="14">
        <f>IF(ISNUMBER(G135), (G135 - $B135) / $B135, "")</f>
        <v>1.3157894736842176E-2</v>
      </c>
      <c r="I135" s="90">
        <f>IF(ISNUMBER(G135), $B145 * H135, "")</f>
        <v>1973.6842105263263</v>
      </c>
      <c r="J135" s="13">
        <v>15.4</v>
      </c>
      <c r="K135" s="14">
        <f>IF(ISNUMBER(J135), (J135 - $B135) / $B135, "")</f>
        <v>1.3157894736842176E-2</v>
      </c>
      <c r="L135" s="16">
        <f>IF(ISNUMBER(J135), $B145 * K135, "")</f>
        <v>1973.6842105263263</v>
      </c>
      <c r="M135" s="29">
        <v>15.4</v>
      </c>
      <c r="N135" s="14">
        <f>IF(ISNUMBER(M135), (M135 - $B135) / $B135, "")</f>
        <v>1.3157894736842176E-2</v>
      </c>
      <c r="O135" s="16">
        <f>IF(ISNUMBER(M135), $B145 * N135, "")</f>
        <v>1973.6842105263263</v>
      </c>
      <c r="Q135" s="150"/>
      <c r="R135" s="151"/>
      <c r="S135" s="152"/>
    </row>
    <row r="136" spans="1:19" ht="17.25" thickBot="1">
      <c r="A136" s="109" t="s">
        <v>141</v>
      </c>
      <c r="B136" s="110">
        <v>2.92</v>
      </c>
      <c r="C136" s="70">
        <v>-6.8027210999999999E-3</v>
      </c>
      <c r="D136" s="15">
        <v>2.97</v>
      </c>
      <c r="E136" s="32">
        <f t="shared" ref="E136:E139" si="70">IF(ISNUMBER(D136), (D136 - $B136) / $B136, "")</f>
        <v>1.7123287671232969E-2</v>
      </c>
      <c r="F136" s="18">
        <f>IF(ISNUMBER(D136), $B145 * E136, "")</f>
        <v>2568.4931506849452</v>
      </c>
      <c r="G136" s="31">
        <v>2.96</v>
      </c>
      <c r="H136" s="32">
        <f t="shared" ref="H136:H139" si="71">IF(ISNUMBER(G136), (G136 - $B136) / $B136, "")</f>
        <v>1.3698630136986314E-2</v>
      </c>
      <c r="I136" s="91">
        <f>IF(ISNUMBER(G136), $B145 * H136, "")</f>
        <v>2054.7945205479473</v>
      </c>
      <c r="J136" s="15">
        <v>2.96</v>
      </c>
      <c r="K136" s="32">
        <f t="shared" ref="K136:K139" si="72">IF(ISNUMBER(J136), (J136 - $B136) / $B136, "")</f>
        <v>1.3698630136986314E-2</v>
      </c>
      <c r="L136" s="18">
        <f>IF(ISNUMBER(J136), $B145 * K136, "")</f>
        <v>2054.7945205479473</v>
      </c>
      <c r="M136" s="31">
        <v>2.95</v>
      </c>
      <c r="N136" s="32">
        <f t="shared" ref="N136:N139" si="73">IF(ISNUMBER(M136), (M136 - $B136) / $B136, "")</f>
        <v>1.0273972602739812E-2</v>
      </c>
      <c r="O136" s="18">
        <f>IF(ISNUMBER(M136), $B145 * N136, "")</f>
        <v>1541.0958904109718</v>
      </c>
      <c r="Q136" s="153"/>
      <c r="R136" s="154"/>
      <c r="S136" s="155"/>
    </row>
    <row r="137" spans="1:19" ht="17.25" thickBot="1">
      <c r="A137" s="109" t="s">
        <v>323</v>
      </c>
      <c r="B137" s="110">
        <v>2.8199999999999999E-2</v>
      </c>
      <c r="C137" s="70">
        <v>-7.0422534999999998E-3</v>
      </c>
      <c r="D137" s="15">
        <v>2.92E-2</v>
      </c>
      <c r="E137" s="32">
        <f t="shared" si="70"/>
        <v>3.5460992907801449E-2</v>
      </c>
      <c r="F137" s="18">
        <f>IF(ISNUMBER(D137), $B145 * E137, "")</f>
        <v>5319.148936170217</v>
      </c>
      <c r="G137" s="31">
        <v>2.9000000000000001E-2</v>
      </c>
      <c r="H137" s="32">
        <f t="shared" si="71"/>
        <v>2.836879432624121E-2</v>
      </c>
      <c r="I137" s="91">
        <f>IF(ISNUMBER(G137), $B145 * H137, "")</f>
        <v>4255.3191489361816</v>
      </c>
      <c r="J137" s="15">
        <v>2.92E-2</v>
      </c>
      <c r="K137" s="32">
        <f t="shared" si="72"/>
        <v>3.5460992907801449E-2</v>
      </c>
      <c r="L137" s="18">
        <f>IF(ISNUMBER(J137), $B145 * K137, "")</f>
        <v>5319.148936170217</v>
      </c>
      <c r="M137" s="31">
        <v>2.9000000000000001E-2</v>
      </c>
      <c r="N137" s="32">
        <f t="shared" si="73"/>
        <v>2.836879432624121E-2</v>
      </c>
      <c r="O137" s="18">
        <f>IF(ISNUMBER(M137), $B145 * N137, "")</f>
        <v>4255.3191489361816</v>
      </c>
      <c r="Q137" s="146"/>
      <c r="R137" s="146"/>
      <c r="S137" s="146"/>
    </row>
    <row r="138" spans="1:19" ht="17.25" thickBot="1">
      <c r="A138" s="109" t="s">
        <v>225</v>
      </c>
      <c r="B138" s="110">
        <v>51.9</v>
      </c>
      <c r="C138" s="70">
        <v>-9.5419847000000006E-3</v>
      </c>
      <c r="D138" s="15">
        <v>53</v>
      </c>
      <c r="E138" s="32">
        <f t="shared" si="70"/>
        <v>2.1194605009633938E-2</v>
      </c>
      <c r="F138" s="18">
        <f>IF(ISNUMBER(D138), $B145 * E138, "")</f>
        <v>3179.1907514450909</v>
      </c>
      <c r="G138" s="31">
        <v>52.6</v>
      </c>
      <c r="H138" s="32">
        <f t="shared" si="71"/>
        <v>1.3487475915221635E-2</v>
      </c>
      <c r="I138" s="91">
        <f>IF(ISNUMBER(G138), $B145 * H138, "")</f>
        <v>2023.1213872832452</v>
      </c>
      <c r="J138" s="15">
        <v>52.7</v>
      </c>
      <c r="K138" s="32">
        <f t="shared" si="72"/>
        <v>1.5414258188824746E-2</v>
      </c>
      <c r="L138" s="18">
        <f>IF(ISNUMBER(J138), $B145 * K138, "")</f>
        <v>2312.1387283237118</v>
      </c>
      <c r="M138" s="31">
        <v>52.7</v>
      </c>
      <c r="N138" s="32">
        <f t="shared" si="73"/>
        <v>1.5414258188824746E-2</v>
      </c>
      <c r="O138" s="18">
        <f>IF(ISNUMBER(M138), $B145 * N138, "")</f>
        <v>2312.1387283237118</v>
      </c>
      <c r="Q138" s="156"/>
      <c r="R138" s="156"/>
      <c r="S138" s="156"/>
    </row>
    <row r="139" spans="1:19" ht="17.25" thickBot="1">
      <c r="A139" s="111" t="s">
        <v>350</v>
      </c>
      <c r="B139" s="112">
        <v>5.58</v>
      </c>
      <c r="C139" s="71">
        <v>-1.23893805E-2</v>
      </c>
      <c r="D139" s="20">
        <v>5.66</v>
      </c>
      <c r="E139" s="21">
        <f t="shared" si="70"/>
        <v>1.4336917562724026E-2</v>
      </c>
      <c r="F139" s="22">
        <f>IF(ISNUMBER(D139), $B145 * E139, "")</f>
        <v>2150.5376344086039</v>
      </c>
      <c r="G139" s="30">
        <v>5.63</v>
      </c>
      <c r="H139" s="21">
        <f t="shared" si="71"/>
        <v>8.9605734767024773E-3</v>
      </c>
      <c r="I139" s="95">
        <f>IF(ISNUMBER(G139), $B145 * H139, "")</f>
        <v>1344.0860215053715</v>
      </c>
      <c r="J139" s="20">
        <v>5.63</v>
      </c>
      <c r="K139" s="21">
        <f t="shared" si="72"/>
        <v>8.9605734767024773E-3</v>
      </c>
      <c r="L139" s="22">
        <f>IF(ISNUMBER(J139), $B145 * K139, "")</f>
        <v>1344.0860215053715</v>
      </c>
      <c r="M139" s="30">
        <v>5.65</v>
      </c>
      <c r="N139" s="21">
        <f t="shared" si="73"/>
        <v>1.2544802867383563E-2</v>
      </c>
      <c r="O139" s="22">
        <f>IF(ISNUMBER(M139), $B145 * N139, "")</f>
        <v>1881.7204301075344</v>
      </c>
      <c r="Q139" s="156"/>
      <c r="R139" s="156"/>
      <c r="S139" s="156"/>
    </row>
    <row r="140" spans="1:19" ht="17.25" thickBot="1">
      <c r="A140" s="109" t="s">
        <v>241</v>
      </c>
      <c r="B140" s="113">
        <v>86</v>
      </c>
      <c r="C140" s="73">
        <v>-1.26291619E-2</v>
      </c>
      <c r="D140" s="96">
        <v>86.1</v>
      </c>
      <c r="E140" s="97">
        <f>IF(ISNUMBER(D140), (D140 - $B140) / $B140, "")</f>
        <v>1.1627906976743525E-3</v>
      </c>
      <c r="F140" s="98">
        <f>IF(ISNUMBER(D140), $B145 * E140, "")</f>
        <v>174.41860465115286</v>
      </c>
      <c r="G140" s="99">
        <v>85.9</v>
      </c>
      <c r="H140" s="97">
        <f>IF(ISNUMBER(G140), (G140 - $B140) / $B140, "")</f>
        <v>-1.1627906976743525E-3</v>
      </c>
      <c r="I140" s="100">
        <f>IF(ISNUMBER(G140), $B145 * H140, "")</f>
        <v>-174.41860465115286</v>
      </c>
      <c r="J140" s="96">
        <v>86.1</v>
      </c>
      <c r="K140" s="97">
        <f>IF(ISNUMBER(J140), (J140 - $B140) / $B140, "")</f>
        <v>1.1627906976743525E-3</v>
      </c>
      <c r="L140" s="98">
        <f>IF(ISNUMBER(J140), $B145 * K140, "")</f>
        <v>174.41860465115286</v>
      </c>
      <c r="M140" s="99">
        <v>86.1</v>
      </c>
      <c r="N140" s="97">
        <f>IF(ISNUMBER(M140), (M140 - $B140) / $B140, "")</f>
        <v>1.1627906976743525E-3</v>
      </c>
      <c r="O140" s="98">
        <f>IF(ISNUMBER(M140), $B145 * N140, "")</f>
        <v>174.41860465115286</v>
      </c>
      <c r="Q140" s="146"/>
      <c r="R140" s="146"/>
      <c r="S140" s="146"/>
    </row>
    <row r="141" spans="1:19" ht="17.25" thickBot="1">
      <c r="A141" s="109" t="s">
        <v>71</v>
      </c>
      <c r="B141" s="110">
        <v>9.7899999999999991</v>
      </c>
      <c r="C141" s="70">
        <v>-1.4098690800000001E-2</v>
      </c>
      <c r="D141" s="15">
        <v>9.7799999999999994</v>
      </c>
      <c r="E141" s="32">
        <f t="shared" ref="E141:E144" si="74">IF(ISNUMBER(D141), (D141 - $B141) / $B141, "")</f>
        <v>-1.0214504596526852E-3</v>
      </c>
      <c r="F141" s="18">
        <f>IF(ISNUMBER(D141), $B145 * E141, "")</f>
        <v>-153.21756894790278</v>
      </c>
      <c r="G141" s="31">
        <v>9.7799999999999994</v>
      </c>
      <c r="H141" s="32">
        <f t="shared" ref="H141:H144" si="75">IF(ISNUMBER(G141), (G141 - $B141) / $B141, "")</f>
        <v>-1.0214504596526852E-3</v>
      </c>
      <c r="I141" s="91">
        <f>IF(ISNUMBER(G141), $B145 * H141, "")</f>
        <v>-153.21756894790278</v>
      </c>
      <c r="J141" s="15">
        <v>9.7799999999999994</v>
      </c>
      <c r="K141" s="32">
        <f t="shared" ref="K141:K144" si="76">IF(ISNUMBER(J141), (J141 - $B141) / $B141, "")</f>
        <v>-1.0214504596526852E-3</v>
      </c>
      <c r="L141" s="18">
        <f>IF(ISNUMBER(J141), $B145 * K141, "")</f>
        <v>-153.21756894790278</v>
      </c>
      <c r="M141" s="31">
        <v>9.7899999999999991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146"/>
      <c r="R141" s="146"/>
      <c r="S141" s="146"/>
    </row>
    <row r="142" spans="1:19" ht="17.25" thickBot="1">
      <c r="A142" s="109" t="s">
        <v>64</v>
      </c>
      <c r="B142" s="110">
        <v>8.9</v>
      </c>
      <c r="C142" s="70">
        <v>-1.65745856E-2</v>
      </c>
      <c r="D142" s="15">
        <v>9.1</v>
      </c>
      <c r="E142" s="32">
        <f t="shared" si="74"/>
        <v>2.247191011235947E-2</v>
      </c>
      <c r="F142" s="18">
        <f>IF(ISNUMBER(D142), $B145 * E142, "")</f>
        <v>3370.7865168539206</v>
      </c>
      <c r="G142" s="31">
        <v>9.1</v>
      </c>
      <c r="H142" s="32">
        <f t="shared" si="75"/>
        <v>2.247191011235947E-2</v>
      </c>
      <c r="I142" s="91">
        <f>IF(ISNUMBER(G142), $B145 * H142, "")</f>
        <v>3370.7865168539206</v>
      </c>
      <c r="J142" s="15">
        <v>9.07</v>
      </c>
      <c r="K142" s="32">
        <f t="shared" si="76"/>
        <v>1.9101123595505608E-2</v>
      </c>
      <c r="L142" s="18">
        <f>IF(ISNUMBER(J142), $B145 * K142, "")</f>
        <v>2865.1685393258413</v>
      </c>
      <c r="M142" s="31">
        <v>9.06</v>
      </c>
      <c r="N142" s="32">
        <f t="shared" si="77"/>
        <v>1.7977528089887656E-2</v>
      </c>
      <c r="O142" s="18">
        <f>IF(ISNUMBER(M142), $B145 * N142, "")</f>
        <v>2696.6292134831483</v>
      </c>
      <c r="Q142" s="146"/>
      <c r="R142" s="146"/>
      <c r="S142" s="146"/>
    </row>
    <row r="143" spans="1:19">
      <c r="A143" s="109" t="s">
        <v>191</v>
      </c>
      <c r="B143" s="110">
        <v>49.8</v>
      </c>
      <c r="C143" s="70">
        <v>-2.54403131E-2</v>
      </c>
      <c r="D143" s="15">
        <v>51.3</v>
      </c>
      <c r="E143" s="32">
        <f t="shared" si="74"/>
        <v>3.0120481927710847E-2</v>
      </c>
      <c r="F143" s="18">
        <f>IF(ISNUMBER(D143), $B145 * E143, "")</f>
        <v>4518.0722891566274</v>
      </c>
      <c r="G143" s="31">
        <v>51.3</v>
      </c>
      <c r="H143" s="32">
        <f t="shared" si="75"/>
        <v>3.0120481927710847E-2</v>
      </c>
      <c r="I143" s="91">
        <f>IF(ISNUMBER(G143), $B145 * H143, "")</f>
        <v>4518.0722891566274</v>
      </c>
      <c r="J143" s="15">
        <v>51.3</v>
      </c>
      <c r="K143" s="32">
        <f t="shared" si="76"/>
        <v>3.0120481927710847E-2</v>
      </c>
      <c r="L143" s="18">
        <f>IF(ISNUMBER(J143), $B145 * K143, "")</f>
        <v>4518.0722891566274</v>
      </c>
      <c r="M143" s="31">
        <v>51</v>
      </c>
      <c r="N143" s="32">
        <f t="shared" si="77"/>
        <v>2.4096385542168731E-2</v>
      </c>
      <c r="O143" s="18">
        <f>IF(ISNUMBER(M143), $B145 * N143, "")</f>
        <v>3614.4578313253096</v>
      </c>
      <c r="Q143" s="135"/>
      <c r="R143" s="136"/>
      <c r="S143" s="137"/>
    </row>
    <row r="144" spans="1:19" ht="17.25" thickBot="1">
      <c r="A144" s="114" t="s">
        <v>120</v>
      </c>
      <c r="B144" s="115">
        <v>99.9</v>
      </c>
      <c r="C144" s="72">
        <v>-3.00970874E-2</v>
      </c>
      <c r="D144" s="24">
        <v>102</v>
      </c>
      <c r="E144" s="25">
        <f t="shared" si="74"/>
        <v>2.1021021021020964E-2</v>
      </c>
      <c r="F144" s="94">
        <f>IF(ISNUMBER(D144), $B145 * E144, "")</f>
        <v>3153.1531531531446</v>
      </c>
      <c r="G144" s="92">
        <v>100</v>
      </c>
      <c r="H144" s="25">
        <f t="shared" si="75"/>
        <v>1.001001001000944E-3</v>
      </c>
      <c r="I144" s="93">
        <f>IF(ISNUMBER(G144), $B145 * H144, "")</f>
        <v>150.1501501501416</v>
      </c>
      <c r="J144" s="24">
        <v>102</v>
      </c>
      <c r="K144" s="25">
        <f t="shared" si="76"/>
        <v>2.1021021021020964E-2</v>
      </c>
      <c r="L144" s="94">
        <f>IF(ISNUMBER(J144), $B145 * K144, "")</f>
        <v>3153.1531531531446</v>
      </c>
      <c r="M144" s="92">
        <v>101</v>
      </c>
      <c r="N144" s="25">
        <f t="shared" si="77"/>
        <v>1.1011011011010954E-2</v>
      </c>
      <c r="O144" s="94">
        <f>IF(ISNUMBER(M144), $B145 * N144, "")</f>
        <v>1651.6516516516431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1.7121916764480806E-2</v>
      </c>
      <c r="F145" s="28">
        <f>SUM(F125:F144)</f>
        <v>51365.750293442419</v>
      </c>
      <c r="G145" s="26" t="s">
        <v>258</v>
      </c>
      <c r="H145" s="27">
        <f>IF(COUNT(H125:H144), SUM(H125:H144) / COUNT(H125:H144), 0)</f>
        <v>1.4187512867076021E-2</v>
      </c>
      <c r="I145" s="28">
        <f>SUM(I125:I144)</f>
        <v>42562.538601228065</v>
      </c>
      <c r="J145" s="26" t="s">
        <v>258</v>
      </c>
      <c r="K145" s="27">
        <f>IF(COUNT(K125:K144), SUM(K125:K144) / COUNT(K125:K144), 0)</f>
        <v>1.5995351137985291E-2</v>
      </c>
      <c r="L145" s="28">
        <f>SUM(L125:L144)</f>
        <v>47986.05341395588</v>
      </c>
      <c r="M145" s="26" t="s">
        <v>258</v>
      </c>
      <c r="N145" s="27">
        <f>IF(COUNT(N125:N144), SUM(N125:N144) / COUNT(N125:N144), 0)</f>
        <v>1.4763131293473054E-2</v>
      </c>
      <c r="O145" s="28">
        <f>SUM(O125:O144)</f>
        <v>44289.393880419149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21539000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1.0224474E-3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2023-01-04(수) 오전 00:00</v>
      </c>
      <c r="C150" s="198"/>
      <c r="D150" s="170" t="str">
        <f>TEXT($G$1, "[$-ko-KR]yyyy-mm-dd(ddd) ") &amp; "오후 14:00"</f>
        <v>2023-01-04(수) 오후 14:00</v>
      </c>
      <c r="E150" s="171"/>
      <c r="F150" s="172"/>
      <c r="G150" s="170" t="str">
        <f>TEXT($G$1, "[$-ko-KR]yyyy-mm-dd(ddd) ") &amp; "오후 19:00"</f>
        <v>2023-01-04(수) 오후 19:00</v>
      </c>
      <c r="H150" s="171"/>
      <c r="I150" s="172"/>
      <c r="J150" s="170" t="str">
        <f>TEXT($G$1, "[$-ko-KR]yyyy-mm-dd(ddd) ") &amp; "오후 21:00"</f>
        <v>2023-01-04(수) 오후 21:00</v>
      </c>
      <c r="K150" s="171"/>
      <c r="L150" s="172"/>
      <c r="M150" s="170" t="str">
        <f>TEXT($G$1+1, "[$-ko-KR]yyyy-mm-dd(ddd) ") &amp; "오전 00:00"</f>
        <v>2023-01-05(목)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111</v>
      </c>
      <c r="B152" s="108">
        <v>517</v>
      </c>
      <c r="C152" s="69">
        <v>-5.7692307999999996E-3</v>
      </c>
      <c r="D152" s="13">
        <v>558</v>
      </c>
      <c r="E152" s="14">
        <f>IF(ISNUMBER(D152), (D152 - $B152) / $B152, "")</f>
        <v>7.9303675048355893E-2</v>
      </c>
      <c r="F152" s="16">
        <f>IF(ISNUMBER(D152), $B172 * E152, "")</f>
        <v>11895.551257253384</v>
      </c>
      <c r="G152" s="29">
        <v>550</v>
      </c>
      <c r="H152" s="14">
        <f>IF(ISNUMBER(G152), (G152 - $B152) / $B152, "")</f>
        <v>6.3829787234042548E-2</v>
      </c>
      <c r="I152" s="90">
        <f>IF(ISNUMBER(G152), $B172 * H152, "")</f>
        <v>9574.4680851063822</v>
      </c>
      <c r="J152" s="13">
        <v>551</v>
      </c>
      <c r="K152" s="14">
        <f>IF(ISNUMBER(J152), (J152 - $B152) / $B152, "")</f>
        <v>6.5764023210831718E-2</v>
      </c>
      <c r="L152" s="16">
        <f>IF(ISNUMBER(J152), $B172 * K152, "")</f>
        <v>9864.6034816247575</v>
      </c>
      <c r="M152" s="29">
        <v>552</v>
      </c>
      <c r="N152" s="14">
        <f>IF(ISNUMBER(M152), (M152 - $B152) / $B152, "")</f>
        <v>6.7698259187620888E-2</v>
      </c>
      <c r="O152" s="16">
        <f>IF(ISNUMBER(M152), $B172 * N152, "")</f>
        <v>10154.738878143133</v>
      </c>
      <c r="Q152" s="156"/>
      <c r="R152" s="156"/>
      <c r="S152" s="156"/>
    </row>
    <row r="153" spans="1:19" ht="17.25" thickBot="1">
      <c r="A153" s="109" t="s">
        <v>167</v>
      </c>
      <c r="B153" s="110">
        <v>158</v>
      </c>
      <c r="C153" s="70">
        <v>-6.2893081999999996E-3</v>
      </c>
      <c r="D153" s="15">
        <v>161</v>
      </c>
      <c r="E153" s="32">
        <f t="shared" ref="E153:E156" si="78">IF(ISNUMBER(D153), (D153 - $B153) / $B153, "")</f>
        <v>1.8987341772151899E-2</v>
      </c>
      <c r="F153" s="18">
        <f>IF(ISNUMBER(D153), $B172 * E153, "")</f>
        <v>2848.1012658227851</v>
      </c>
      <c r="G153" s="31">
        <v>160</v>
      </c>
      <c r="H153" s="32">
        <f t="shared" ref="H153:H156" si="79">IF(ISNUMBER(G153), (G153 - $B153) / $B153, "")</f>
        <v>1.2658227848101266E-2</v>
      </c>
      <c r="I153" s="91">
        <f>IF(ISNUMBER(G153), $B172 * H153, "")</f>
        <v>1898.7341772151899</v>
      </c>
      <c r="J153" s="15">
        <v>160</v>
      </c>
      <c r="K153" s="32">
        <f t="shared" ref="K153:K156" si="80">IF(ISNUMBER(J153), (J153 - $B153) / $B153, "")</f>
        <v>1.2658227848101266E-2</v>
      </c>
      <c r="L153" s="18">
        <f>IF(ISNUMBER(J153), $B172 * K153, "")</f>
        <v>1898.7341772151899</v>
      </c>
      <c r="M153" s="31">
        <v>160</v>
      </c>
      <c r="N153" s="32">
        <f t="shared" ref="N153:N156" si="81">IF(ISNUMBER(M153), (M153 - $B153) / $B153, "")</f>
        <v>1.2658227848101266E-2</v>
      </c>
      <c r="O153" s="18">
        <f>IF(ISNUMBER(M153), $B172 * N153, "")</f>
        <v>1898.7341772151899</v>
      </c>
      <c r="Q153" s="156"/>
      <c r="R153" s="156"/>
      <c r="S153" s="156"/>
    </row>
    <row r="154" spans="1:19" ht="17.25" thickBot="1">
      <c r="A154" s="109" t="s">
        <v>321</v>
      </c>
      <c r="B154" s="110">
        <v>154</v>
      </c>
      <c r="C154" s="70">
        <v>-6.4516128999999997E-3</v>
      </c>
      <c r="D154" s="15">
        <v>157</v>
      </c>
      <c r="E154" s="32">
        <f t="shared" si="78"/>
        <v>1.948051948051948E-2</v>
      </c>
      <c r="F154" s="18">
        <f>IF(ISNUMBER(D154), $B172 * E154, "")</f>
        <v>2922.0779220779218</v>
      </c>
      <c r="G154" s="31">
        <v>157</v>
      </c>
      <c r="H154" s="32">
        <f t="shared" si="79"/>
        <v>1.948051948051948E-2</v>
      </c>
      <c r="I154" s="91">
        <f>IF(ISNUMBER(G154), $B172 * H154, "")</f>
        <v>2922.0779220779218</v>
      </c>
      <c r="J154" s="15">
        <v>157</v>
      </c>
      <c r="K154" s="32">
        <f t="shared" si="80"/>
        <v>1.948051948051948E-2</v>
      </c>
      <c r="L154" s="18">
        <f>IF(ISNUMBER(J154), $B172 * K154, "")</f>
        <v>2922.0779220779218</v>
      </c>
      <c r="M154" s="31">
        <v>156</v>
      </c>
      <c r="N154" s="32">
        <f t="shared" si="81"/>
        <v>1.2987012987012988E-2</v>
      </c>
      <c r="O154" s="18">
        <f>IF(ISNUMBER(M154), $B172 * N154, "")</f>
        <v>1948.0519480519481</v>
      </c>
      <c r="Q154" s="146"/>
      <c r="R154" s="146"/>
      <c r="S154" s="146"/>
    </row>
    <row r="155" spans="1:19" ht="17.25" thickBot="1">
      <c r="A155" s="109" t="s">
        <v>332</v>
      </c>
      <c r="B155" s="110">
        <v>500</v>
      </c>
      <c r="C155" s="70">
        <v>-7.9365079000000005E-3</v>
      </c>
      <c r="D155" s="15">
        <v>510</v>
      </c>
      <c r="E155" s="32">
        <f t="shared" si="78"/>
        <v>0.02</v>
      </c>
      <c r="F155" s="18">
        <f>IF(ISNUMBER(D155), $B172 * E155, "")</f>
        <v>3000</v>
      </c>
      <c r="G155" s="31">
        <v>507</v>
      </c>
      <c r="H155" s="32">
        <f t="shared" si="79"/>
        <v>1.4E-2</v>
      </c>
      <c r="I155" s="91">
        <f>IF(ISNUMBER(G155), $B172 * H155, "")</f>
        <v>2100</v>
      </c>
      <c r="J155" s="15">
        <v>507</v>
      </c>
      <c r="K155" s="32">
        <f t="shared" si="80"/>
        <v>1.4E-2</v>
      </c>
      <c r="L155" s="18">
        <f>IF(ISNUMBER(J155), $B172 * K155, "")</f>
        <v>2100</v>
      </c>
      <c r="M155" s="31">
        <v>504</v>
      </c>
      <c r="N155" s="32">
        <f t="shared" si="81"/>
        <v>8.0000000000000002E-3</v>
      </c>
      <c r="O155" s="18">
        <f>IF(ISNUMBER(M155), $B172 * N155, "")</f>
        <v>1200</v>
      </c>
      <c r="Q155" s="146"/>
      <c r="R155" s="146"/>
      <c r="S155" s="146"/>
    </row>
    <row r="156" spans="1:19" ht="17.25" thickBot="1">
      <c r="A156" s="111" t="s">
        <v>66</v>
      </c>
      <c r="B156" s="112">
        <v>582</v>
      </c>
      <c r="C156" s="71">
        <v>-8.5178875999999994E-3</v>
      </c>
      <c r="D156" s="20">
        <v>592</v>
      </c>
      <c r="E156" s="21">
        <f t="shared" si="78"/>
        <v>1.7182130584192441E-2</v>
      </c>
      <c r="F156" s="22">
        <f>IF(ISNUMBER(D156), $B172 * E156, "")</f>
        <v>2577.319587628866</v>
      </c>
      <c r="G156" s="30">
        <v>589</v>
      </c>
      <c r="H156" s="21">
        <f t="shared" si="79"/>
        <v>1.2027491408934709E-2</v>
      </c>
      <c r="I156" s="95">
        <f>IF(ISNUMBER(G156), $B172 * H156, "")</f>
        <v>1804.1237113402062</v>
      </c>
      <c r="J156" s="20">
        <v>590</v>
      </c>
      <c r="K156" s="21">
        <f t="shared" si="80"/>
        <v>1.3745704467353952E-2</v>
      </c>
      <c r="L156" s="22">
        <f>IF(ISNUMBER(J156), $B172 * K156, "")</f>
        <v>2061.855670103093</v>
      </c>
      <c r="M156" s="30">
        <v>589</v>
      </c>
      <c r="N156" s="21">
        <f t="shared" si="81"/>
        <v>1.2027491408934709E-2</v>
      </c>
      <c r="O156" s="22">
        <f>IF(ISNUMBER(M156), $B172 * N156, "")</f>
        <v>1804.1237113402062</v>
      </c>
      <c r="Q156" s="146"/>
      <c r="R156" s="146"/>
      <c r="S156" s="146"/>
    </row>
    <row r="157" spans="1:19" ht="17.25" thickBot="1">
      <c r="A157" s="109" t="s">
        <v>183</v>
      </c>
      <c r="B157" s="113">
        <v>115</v>
      </c>
      <c r="C157" s="73">
        <v>-8.6206896999999998E-3</v>
      </c>
      <c r="D157" s="96">
        <v>116</v>
      </c>
      <c r="E157" s="97">
        <f>IF(ISNUMBER(D157), (D157 - $B157) / $B157, "")</f>
        <v>8.6956521739130436E-3</v>
      </c>
      <c r="F157" s="98">
        <f>IF(ISNUMBER(D157), $B172 * E157, "")</f>
        <v>1304.3478260869565</v>
      </c>
      <c r="G157" s="99">
        <v>115</v>
      </c>
      <c r="H157" s="97">
        <f>IF(ISNUMBER(G157), (G157 - $B157) / $B157, "")</f>
        <v>0</v>
      </c>
      <c r="I157" s="100">
        <f>IF(ISNUMBER(G157), $B172 * H157, "")</f>
        <v>0</v>
      </c>
      <c r="J157" s="96">
        <v>116</v>
      </c>
      <c r="K157" s="97">
        <f>IF(ISNUMBER(J157), (J157 - $B157) / $B157, "")</f>
        <v>8.6956521739130436E-3</v>
      </c>
      <c r="L157" s="98">
        <f>IF(ISNUMBER(J157), $B172 * K157, "")</f>
        <v>1304.3478260869565</v>
      </c>
      <c r="M157" s="99">
        <v>115</v>
      </c>
      <c r="N157" s="97">
        <f>IF(ISNUMBER(M157), (M157 - $B157) / $B157, "")</f>
        <v>0</v>
      </c>
      <c r="O157" s="98">
        <f>IF(ISNUMBER(M157), $B172 * N157, "")</f>
        <v>0</v>
      </c>
      <c r="Q157" s="146"/>
      <c r="R157" s="146"/>
      <c r="S157" s="146"/>
    </row>
    <row r="158" spans="1:19" ht="17.25" thickBot="1">
      <c r="A158" s="109" t="s">
        <v>169</v>
      </c>
      <c r="B158" s="110">
        <v>228</v>
      </c>
      <c r="C158" s="70">
        <v>-8.6956522000000008E-3</v>
      </c>
      <c r="D158" s="15">
        <v>230</v>
      </c>
      <c r="E158" s="32">
        <f t="shared" ref="E158:E161" si="82">IF(ISNUMBER(D158), (D158 - $B158) / $B158, "")</f>
        <v>8.771929824561403E-3</v>
      </c>
      <c r="F158" s="18">
        <f>IF(ISNUMBER(D158), $B172 * E158, "")</f>
        <v>1315.7894736842104</v>
      </c>
      <c r="G158" s="31">
        <v>228</v>
      </c>
      <c r="H158" s="32">
        <f t="shared" ref="H158:H161" si="83">IF(ISNUMBER(G158), (G158 - $B158) / $B158, "")</f>
        <v>0</v>
      </c>
      <c r="I158" s="91">
        <f>IF(ISNUMBER(G158), $B172 * H158, "")</f>
        <v>0</v>
      </c>
      <c r="J158" s="15">
        <v>228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229</v>
      </c>
      <c r="N158" s="32">
        <f t="shared" ref="N158:N161" si="85">IF(ISNUMBER(M158), (M158 - $B158) / $B158, "")</f>
        <v>4.3859649122807015E-3</v>
      </c>
      <c r="O158" s="18">
        <f>IF(ISNUMBER(M158), $B172 * N158, "")</f>
        <v>657.8947368421052</v>
      </c>
      <c r="Q158" s="146"/>
      <c r="R158" s="146"/>
      <c r="S158" s="146"/>
    </row>
    <row r="159" spans="1:19" ht="17.25" thickBot="1">
      <c r="A159" s="109" t="s">
        <v>89</v>
      </c>
      <c r="B159" s="110">
        <v>439</v>
      </c>
      <c r="C159" s="70">
        <v>-9.0293453999999995E-3</v>
      </c>
      <c r="D159" s="15">
        <v>445</v>
      </c>
      <c r="E159" s="32">
        <f t="shared" si="82"/>
        <v>1.366742596810934E-2</v>
      </c>
      <c r="F159" s="18">
        <f>IF(ISNUMBER(D159), $B172 * E159, "")</f>
        <v>2050.113895216401</v>
      </c>
      <c r="G159" s="31">
        <v>448</v>
      </c>
      <c r="H159" s="32">
        <f t="shared" si="83"/>
        <v>2.0501138952164009E-2</v>
      </c>
      <c r="I159" s="91">
        <f>IF(ISNUMBER(G159), $B172 * H159, "")</f>
        <v>3075.1708428246016</v>
      </c>
      <c r="J159" s="15">
        <v>446</v>
      </c>
      <c r="K159" s="32">
        <f t="shared" si="84"/>
        <v>1.5945330296127564E-2</v>
      </c>
      <c r="L159" s="18">
        <f>IF(ISNUMBER(J159), $B172 * K159, "")</f>
        <v>2391.7995444191347</v>
      </c>
      <c r="M159" s="31">
        <v>442</v>
      </c>
      <c r="N159" s="32">
        <f t="shared" si="85"/>
        <v>6.8337129840546698E-3</v>
      </c>
      <c r="O159" s="18">
        <f>IF(ISNUMBER(M159), $B172 * N159, "")</f>
        <v>1025.0569476082005</v>
      </c>
      <c r="Q159" s="146"/>
      <c r="R159" s="146"/>
      <c r="S159" s="146"/>
    </row>
    <row r="160" spans="1:19" ht="17.25" thickBot="1">
      <c r="A160" s="109" t="s">
        <v>79</v>
      </c>
      <c r="B160" s="110">
        <v>218</v>
      </c>
      <c r="C160" s="70">
        <v>-9.0909091000000008E-3</v>
      </c>
      <c r="D160" s="15">
        <v>231</v>
      </c>
      <c r="E160" s="32">
        <f t="shared" si="82"/>
        <v>5.9633027522935783E-2</v>
      </c>
      <c r="F160" s="18">
        <f>IF(ISNUMBER(D160), $B172 * E160, "")</f>
        <v>8944.9541284403676</v>
      </c>
      <c r="G160" s="31">
        <v>231</v>
      </c>
      <c r="H160" s="32">
        <f t="shared" si="83"/>
        <v>5.9633027522935783E-2</v>
      </c>
      <c r="I160" s="91">
        <f>IF(ISNUMBER(G160), $B172 * H160, "")</f>
        <v>8944.9541284403676</v>
      </c>
      <c r="J160" s="15">
        <v>231</v>
      </c>
      <c r="K160" s="32">
        <f t="shared" si="84"/>
        <v>5.9633027522935783E-2</v>
      </c>
      <c r="L160" s="18">
        <f>IF(ISNUMBER(J160), $B172 * K160, "")</f>
        <v>8944.9541284403676</v>
      </c>
      <c r="M160" s="31">
        <v>229</v>
      </c>
      <c r="N160" s="32">
        <f t="shared" si="85"/>
        <v>5.0458715596330278E-2</v>
      </c>
      <c r="O160" s="18">
        <f>IF(ISNUMBER(M160), $B172 * N160, "")</f>
        <v>7568.8073394495414</v>
      </c>
      <c r="Q160" s="33"/>
      <c r="R160" s="33"/>
    </row>
    <row r="161" spans="1:19" ht="17.25" thickBot="1">
      <c r="A161" s="114" t="s">
        <v>153</v>
      </c>
      <c r="B161" s="115">
        <v>319</v>
      </c>
      <c r="C161" s="72">
        <v>-9.3167701999999995E-3</v>
      </c>
      <c r="D161" s="24">
        <v>331</v>
      </c>
      <c r="E161" s="25">
        <f t="shared" si="82"/>
        <v>3.7617554858934171E-2</v>
      </c>
      <c r="F161" s="94">
        <f>IF(ISNUMBER(D161), $B172 * E161, "")</f>
        <v>5642.6332288401254</v>
      </c>
      <c r="G161" s="92">
        <v>331</v>
      </c>
      <c r="H161" s="25">
        <f t="shared" si="83"/>
        <v>3.7617554858934171E-2</v>
      </c>
      <c r="I161" s="93">
        <f>IF(ISNUMBER(G161), $B172 * H161, "")</f>
        <v>5642.6332288401254</v>
      </c>
      <c r="J161" s="24">
        <v>331</v>
      </c>
      <c r="K161" s="25">
        <f t="shared" si="84"/>
        <v>3.7617554858934171E-2</v>
      </c>
      <c r="L161" s="94">
        <f>IF(ISNUMBER(J161), $B172 * K161, "")</f>
        <v>5642.6332288401254</v>
      </c>
      <c r="M161" s="92">
        <v>329</v>
      </c>
      <c r="N161" s="25">
        <f t="shared" si="85"/>
        <v>3.1347962382445138E-2</v>
      </c>
      <c r="O161" s="94">
        <f>IF(ISNUMBER(M161), $B172 * N161, "")</f>
        <v>4702.1943573667704</v>
      </c>
      <c r="Q161" s="147"/>
      <c r="R161" s="148"/>
      <c r="S161" s="149"/>
    </row>
    <row r="162" spans="1:19">
      <c r="A162" s="107" t="s">
        <v>211</v>
      </c>
      <c r="B162" s="108">
        <v>913</v>
      </c>
      <c r="C162" s="69">
        <v>-9.7613882999999999E-3</v>
      </c>
      <c r="D162" s="13">
        <v>918</v>
      </c>
      <c r="E162" s="14">
        <f>IF(ISNUMBER(D162), (D162 - $B162) / $B162, "")</f>
        <v>5.4764512595837896E-3</v>
      </c>
      <c r="F162" s="16">
        <f>IF(ISNUMBER(D162), $B172 * E162, "")</f>
        <v>821.46768893756848</v>
      </c>
      <c r="G162" s="29">
        <v>918</v>
      </c>
      <c r="H162" s="14">
        <f>IF(ISNUMBER(G162), (G162 - $B162) / $B162, "")</f>
        <v>5.4764512595837896E-3</v>
      </c>
      <c r="I162" s="90">
        <f>IF(ISNUMBER(G162), $B172 * H162, "")</f>
        <v>821.46768893756848</v>
      </c>
      <c r="J162" s="13">
        <v>916</v>
      </c>
      <c r="K162" s="14">
        <f>IF(ISNUMBER(J162), (J162 - $B162) / $B162, "")</f>
        <v>3.2858707557502738E-3</v>
      </c>
      <c r="L162" s="16">
        <f>IF(ISNUMBER(J162), $B172 * K162, "")</f>
        <v>492.88061336254106</v>
      </c>
      <c r="M162" s="29">
        <v>916</v>
      </c>
      <c r="N162" s="14">
        <f>IF(ISNUMBER(M162), (M162 - $B162) / $B162, "")</f>
        <v>3.2858707557502738E-3</v>
      </c>
      <c r="O162" s="16">
        <f>IF(ISNUMBER(M162), $B172 * N162, "")</f>
        <v>492.88061336254106</v>
      </c>
      <c r="Q162" s="150"/>
      <c r="R162" s="151"/>
      <c r="S162" s="152"/>
    </row>
    <row r="163" spans="1:19" ht="17.25" thickBot="1">
      <c r="A163" s="109" t="s">
        <v>103</v>
      </c>
      <c r="B163" s="110">
        <v>196</v>
      </c>
      <c r="C163" s="70">
        <v>-1.01010101E-2</v>
      </c>
      <c r="D163" s="15">
        <v>202</v>
      </c>
      <c r="E163" s="32">
        <f t="shared" ref="E163:E166" si="86">IF(ISNUMBER(D163), (D163 - $B163) / $B163, "")</f>
        <v>3.0612244897959183E-2</v>
      </c>
      <c r="F163" s="18">
        <f>IF(ISNUMBER(D163), $B172 * E163, "")</f>
        <v>4591.8367346938776</v>
      </c>
      <c r="G163" s="31">
        <v>203</v>
      </c>
      <c r="H163" s="32">
        <f t="shared" ref="H163:H166" si="87">IF(ISNUMBER(G163), (G163 - $B163) / $B163, "")</f>
        <v>3.5714285714285712E-2</v>
      </c>
      <c r="I163" s="91">
        <f>IF(ISNUMBER(G163), $B172 * H163, "")</f>
        <v>5357.1428571428569</v>
      </c>
      <c r="J163" s="15">
        <v>203</v>
      </c>
      <c r="K163" s="32">
        <f t="shared" ref="K163:K166" si="88">IF(ISNUMBER(J163), (J163 - $B163) / $B163, "")</f>
        <v>3.5714285714285712E-2</v>
      </c>
      <c r="L163" s="18">
        <f>IF(ISNUMBER(J163), $B172 * K163, "")</f>
        <v>5357.1428571428569</v>
      </c>
      <c r="M163" s="31">
        <v>202</v>
      </c>
      <c r="N163" s="32">
        <f t="shared" ref="N163:N166" si="89">IF(ISNUMBER(M163), (M163 - $B163) / $B163, "")</f>
        <v>3.0612244897959183E-2</v>
      </c>
      <c r="O163" s="18">
        <f>IF(ISNUMBER(M163), $B172 * N163, "")</f>
        <v>4591.8367346938776</v>
      </c>
      <c r="Q163" s="153"/>
      <c r="R163" s="154"/>
      <c r="S163" s="155"/>
    </row>
    <row r="164" spans="1:19" ht="17.25" thickBot="1">
      <c r="A164" s="109" t="s">
        <v>165</v>
      </c>
      <c r="B164" s="110">
        <v>878</v>
      </c>
      <c r="C164" s="70">
        <v>-1.01465614E-2</v>
      </c>
      <c r="D164" s="15">
        <v>895</v>
      </c>
      <c r="E164" s="32">
        <f t="shared" si="86"/>
        <v>1.9362186788154899E-2</v>
      </c>
      <c r="F164" s="18">
        <f>IF(ISNUMBER(D164), $B172 * E164, "")</f>
        <v>2904.3280182232347</v>
      </c>
      <c r="G164" s="31">
        <v>893</v>
      </c>
      <c r="H164" s="32">
        <f t="shared" si="87"/>
        <v>1.7084282460136675E-2</v>
      </c>
      <c r="I164" s="91">
        <f>IF(ISNUMBER(G164), $B172 * H164, "")</f>
        <v>2562.6423690205011</v>
      </c>
      <c r="J164" s="15">
        <v>893</v>
      </c>
      <c r="K164" s="32">
        <f t="shared" si="88"/>
        <v>1.7084282460136675E-2</v>
      </c>
      <c r="L164" s="18">
        <f>IF(ISNUMBER(J164), $B172 * K164, "")</f>
        <v>2562.6423690205011</v>
      </c>
      <c r="M164" s="31">
        <v>894</v>
      </c>
      <c r="N164" s="32">
        <f t="shared" si="89"/>
        <v>1.8223234624145785E-2</v>
      </c>
      <c r="O164" s="18">
        <f>IF(ISNUMBER(M164), $B172 * N164, "")</f>
        <v>2733.4851936218679</v>
      </c>
      <c r="Q164" s="146"/>
      <c r="R164" s="146"/>
      <c r="S164" s="146"/>
    </row>
    <row r="165" spans="1:19" ht="17.25" thickBot="1">
      <c r="A165" s="109" t="s">
        <v>176</v>
      </c>
      <c r="B165" s="110">
        <v>279</v>
      </c>
      <c r="C165" s="70">
        <v>-1.06382979E-2</v>
      </c>
      <c r="D165" s="15">
        <v>281</v>
      </c>
      <c r="E165" s="32">
        <f t="shared" si="86"/>
        <v>7.1684587813620072E-3</v>
      </c>
      <c r="F165" s="18">
        <f>IF(ISNUMBER(D165), $B172 * E165, "")</f>
        <v>1075.2688172043011</v>
      </c>
      <c r="G165" s="31">
        <v>280</v>
      </c>
      <c r="H165" s="32">
        <f t="shared" si="87"/>
        <v>3.5842293906810036E-3</v>
      </c>
      <c r="I165" s="91">
        <f>IF(ISNUMBER(G165), $B172 * H165, "")</f>
        <v>537.63440860215053</v>
      </c>
      <c r="J165" s="15">
        <v>282</v>
      </c>
      <c r="K165" s="32">
        <f t="shared" si="88"/>
        <v>1.0752688172043012E-2</v>
      </c>
      <c r="L165" s="18">
        <f>IF(ISNUMBER(J165), $B172 * K165, "")</f>
        <v>1612.9032258064517</v>
      </c>
      <c r="M165" s="31">
        <v>282</v>
      </c>
      <c r="N165" s="32">
        <f t="shared" si="89"/>
        <v>1.0752688172043012E-2</v>
      </c>
      <c r="O165" s="18">
        <f>IF(ISNUMBER(M165), $B172 * N165, "")</f>
        <v>1612.9032258064517</v>
      </c>
      <c r="Q165" s="156"/>
      <c r="R165" s="156"/>
      <c r="S165" s="156"/>
    </row>
    <row r="166" spans="1:19" ht="17.25" thickBot="1">
      <c r="A166" s="111" t="s">
        <v>109</v>
      </c>
      <c r="B166" s="112">
        <v>945</v>
      </c>
      <c r="C166" s="71">
        <v>-1.2539185E-2</v>
      </c>
      <c r="D166" s="20">
        <v>962</v>
      </c>
      <c r="E166" s="21">
        <f t="shared" si="86"/>
        <v>1.7989417989417989E-2</v>
      </c>
      <c r="F166" s="22">
        <f>IF(ISNUMBER(D166), $B172 * E166, "")</f>
        <v>2698.4126984126983</v>
      </c>
      <c r="G166" s="30">
        <v>961</v>
      </c>
      <c r="H166" s="21">
        <f t="shared" si="87"/>
        <v>1.6931216931216932E-2</v>
      </c>
      <c r="I166" s="95">
        <f>IF(ISNUMBER(G166), $B172 * H166, "")</f>
        <v>2539.6825396825398</v>
      </c>
      <c r="J166" s="20">
        <v>958</v>
      </c>
      <c r="K166" s="21">
        <f t="shared" si="88"/>
        <v>1.3756613756613757E-2</v>
      </c>
      <c r="L166" s="22">
        <f>IF(ISNUMBER(J166), $B172 * K166, "")</f>
        <v>2063.4920634920636</v>
      </c>
      <c r="M166" s="30">
        <v>963</v>
      </c>
      <c r="N166" s="21">
        <f t="shared" si="89"/>
        <v>1.9047619047619049E-2</v>
      </c>
      <c r="O166" s="22">
        <f>IF(ISNUMBER(M166), $B172 * N166, "")</f>
        <v>2857.1428571428573</v>
      </c>
      <c r="Q166" s="156"/>
      <c r="R166" s="156"/>
      <c r="S166" s="156"/>
    </row>
    <row r="167" spans="1:19" ht="17.25" thickBot="1">
      <c r="A167" s="109" t="s">
        <v>149</v>
      </c>
      <c r="B167" s="113">
        <v>313</v>
      </c>
      <c r="C167" s="73">
        <v>-1.2618296500000001E-2</v>
      </c>
      <c r="D167" s="96">
        <v>321</v>
      </c>
      <c r="E167" s="97">
        <f>IF(ISNUMBER(D167), (D167 - $B167) / $B167, "")</f>
        <v>2.5559105431309903E-2</v>
      </c>
      <c r="F167" s="98">
        <f>IF(ISNUMBER(D167), $B172 * E167, "")</f>
        <v>3833.8658146964854</v>
      </c>
      <c r="G167" s="99">
        <v>320</v>
      </c>
      <c r="H167" s="97">
        <f>IF(ISNUMBER(G167), (G167 - $B167) / $B167, "")</f>
        <v>2.2364217252396165E-2</v>
      </c>
      <c r="I167" s="100">
        <f>IF(ISNUMBER(G167), $B172 * H167, "")</f>
        <v>3354.6325878594248</v>
      </c>
      <c r="J167" s="96">
        <v>318</v>
      </c>
      <c r="K167" s="97">
        <f>IF(ISNUMBER(J167), (J167 - $B167) / $B167, "")</f>
        <v>1.5974440894568689E-2</v>
      </c>
      <c r="L167" s="98">
        <f>IF(ISNUMBER(J167), $B172 * K167, "")</f>
        <v>2396.1661341853032</v>
      </c>
      <c r="M167" s="99">
        <v>319</v>
      </c>
      <c r="N167" s="97">
        <f>IF(ISNUMBER(M167), (M167 - $B167) / $B167, "")</f>
        <v>1.9169329073482427E-2</v>
      </c>
      <c r="O167" s="98">
        <f>IF(ISNUMBER(M167), $B172 * N167, "")</f>
        <v>2875.3993610223642</v>
      </c>
      <c r="Q167" s="146"/>
      <c r="R167" s="146"/>
      <c r="S167" s="146"/>
    </row>
    <row r="168" spans="1:19" ht="17.25" thickBot="1">
      <c r="A168" s="109" t="s">
        <v>317</v>
      </c>
      <c r="B168" s="110">
        <v>565</v>
      </c>
      <c r="C168" s="70">
        <v>-1.39616056E-2</v>
      </c>
      <c r="D168" s="15">
        <v>570</v>
      </c>
      <c r="E168" s="32">
        <f t="shared" ref="E168:E171" si="90">IF(ISNUMBER(D168), (D168 - $B168) / $B168, "")</f>
        <v>8.8495575221238937E-3</v>
      </c>
      <c r="F168" s="18">
        <f>IF(ISNUMBER(D168), $B172 * E168, "")</f>
        <v>1327.4336283185839</v>
      </c>
      <c r="G168" s="31">
        <v>569</v>
      </c>
      <c r="H168" s="32">
        <f t="shared" ref="H168:H171" si="91">IF(ISNUMBER(G168), (G168 - $B168) / $B168, "")</f>
        <v>7.0796460176991149E-3</v>
      </c>
      <c r="I168" s="91">
        <f>IF(ISNUMBER(G168), $B172 * H168, "")</f>
        <v>1061.9469026548672</v>
      </c>
      <c r="J168" s="15">
        <v>568</v>
      </c>
      <c r="K168" s="32">
        <f t="shared" ref="K168:K171" si="92">IF(ISNUMBER(J168), (J168 - $B168) / $B168, "")</f>
        <v>5.3097345132743362E-3</v>
      </c>
      <c r="L168" s="18">
        <f>IF(ISNUMBER(J168), $B172 * K168, "")</f>
        <v>796.46017699115043</v>
      </c>
      <c r="M168" s="31">
        <v>571</v>
      </c>
      <c r="N168" s="32">
        <f t="shared" ref="N168:N171" si="93">IF(ISNUMBER(M168), (M168 - $B168) / $B168, "")</f>
        <v>1.0619469026548672E-2</v>
      </c>
      <c r="O168" s="18">
        <f>IF(ISNUMBER(M168), $B172 * N168, "")</f>
        <v>1592.9203539823009</v>
      </c>
      <c r="Q168" s="146"/>
      <c r="R168" s="146"/>
      <c r="S168" s="146"/>
    </row>
    <row r="169" spans="1:19" ht="17.25" thickBot="1">
      <c r="A169" s="109" t="s">
        <v>213</v>
      </c>
      <c r="B169" s="110">
        <v>402</v>
      </c>
      <c r="C169" s="70">
        <v>-1.47058824E-2</v>
      </c>
      <c r="D169" s="15">
        <v>410</v>
      </c>
      <c r="E169" s="32">
        <f t="shared" si="90"/>
        <v>1.9900497512437811E-2</v>
      </c>
      <c r="F169" s="18">
        <f>IF(ISNUMBER(D169), $B172 * E169, "")</f>
        <v>2985.0746268656717</v>
      </c>
      <c r="G169" s="31">
        <v>417</v>
      </c>
      <c r="H169" s="32">
        <f t="shared" si="91"/>
        <v>3.7313432835820892E-2</v>
      </c>
      <c r="I169" s="91">
        <f>IF(ISNUMBER(G169), $B172 * H169, "")</f>
        <v>5597.0149253731342</v>
      </c>
      <c r="J169" s="15">
        <v>419</v>
      </c>
      <c r="K169" s="32">
        <f t="shared" si="92"/>
        <v>4.228855721393035E-2</v>
      </c>
      <c r="L169" s="18">
        <f>IF(ISNUMBER(J169), $B172 * K169, "")</f>
        <v>6343.2835820895525</v>
      </c>
      <c r="M169" s="31">
        <v>414</v>
      </c>
      <c r="N169" s="32">
        <f t="shared" si="93"/>
        <v>2.9850746268656716E-2</v>
      </c>
      <c r="O169" s="18">
        <f>IF(ISNUMBER(M169), $B172 * N169, "")</f>
        <v>4477.6119402985078</v>
      </c>
      <c r="Q169" s="146"/>
      <c r="R169" s="146"/>
      <c r="S169" s="146"/>
    </row>
    <row r="170" spans="1:19">
      <c r="A170" s="109" t="s">
        <v>319</v>
      </c>
      <c r="B170" s="110">
        <v>310</v>
      </c>
      <c r="C170" s="70">
        <v>-1.5873015899999999E-2</v>
      </c>
      <c r="D170" s="15">
        <v>330</v>
      </c>
      <c r="E170" s="32">
        <f t="shared" si="90"/>
        <v>6.4516129032258063E-2</v>
      </c>
      <c r="F170" s="18">
        <f>IF(ISNUMBER(D170), $B172 * E170, "")</f>
        <v>9677.4193548387102</v>
      </c>
      <c r="G170" s="31">
        <v>330</v>
      </c>
      <c r="H170" s="32">
        <f t="shared" si="91"/>
        <v>6.4516129032258063E-2</v>
      </c>
      <c r="I170" s="91">
        <f>IF(ISNUMBER(G170), $B172 * H170, "")</f>
        <v>9677.4193548387102</v>
      </c>
      <c r="J170" s="15">
        <v>329</v>
      </c>
      <c r="K170" s="32">
        <f t="shared" si="92"/>
        <v>6.1290322580645158E-2</v>
      </c>
      <c r="L170" s="18">
        <f>IF(ISNUMBER(J170), $B172 * K170, "")</f>
        <v>9193.5483870967746</v>
      </c>
      <c r="M170" s="31">
        <v>327</v>
      </c>
      <c r="N170" s="32">
        <f t="shared" si="93"/>
        <v>5.4838709677419356E-2</v>
      </c>
      <c r="O170" s="18">
        <f>IF(ISNUMBER(M170), $B172 * N170, "")</f>
        <v>8225.8064516129034</v>
      </c>
      <c r="Q170" s="135"/>
      <c r="R170" s="136"/>
      <c r="S170" s="137"/>
    </row>
    <row r="171" spans="1:19" ht="17.25" thickBot="1">
      <c r="A171" s="114" t="s">
        <v>116</v>
      </c>
      <c r="B171" s="115">
        <v>911</v>
      </c>
      <c r="C171" s="72">
        <v>-1.93756728E-2</v>
      </c>
      <c r="D171" s="24">
        <v>921</v>
      </c>
      <c r="E171" s="25">
        <f t="shared" si="90"/>
        <v>1.0976948408342482E-2</v>
      </c>
      <c r="F171" s="94">
        <f>IF(ISNUMBER(D171), $B172 * E171, "")</f>
        <v>1646.5422612513723</v>
      </c>
      <c r="G171" s="92">
        <v>922</v>
      </c>
      <c r="H171" s="25">
        <f t="shared" si="91"/>
        <v>1.2074643249176729E-2</v>
      </c>
      <c r="I171" s="93">
        <f>IF(ISNUMBER(G171), $B172 * H171, "")</f>
        <v>1811.1964873765094</v>
      </c>
      <c r="J171" s="24">
        <v>923</v>
      </c>
      <c r="K171" s="25">
        <f t="shared" si="92"/>
        <v>1.3172338090010977E-2</v>
      </c>
      <c r="L171" s="94">
        <f>IF(ISNUMBER(J171), $B172 * K171, "")</f>
        <v>1975.8507135016464</v>
      </c>
      <c r="M171" s="92">
        <v>919</v>
      </c>
      <c r="N171" s="25">
        <f t="shared" si="93"/>
        <v>8.7815587266739849E-3</v>
      </c>
      <c r="O171" s="94">
        <f>IF(ISNUMBER(M171), $B172 * N171, "")</f>
        <v>1317.2338090010978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2.4687512742831173E-2</v>
      </c>
      <c r="F172" s="28">
        <f>SUM(F152:F171)</f>
        <v>74062.538228493533</v>
      </c>
      <c r="G172" s="26" t="s">
        <v>258</v>
      </c>
      <c r="H172" s="27">
        <f>IF(COUNT(H152:H171), SUM(H152:H171) / COUNT(H152:H171), 0)</f>
        <v>2.309431407244435E-2</v>
      </c>
      <c r="I172" s="28">
        <f>SUM(I152:I171)</f>
        <v>69282.942217333053</v>
      </c>
      <c r="J172" s="26" t="s">
        <v>258</v>
      </c>
      <c r="K172" s="27">
        <f>IF(COUNT(K152:K171), SUM(K152:K171) / COUNT(K152:K171), 0)</f>
        <v>2.3308458700498792E-2</v>
      </c>
      <c r="L172" s="28">
        <f>SUM(L152:L171)</f>
        <v>69925.376101496382</v>
      </c>
      <c r="M172" s="26" t="s">
        <v>258</v>
      </c>
      <c r="N172" s="27">
        <f>IF(COUNT(N152:N171), SUM(N152:N171) / COUNT(N152:N171), 0)</f>
        <v>2.0578940878853945E-2</v>
      </c>
      <c r="O172" s="28">
        <f>SUM(O152:O171)</f>
        <v>61736.822636561861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21539000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1.0224474E-3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2023-01-04(수) 오전 00:00</v>
      </c>
      <c r="C177" s="198"/>
      <c r="D177" s="170" t="str">
        <f>TEXT($G$1, "[$-ko-KR]yyyy-mm-dd(ddd) ") &amp; "오후 14:00"</f>
        <v>2023-01-04(수) 오후 14:00</v>
      </c>
      <c r="E177" s="171"/>
      <c r="F177" s="172"/>
      <c r="G177" s="170" t="str">
        <f>TEXT($G$1, "[$-ko-KR]yyyy-mm-dd(ddd) ") &amp; "오후 19:00"</f>
        <v>2023-01-04(수) 오후 19:00</v>
      </c>
      <c r="H177" s="171"/>
      <c r="I177" s="172"/>
      <c r="J177" s="170" t="str">
        <f>TEXT($G$1, "[$-ko-KR]yyyy-mm-dd(ddd) ") &amp; "오후 21:00"</f>
        <v>2023-01-04(수) 오후 21:00</v>
      </c>
      <c r="K177" s="171"/>
      <c r="L177" s="172"/>
      <c r="M177" s="170" t="str">
        <f>TEXT($G$1+1, "[$-ko-KR]yyyy-mm-dd(ddd) ") &amp; "오전 00:00"</f>
        <v>2023-01-05(목)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79</v>
      </c>
      <c r="B179" s="108">
        <v>218</v>
      </c>
      <c r="C179" s="69">
        <v>-9.0909091000000008E-3</v>
      </c>
      <c r="D179" s="13">
        <v>231</v>
      </c>
      <c r="E179" s="14">
        <f>IF(ISNUMBER(D179), (D179 - $B179) / $B179, "")</f>
        <v>5.9633027522935783E-2</v>
      </c>
      <c r="F179" s="16">
        <f>IF(ISNUMBER(D179), $B199 * E179, "")</f>
        <v>8944.9541284403676</v>
      </c>
      <c r="G179" s="29">
        <v>231</v>
      </c>
      <c r="H179" s="14">
        <f>IF(ISNUMBER(G179), (G179 - $B179) / $B179, "")</f>
        <v>5.9633027522935783E-2</v>
      </c>
      <c r="I179" s="90">
        <f>IF(ISNUMBER(G179), $B199 * H179, "")</f>
        <v>8944.9541284403676</v>
      </c>
      <c r="J179" s="13">
        <v>231</v>
      </c>
      <c r="K179" s="14">
        <f>IF(ISNUMBER(J179), (J179 - $B179) / $B179, "")</f>
        <v>5.9633027522935783E-2</v>
      </c>
      <c r="L179" s="16">
        <f>IF(ISNUMBER(J179), $B199 * K179, "")</f>
        <v>8944.9541284403676</v>
      </c>
      <c r="M179" s="29">
        <v>229</v>
      </c>
      <c r="N179" s="14">
        <f>IF(ISNUMBER(M179), (M179 - $B179) / $B179, "")</f>
        <v>5.0458715596330278E-2</v>
      </c>
      <c r="O179" s="16">
        <f>IF(ISNUMBER(M179), $B199 * N179, "")</f>
        <v>7568.8073394495414</v>
      </c>
      <c r="Q179" s="156"/>
      <c r="R179" s="156"/>
      <c r="S179" s="156"/>
    </row>
    <row r="180" spans="1:19" ht="17.25" thickBot="1">
      <c r="A180" s="109" t="s">
        <v>153</v>
      </c>
      <c r="B180" s="110">
        <v>319</v>
      </c>
      <c r="C180" s="70">
        <v>-9.3167701999999995E-3</v>
      </c>
      <c r="D180" s="15">
        <v>331</v>
      </c>
      <c r="E180" s="32">
        <f t="shared" ref="E180:E183" si="94">IF(ISNUMBER(D180), (D180 - $B180) / $B180, "")</f>
        <v>3.7617554858934171E-2</v>
      </c>
      <c r="F180" s="18">
        <f>IF(ISNUMBER(D180), $B199 * E180, "")</f>
        <v>5642.6332288401254</v>
      </c>
      <c r="G180" s="31">
        <v>331</v>
      </c>
      <c r="H180" s="32">
        <f t="shared" ref="H180:H183" si="95">IF(ISNUMBER(G180), (G180 - $B180) / $B180, "")</f>
        <v>3.7617554858934171E-2</v>
      </c>
      <c r="I180" s="91">
        <f>IF(ISNUMBER(G180), $B199 * H180, "")</f>
        <v>5642.6332288401254</v>
      </c>
      <c r="J180" s="15">
        <v>331</v>
      </c>
      <c r="K180" s="32">
        <f t="shared" ref="K180:K183" si="96">IF(ISNUMBER(J180), (J180 - $B180) / $B180, "")</f>
        <v>3.7617554858934171E-2</v>
      </c>
      <c r="L180" s="18">
        <f>IF(ISNUMBER(J180), $B199 * K180, "")</f>
        <v>5642.6332288401254</v>
      </c>
      <c r="M180" s="31">
        <v>329</v>
      </c>
      <c r="N180" s="32">
        <f t="shared" ref="N180:N183" si="97">IF(ISNUMBER(M180), (M180 - $B180) / $B180, "")</f>
        <v>3.1347962382445138E-2</v>
      </c>
      <c r="O180" s="18">
        <f>IF(ISNUMBER(M180), $B199 * N180, "")</f>
        <v>4702.1943573667704</v>
      </c>
      <c r="Q180" s="156"/>
      <c r="R180" s="156"/>
      <c r="S180" s="156"/>
    </row>
    <row r="181" spans="1:19" ht="17.25" thickBot="1">
      <c r="A181" s="109" t="s">
        <v>225</v>
      </c>
      <c r="B181" s="110">
        <v>51.9</v>
      </c>
      <c r="C181" s="70">
        <v>-9.5419847000000006E-3</v>
      </c>
      <c r="D181" s="15">
        <v>53</v>
      </c>
      <c r="E181" s="32">
        <f t="shared" si="94"/>
        <v>2.1194605009633938E-2</v>
      </c>
      <c r="F181" s="18">
        <f>IF(ISNUMBER(D181), $B199 * E181, "")</f>
        <v>3179.1907514450909</v>
      </c>
      <c r="G181" s="31">
        <v>52.6</v>
      </c>
      <c r="H181" s="32">
        <f t="shared" si="95"/>
        <v>1.3487475915221635E-2</v>
      </c>
      <c r="I181" s="91">
        <f>IF(ISNUMBER(G181), $B199 * H181, "")</f>
        <v>2023.1213872832452</v>
      </c>
      <c r="J181" s="15">
        <v>52.7</v>
      </c>
      <c r="K181" s="32">
        <f t="shared" si="96"/>
        <v>1.5414258188824746E-2</v>
      </c>
      <c r="L181" s="18">
        <f>IF(ISNUMBER(J181), $B199 * K181, "")</f>
        <v>2312.1387283237118</v>
      </c>
      <c r="M181" s="31">
        <v>52.7</v>
      </c>
      <c r="N181" s="32">
        <f t="shared" si="97"/>
        <v>1.5414258188824746E-2</v>
      </c>
      <c r="O181" s="18">
        <f>IF(ISNUMBER(M181), $B199 * N181, "")</f>
        <v>2312.1387283237118</v>
      </c>
      <c r="Q181" s="146"/>
      <c r="R181" s="146"/>
      <c r="S181" s="146"/>
    </row>
    <row r="182" spans="1:19" ht="17.25" thickBot="1">
      <c r="A182" s="109" t="s">
        <v>211</v>
      </c>
      <c r="B182" s="110">
        <v>913</v>
      </c>
      <c r="C182" s="70">
        <v>-9.7613882999999999E-3</v>
      </c>
      <c r="D182" s="15">
        <v>918</v>
      </c>
      <c r="E182" s="32">
        <f t="shared" si="94"/>
        <v>5.4764512595837896E-3</v>
      </c>
      <c r="F182" s="18">
        <f>IF(ISNUMBER(D182), $B199 * E182, "")</f>
        <v>821.46768893756848</v>
      </c>
      <c r="G182" s="31">
        <v>918</v>
      </c>
      <c r="H182" s="32">
        <f t="shared" si="95"/>
        <v>5.4764512595837896E-3</v>
      </c>
      <c r="I182" s="91">
        <f>IF(ISNUMBER(G182), $B199 * H182, "")</f>
        <v>821.46768893756848</v>
      </c>
      <c r="J182" s="15">
        <v>916</v>
      </c>
      <c r="K182" s="32">
        <f t="shared" si="96"/>
        <v>3.2858707557502738E-3</v>
      </c>
      <c r="L182" s="18">
        <f>IF(ISNUMBER(J182), $B199 * K182, "")</f>
        <v>492.88061336254106</v>
      </c>
      <c r="M182" s="31">
        <v>916</v>
      </c>
      <c r="N182" s="32">
        <f t="shared" si="97"/>
        <v>3.2858707557502738E-3</v>
      </c>
      <c r="O182" s="18">
        <f>IF(ISNUMBER(M182), $B199 * N182, "")</f>
        <v>492.88061336254106</v>
      </c>
      <c r="Q182" s="146"/>
      <c r="R182" s="146"/>
      <c r="S182" s="146"/>
    </row>
    <row r="183" spans="1:19" ht="17.25" thickBot="1">
      <c r="A183" s="111" t="s">
        <v>103</v>
      </c>
      <c r="B183" s="112">
        <v>196</v>
      </c>
      <c r="C183" s="71">
        <v>-1.01010101E-2</v>
      </c>
      <c r="D183" s="20">
        <v>202</v>
      </c>
      <c r="E183" s="21">
        <f t="shared" si="94"/>
        <v>3.0612244897959183E-2</v>
      </c>
      <c r="F183" s="22">
        <f>IF(ISNUMBER(D183), $B199 * E183, "")</f>
        <v>4591.8367346938776</v>
      </c>
      <c r="G183" s="30">
        <v>203</v>
      </c>
      <c r="H183" s="21">
        <f t="shared" si="95"/>
        <v>3.5714285714285712E-2</v>
      </c>
      <c r="I183" s="95">
        <f>IF(ISNUMBER(G183), $B199 * H183, "")</f>
        <v>5357.1428571428569</v>
      </c>
      <c r="J183" s="20">
        <v>203</v>
      </c>
      <c r="K183" s="21">
        <f t="shared" si="96"/>
        <v>3.5714285714285712E-2</v>
      </c>
      <c r="L183" s="22">
        <f>IF(ISNUMBER(J183), $B199 * K183, "")</f>
        <v>5357.1428571428569</v>
      </c>
      <c r="M183" s="30">
        <v>202</v>
      </c>
      <c r="N183" s="21">
        <f t="shared" si="97"/>
        <v>3.0612244897959183E-2</v>
      </c>
      <c r="O183" s="22">
        <f>IF(ISNUMBER(M183), $B199 * N183, "")</f>
        <v>4591.8367346938776</v>
      </c>
      <c r="Q183" s="146"/>
      <c r="R183" s="146"/>
      <c r="S183" s="146"/>
    </row>
    <row r="184" spans="1:19" ht="17.25" thickBot="1">
      <c r="A184" s="109" t="s">
        <v>165</v>
      </c>
      <c r="B184" s="113">
        <v>878</v>
      </c>
      <c r="C184" s="73">
        <v>-1.01465614E-2</v>
      </c>
      <c r="D184" s="96">
        <v>895</v>
      </c>
      <c r="E184" s="97">
        <f>IF(ISNUMBER(D184), (D184 - $B184) / $B184, "")</f>
        <v>1.9362186788154899E-2</v>
      </c>
      <c r="F184" s="98">
        <f>IF(ISNUMBER(D184), $B199 * E184, "")</f>
        <v>2904.3280182232347</v>
      </c>
      <c r="G184" s="99">
        <v>893</v>
      </c>
      <c r="H184" s="97">
        <f>IF(ISNUMBER(G184), (G184 - $B184) / $B184, "")</f>
        <v>1.7084282460136675E-2</v>
      </c>
      <c r="I184" s="100">
        <f>IF(ISNUMBER(G184), $B199 * H184, "")</f>
        <v>2562.6423690205011</v>
      </c>
      <c r="J184" s="96">
        <v>893</v>
      </c>
      <c r="K184" s="97">
        <f>IF(ISNUMBER(J184), (J184 - $B184) / $B184, "")</f>
        <v>1.7084282460136675E-2</v>
      </c>
      <c r="L184" s="98">
        <f>IF(ISNUMBER(J184), $B199 * K184, "")</f>
        <v>2562.6423690205011</v>
      </c>
      <c r="M184" s="99">
        <v>894</v>
      </c>
      <c r="N184" s="97">
        <f>IF(ISNUMBER(M184), (M184 - $B184) / $B184, "")</f>
        <v>1.8223234624145785E-2</v>
      </c>
      <c r="O184" s="98">
        <f>IF(ISNUMBER(M184), $B199 * N184, "")</f>
        <v>2733.4851936218679</v>
      </c>
      <c r="Q184" s="146"/>
      <c r="R184" s="146"/>
      <c r="S184" s="146"/>
    </row>
    <row r="185" spans="1:19" ht="17.25" thickBot="1">
      <c r="A185" s="109" t="s">
        <v>62</v>
      </c>
      <c r="B185" s="110">
        <v>8215</v>
      </c>
      <c r="C185" s="70">
        <v>-1.02409639E-2</v>
      </c>
      <c r="D185" s="15">
        <v>8445</v>
      </c>
      <c r="E185" s="32">
        <f t="shared" ref="E185:E188" si="98">IF(ISNUMBER(D185), (D185 - $B185) / $B185, "")</f>
        <v>2.7997565429093121E-2</v>
      </c>
      <c r="F185" s="18">
        <f>IF(ISNUMBER(D185), $B199 * E185, "")</f>
        <v>4199.634814363968</v>
      </c>
      <c r="G185" s="31">
        <v>8345</v>
      </c>
      <c r="H185" s="32">
        <f t="shared" ref="H185:H188" si="99">IF(ISNUMBER(G185), (G185 - $B185) / $B185, "")</f>
        <v>1.5824710894704809E-2</v>
      </c>
      <c r="I185" s="91">
        <f>IF(ISNUMBER(G185), $B199 * H185, "")</f>
        <v>2373.7066342057215</v>
      </c>
      <c r="J185" s="15">
        <v>8340</v>
      </c>
      <c r="K185" s="32">
        <f t="shared" ref="K185:K188" si="100">IF(ISNUMBER(J185), (J185 - $B185) / $B185, "")</f>
        <v>1.5216068167985392E-2</v>
      </c>
      <c r="L185" s="18">
        <f>IF(ISNUMBER(J185), $B199 * K185, "")</f>
        <v>2282.4102251978088</v>
      </c>
      <c r="M185" s="31">
        <v>8375</v>
      </c>
      <c r="N185" s="32">
        <f t="shared" ref="N185:N188" si="101">IF(ISNUMBER(M185), (M185 - $B185) / $B185, "")</f>
        <v>1.9476567255021303E-2</v>
      </c>
      <c r="O185" s="18">
        <f>IF(ISNUMBER(M185), $B199 * N185, "")</f>
        <v>2921.4850882531955</v>
      </c>
      <c r="Q185" s="146"/>
      <c r="R185" s="146"/>
      <c r="S185" s="146"/>
    </row>
    <row r="186" spans="1:19" ht="17.25" thickBot="1">
      <c r="A186" s="109" t="s">
        <v>176</v>
      </c>
      <c r="B186" s="110">
        <v>279</v>
      </c>
      <c r="C186" s="70">
        <v>-1.06382979E-2</v>
      </c>
      <c r="D186" s="15">
        <v>281</v>
      </c>
      <c r="E186" s="32">
        <f t="shared" si="98"/>
        <v>7.1684587813620072E-3</v>
      </c>
      <c r="F186" s="18">
        <f>IF(ISNUMBER(D186), $B199 * E186, "")</f>
        <v>1075.2688172043011</v>
      </c>
      <c r="G186" s="31">
        <v>280</v>
      </c>
      <c r="H186" s="32">
        <f t="shared" si="99"/>
        <v>3.5842293906810036E-3</v>
      </c>
      <c r="I186" s="91">
        <f>IF(ISNUMBER(G186), $B199 * H186, "")</f>
        <v>537.63440860215053</v>
      </c>
      <c r="J186" s="15">
        <v>282</v>
      </c>
      <c r="K186" s="32">
        <f t="shared" si="100"/>
        <v>1.0752688172043012E-2</v>
      </c>
      <c r="L186" s="18">
        <f>IF(ISNUMBER(J186), $B199 * K186, "")</f>
        <v>1612.9032258064517</v>
      </c>
      <c r="M186" s="31">
        <v>282</v>
      </c>
      <c r="N186" s="32">
        <f t="shared" si="101"/>
        <v>1.0752688172043012E-2</v>
      </c>
      <c r="O186" s="18">
        <f>IF(ISNUMBER(M186), $B199 * N186, "")</f>
        <v>1612.9032258064517</v>
      </c>
      <c r="Q186" s="146"/>
      <c r="R186" s="146"/>
      <c r="S186" s="146"/>
    </row>
    <row r="187" spans="1:19" ht="17.25" thickBot="1">
      <c r="A187" s="109" t="s">
        <v>350</v>
      </c>
      <c r="B187" s="110">
        <v>5.58</v>
      </c>
      <c r="C187" s="70">
        <v>-1.23893805E-2</v>
      </c>
      <c r="D187" s="15">
        <v>5.66</v>
      </c>
      <c r="E187" s="32">
        <f t="shared" si="98"/>
        <v>1.4336917562724026E-2</v>
      </c>
      <c r="F187" s="18">
        <f>IF(ISNUMBER(D187), $B199 * E187, "")</f>
        <v>2150.5376344086039</v>
      </c>
      <c r="G187" s="31">
        <v>5.63</v>
      </c>
      <c r="H187" s="32">
        <f t="shared" si="99"/>
        <v>8.9605734767024773E-3</v>
      </c>
      <c r="I187" s="91">
        <f>IF(ISNUMBER(G187), $B199 * H187, "")</f>
        <v>1344.0860215053715</v>
      </c>
      <c r="J187" s="15">
        <v>5.63</v>
      </c>
      <c r="K187" s="32">
        <f t="shared" si="100"/>
        <v>8.9605734767024773E-3</v>
      </c>
      <c r="L187" s="18">
        <f>IF(ISNUMBER(J187), $B199 * K187, "")</f>
        <v>1344.0860215053715</v>
      </c>
      <c r="M187" s="31">
        <v>5.65</v>
      </c>
      <c r="N187" s="32">
        <f t="shared" si="101"/>
        <v>1.2544802867383563E-2</v>
      </c>
      <c r="O187" s="18">
        <f>IF(ISNUMBER(M187), $B199 * N187, "")</f>
        <v>1881.7204301075344</v>
      </c>
      <c r="Q187" s="33"/>
      <c r="R187" s="33"/>
    </row>
    <row r="188" spans="1:19" ht="17.25" thickBot="1">
      <c r="A188" s="114" t="s">
        <v>109</v>
      </c>
      <c r="B188" s="115">
        <v>945</v>
      </c>
      <c r="C188" s="72">
        <v>-1.2539185E-2</v>
      </c>
      <c r="D188" s="24">
        <v>962</v>
      </c>
      <c r="E188" s="25">
        <f t="shared" si="98"/>
        <v>1.7989417989417989E-2</v>
      </c>
      <c r="F188" s="94">
        <f>IF(ISNUMBER(D188), $B199 * E188, "")</f>
        <v>2698.4126984126983</v>
      </c>
      <c r="G188" s="92">
        <v>961</v>
      </c>
      <c r="H188" s="25">
        <f t="shared" si="99"/>
        <v>1.6931216931216932E-2</v>
      </c>
      <c r="I188" s="93">
        <f>IF(ISNUMBER(G188), $B199 * H188, "")</f>
        <v>2539.6825396825398</v>
      </c>
      <c r="J188" s="24">
        <v>958</v>
      </c>
      <c r="K188" s="25">
        <f t="shared" si="100"/>
        <v>1.3756613756613757E-2</v>
      </c>
      <c r="L188" s="94">
        <f>IF(ISNUMBER(J188), $B199 * K188, "")</f>
        <v>2063.4920634920636</v>
      </c>
      <c r="M188" s="92">
        <v>963</v>
      </c>
      <c r="N188" s="25">
        <f t="shared" si="101"/>
        <v>1.9047619047619049E-2</v>
      </c>
      <c r="O188" s="94">
        <f>IF(ISNUMBER(M188), $B199 * N188, "")</f>
        <v>2857.1428571428573</v>
      </c>
      <c r="Q188" s="147"/>
      <c r="R188" s="148"/>
      <c r="S188" s="149"/>
    </row>
    <row r="189" spans="1:19">
      <c r="A189" s="107" t="s">
        <v>149</v>
      </c>
      <c r="B189" s="108">
        <v>313</v>
      </c>
      <c r="C189" s="69">
        <v>-1.2618296500000001E-2</v>
      </c>
      <c r="D189" s="13">
        <v>321</v>
      </c>
      <c r="E189" s="14">
        <f>IF(ISNUMBER(D189), (D189 - $B189) / $B189, "")</f>
        <v>2.5559105431309903E-2</v>
      </c>
      <c r="F189" s="16">
        <f>IF(ISNUMBER(D189), $B199 * E189, "")</f>
        <v>3833.8658146964854</v>
      </c>
      <c r="G189" s="29">
        <v>320</v>
      </c>
      <c r="H189" s="14">
        <f>IF(ISNUMBER(G189), (G189 - $B189) / $B189, "")</f>
        <v>2.2364217252396165E-2</v>
      </c>
      <c r="I189" s="90">
        <f>IF(ISNUMBER(G189), $B199 * H189, "")</f>
        <v>3354.6325878594248</v>
      </c>
      <c r="J189" s="13">
        <v>318</v>
      </c>
      <c r="K189" s="14">
        <f>IF(ISNUMBER(J189), (J189 - $B189) / $B189, "")</f>
        <v>1.5974440894568689E-2</v>
      </c>
      <c r="L189" s="16">
        <f>IF(ISNUMBER(J189), $B199 * K189, "")</f>
        <v>2396.1661341853032</v>
      </c>
      <c r="M189" s="29">
        <v>319</v>
      </c>
      <c r="N189" s="14">
        <f>IF(ISNUMBER(M189), (M189 - $B189) / $B189, "")</f>
        <v>1.9169329073482427E-2</v>
      </c>
      <c r="O189" s="16">
        <f>IF(ISNUMBER(M189), $B199 * N189, "")</f>
        <v>2875.3993610223642</v>
      </c>
      <c r="Q189" s="150"/>
      <c r="R189" s="151"/>
      <c r="S189" s="152"/>
    </row>
    <row r="190" spans="1:19" ht="17.25" thickBot="1">
      <c r="A190" s="109" t="s">
        <v>241</v>
      </c>
      <c r="B190" s="110">
        <v>86</v>
      </c>
      <c r="C190" s="70">
        <v>-1.26291619E-2</v>
      </c>
      <c r="D190" s="15">
        <v>86.1</v>
      </c>
      <c r="E190" s="32">
        <f t="shared" ref="E190:E193" si="102">IF(ISNUMBER(D190), (D190 - $B190) / $B190, "")</f>
        <v>1.1627906976743525E-3</v>
      </c>
      <c r="F190" s="18">
        <f>IF(ISNUMBER(D190), $B199 * E190, "")</f>
        <v>174.41860465115286</v>
      </c>
      <c r="G190" s="31">
        <v>85.9</v>
      </c>
      <c r="H190" s="32">
        <f t="shared" ref="H190:H193" si="103">IF(ISNUMBER(G190), (G190 - $B190) / $B190, "")</f>
        <v>-1.1627906976743525E-3</v>
      </c>
      <c r="I190" s="91">
        <f>IF(ISNUMBER(G190), $B199 * H190, "")</f>
        <v>-174.41860465115286</v>
      </c>
      <c r="J190" s="15">
        <v>86.1</v>
      </c>
      <c r="K190" s="32">
        <f t="shared" ref="K190:K193" si="104">IF(ISNUMBER(J190), (J190 - $B190) / $B190, "")</f>
        <v>1.1627906976743525E-3</v>
      </c>
      <c r="L190" s="18">
        <f>IF(ISNUMBER(J190), $B199 * K190, "")</f>
        <v>174.41860465115286</v>
      </c>
      <c r="M190" s="31">
        <v>86.1</v>
      </c>
      <c r="N190" s="32">
        <f t="shared" ref="N190:N193" si="105">IF(ISNUMBER(M190), (M190 - $B190) / $B190, "")</f>
        <v>1.1627906976743525E-3</v>
      </c>
      <c r="O190" s="18">
        <f>IF(ISNUMBER(M190), $B199 * N190, "")</f>
        <v>174.41860465115286</v>
      </c>
      <c r="Q190" s="153"/>
      <c r="R190" s="154"/>
      <c r="S190" s="155"/>
    </row>
    <row r="191" spans="1:19" ht="17.25" thickBot="1">
      <c r="A191" s="109" t="s">
        <v>317</v>
      </c>
      <c r="B191" s="110">
        <v>565</v>
      </c>
      <c r="C191" s="70">
        <v>-1.39616056E-2</v>
      </c>
      <c r="D191" s="15">
        <v>570</v>
      </c>
      <c r="E191" s="32">
        <f t="shared" si="102"/>
        <v>8.8495575221238937E-3</v>
      </c>
      <c r="F191" s="18">
        <f>IF(ISNUMBER(D191), $B199 * E191, "")</f>
        <v>1327.4336283185839</v>
      </c>
      <c r="G191" s="31">
        <v>569</v>
      </c>
      <c r="H191" s="32">
        <f t="shared" si="103"/>
        <v>7.0796460176991149E-3</v>
      </c>
      <c r="I191" s="91">
        <f>IF(ISNUMBER(G191), $B199 * H191, "")</f>
        <v>1061.9469026548672</v>
      </c>
      <c r="J191" s="15">
        <v>568</v>
      </c>
      <c r="K191" s="32">
        <f t="shared" si="104"/>
        <v>5.3097345132743362E-3</v>
      </c>
      <c r="L191" s="18">
        <f>IF(ISNUMBER(J191), $B199 * K191, "")</f>
        <v>796.46017699115043</v>
      </c>
      <c r="M191" s="31">
        <v>571</v>
      </c>
      <c r="N191" s="32">
        <f t="shared" si="105"/>
        <v>1.0619469026548672E-2</v>
      </c>
      <c r="O191" s="18">
        <f>IF(ISNUMBER(M191), $B199 * N191, "")</f>
        <v>1592.9203539823009</v>
      </c>
      <c r="Q191" s="146"/>
      <c r="R191" s="146"/>
      <c r="S191" s="146"/>
    </row>
    <row r="192" spans="1:19" ht="17.25" thickBot="1">
      <c r="A192" s="109" t="s">
        <v>71</v>
      </c>
      <c r="B192" s="110">
        <v>9.7899999999999991</v>
      </c>
      <c r="C192" s="70">
        <v>-1.4098690800000001E-2</v>
      </c>
      <c r="D192" s="15">
        <v>9.7799999999999994</v>
      </c>
      <c r="E192" s="32">
        <f t="shared" si="102"/>
        <v>-1.0214504596526852E-3</v>
      </c>
      <c r="F192" s="18">
        <f>IF(ISNUMBER(D192), $B199 * E192, "")</f>
        <v>-153.21756894790278</v>
      </c>
      <c r="G192" s="31">
        <v>9.7799999999999994</v>
      </c>
      <c r="H192" s="32">
        <f t="shared" si="103"/>
        <v>-1.0214504596526852E-3</v>
      </c>
      <c r="I192" s="91">
        <f>IF(ISNUMBER(G192), $B199 * H192, "")</f>
        <v>-153.21756894790278</v>
      </c>
      <c r="J192" s="15">
        <v>9.7799999999999994</v>
      </c>
      <c r="K192" s="32">
        <f t="shared" si="104"/>
        <v>-1.0214504596526852E-3</v>
      </c>
      <c r="L192" s="18">
        <f>IF(ISNUMBER(J192), $B199 * K192, "")</f>
        <v>-153.21756894790278</v>
      </c>
      <c r="M192" s="31">
        <v>9.7899999999999991</v>
      </c>
      <c r="N192" s="32">
        <f t="shared" si="105"/>
        <v>0</v>
      </c>
      <c r="O192" s="18">
        <f>IF(ISNUMBER(M192), $B199 * N192, "")</f>
        <v>0</v>
      </c>
      <c r="Q192" s="156"/>
      <c r="R192" s="156"/>
      <c r="S192" s="156"/>
    </row>
    <row r="193" spans="1:19" ht="17.25" thickBot="1">
      <c r="A193" s="111" t="s">
        <v>213</v>
      </c>
      <c r="B193" s="112">
        <v>402</v>
      </c>
      <c r="C193" s="71">
        <v>-1.47058824E-2</v>
      </c>
      <c r="D193" s="20">
        <v>410</v>
      </c>
      <c r="E193" s="21">
        <f t="shared" si="102"/>
        <v>1.9900497512437811E-2</v>
      </c>
      <c r="F193" s="22">
        <f>IF(ISNUMBER(D193), $B199 * E193, "")</f>
        <v>2985.0746268656717</v>
      </c>
      <c r="G193" s="30">
        <v>417</v>
      </c>
      <c r="H193" s="21">
        <f t="shared" si="103"/>
        <v>3.7313432835820892E-2</v>
      </c>
      <c r="I193" s="95">
        <f>IF(ISNUMBER(G193), $B199 * H193, "")</f>
        <v>5597.0149253731342</v>
      </c>
      <c r="J193" s="20">
        <v>419</v>
      </c>
      <c r="K193" s="21">
        <f t="shared" si="104"/>
        <v>4.228855721393035E-2</v>
      </c>
      <c r="L193" s="22">
        <f>IF(ISNUMBER(J193), $B199 * K193, "")</f>
        <v>6343.2835820895525</v>
      </c>
      <c r="M193" s="30">
        <v>414</v>
      </c>
      <c r="N193" s="21">
        <f t="shared" si="105"/>
        <v>2.9850746268656716E-2</v>
      </c>
      <c r="O193" s="22">
        <f>IF(ISNUMBER(M193), $B199 * N193, "")</f>
        <v>4477.6119402985078</v>
      </c>
      <c r="Q193" s="156"/>
      <c r="R193" s="156"/>
      <c r="S193" s="156"/>
    </row>
    <row r="194" spans="1:19" ht="17.25" thickBot="1">
      <c r="A194" s="109" t="s">
        <v>319</v>
      </c>
      <c r="B194" s="113">
        <v>310</v>
      </c>
      <c r="C194" s="73">
        <v>-1.5873015899999999E-2</v>
      </c>
      <c r="D194" s="96">
        <v>330</v>
      </c>
      <c r="E194" s="97">
        <f>IF(ISNUMBER(D194), (D194 - $B194) / $B194, "")</f>
        <v>6.4516129032258063E-2</v>
      </c>
      <c r="F194" s="98">
        <f>IF(ISNUMBER(D194), $B199 * E194, "")</f>
        <v>9677.4193548387102</v>
      </c>
      <c r="G194" s="99">
        <v>330</v>
      </c>
      <c r="H194" s="97">
        <f>IF(ISNUMBER(G194), (G194 - $B194) / $B194, "")</f>
        <v>6.4516129032258063E-2</v>
      </c>
      <c r="I194" s="100">
        <f>IF(ISNUMBER(G194), $B199 * H194, "")</f>
        <v>9677.4193548387102</v>
      </c>
      <c r="J194" s="96">
        <v>329</v>
      </c>
      <c r="K194" s="97">
        <f>IF(ISNUMBER(J194), (J194 - $B194) / $B194, "")</f>
        <v>6.1290322580645158E-2</v>
      </c>
      <c r="L194" s="98">
        <f>IF(ISNUMBER(J194), $B199 * K194, "")</f>
        <v>9193.5483870967746</v>
      </c>
      <c r="M194" s="99">
        <v>327</v>
      </c>
      <c r="N194" s="97">
        <f>IF(ISNUMBER(M194), (M194 - $B194) / $B194, "")</f>
        <v>5.4838709677419356E-2</v>
      </c>
      <c r="O194" s="98">
        <f>IF(ISNUMBER(M194), $B199 * N194, "")</f>
        <v>8225.8064516129034</v>
      </c>
      <c r="Q194" s="146"/>
      <c r="R194" s="146"/>
      <c r="S194" s="146"/>
    </row>
    <row r="195" spans="1:19" ht="17.25" thickBot="1">
      <c r="A195" s="109" t="s">
        <v>64</v>
      </c>
      <c r="B195" s="110">
        <v>8.9</v>
      </c>
      <c r="C195" s="70">
        <v>-1.65745856E-2</v>
      </c>
      <c r="D195" s="15">
        <v>9.1</v>
      </c>
      <c r="E195" s="32">
        <f t="shared" ref="E195:E198" si="106">IF(ISNUMBER(D195), (D195 - $B195) / $B195, "")</f>
        <v>2.247191011235947E-2</v>
      </c>
      <c r="F195" s="18">
        <f>IF(ISNUMBER(D195), $B199 * E195, "")</f>
        <v>3370.7865168539206</v>
      </c>
      <c r="G195" s="31">
        <v>9.1</v>
      </c>
      <c r="H195" s="32">
        <f t="shared" ref="H195:H198" si="107">IF(ISNUMBER(G195), (G195 - $B195) / $B195, "")</f>
        <v>2.247191011235947E-2</v>
      </c>
      <c r="I195" s="91">
        <f>IF(ISNUMBER(G195), $B199 * H195, "")</f>
        <v>3370.7865168539206</v>
      </c>
      <c r="J195" s="15">
        <v>9.07</v>
      </c>
      <c r="K195" s="32">
        <f t="shared" ref="K195:K198" si="108">IF(ISNUMBER(J195), (J195 - $B195) / $B195, "")</f>
        <v>1.9101123595505608E-2</v>
      </c>
      <c r="L195" s="18">
        <f>IF(ISNUMBER(J195), $B199 * K195, "")</f>
        <v>2865.1685393258413</v>
      </c>
      <c r="M195" s="31">
        <v>9.06</v>
      </c>
      <c r="N195" s="32">
        <f t="shared" ref="N195:N198" si="109">IF(ISNUMBER(M195), (M195 - $B195) / $B195, "")</f>
        <v>1.7977528089887656E-2</v>
      </c>
      <c r="O195" s="18">
        <f>IF(ISNUMBER(M195), $B199 * N195, "")</f>
        <v>2696.6292134831483</v>
      </c>
      <c r="Q195" s="146"/>
      <c r="R195" s="146"/>
      <c r="S195" s="146"/>
    </row>
    <row r="196" spans="1:19" ht="17.25" thickBot="1">
      <c r="A196" s="109" t="s">
        <v>116</v>
      </c>
      <c r="B196" s="110">
        <v>911</v>
      </c>
      <c r="C196" s="70">
        <v>-1.93756728E-2</v>
      </c>
      <c r="D196" s="15">
        <v>921</v>
      </c>
      <c r="E196" s="32">
        <f t="shared" si="106"/>
        <v>1.0976948408342482E-2</v>
      </c>
      <c r="F196" s="18">
        <f>IF(ISNUMBER(D196), $B199 * E196, "")</f>
        <v>1646.5422612513723</v>
      </c>
      <c r="G196" s="31">
        <v>922</v>
      </c>
      <c r="H196" s="32">
        <f t="shared" si="107"/>
        <v>1.2074643249176729E-2</v>
      </c>
      <c r="I196" s="91">
        <f>IF(ISNUMBER(G196), $B199 * H196, "")</f>
        <v>1811.1964873765094</v>
      </c>
      <c r="J196" s="15">
        <v>923</v>
      </c>
      <c r="K196" s="32">
        <f t="shared" si="108"/>
        <v>1.3172338090010977E-2</v>
      </c>
      <c r="L196" s="18">
        <f>IF(ISNUMBER(J196), $B199 * K196, "")</f>
        <v>1975.8507135016464</v>
      </c>
      <c r="M196" s="31">
        <v>919</v>
      </c>
      <c r="N196" s="32">
        <f t="shared" si="109"/>
        <v>8.7815587266739849E-3</v>
      </c>
      <c r="O196" s="18">
        <f>IF(ISNUMBER(M196), $B199 * N196, "")</f>
        <v>1317.2338090010978</v>
      </c>
      <c r="Q196" s="146"/>
      <c r="R196" s="146"/>
      <c r="S196" s="146"/>
    </row>
    <row r="197" spans="1:19">
      <c r="A197" s="109" t="s">
        <v>191</v>
      </c>
      <c r="B197" s="110">
        <v>49.8</v>
      </c>
      <c r="C197" s="70">
        <v>-2.54403131E-2</v>
      </c>
      <c r="D197" s="15">
        <v>51.3</v>
      </c>
      <c r="E197" s="32">
        <f t="shared" si="106"/>
        <v>3.0120481927710847E-2</v>
      </c>
      <c r="F197" s="18">
        <f>IF(ISNUMBER(D197), $B199 * E197, "")</f>
        <v>4518.0722891566274</v>
      </c>
      <c r="G197" s="31">
        <v>51.3</v>
      </c>
      <c r="H197" s="32">
        <f t="shared" si="107"/>
        <v>3.0120481927710847E-2</v>
      </c>
      <c r="I197" s="91">
        <f>IF(ISNUMBER(G197), $B199 * H197, "")</f>
        <v>4518.0722891566274</v>
      </c>
      <c r="J197" s="15">
        <v>51.3</v>
      </c>
      <c r="K197" s="32">
        <f t="shared" si="108"/>
        <v>3.0120481927710847E-2</v>
      </c>
      <c r="L197" s="18">
        <f>IF(ISNUMBER(J197), $B199 * K197, "")</f>
        <v>4518.0722891566274</v>
      </c>
      <c r="M197" s="31">
        <v>51</v>
      </c>
      <c r="N197" s="32">
        <f t="shared" si="109"/>
        <v>2.4096385542168731E-2</v>
      </c>
      <c r="O197" s="18">
        <f>IF(ISNUMBER(M197), $B199 * N197, "")</f>
        <v>3614.4578313253096</v>
      </c>
      <c r="Q197" s="135"/>
      <c r="R197" s="136"/>
      <c r="S197" s="137"/>
    </row>
    <row r="198" spans="1:19" ht="17.25" thickBot="1">
      <c r="A198" s="114" t="s">
        <v>120</v>
      </c>
      <c r="B198" s="115">
        <v>99.9</v>
      </c>
      <c r="C198" s="72">
        <v>-3.00970874E-2</v>
      </c>
      <c r="D198" s="24">
        <v>102</v>
      </c>
      <c r="E198" s="25">
        <f t="shared" si="106"/>
        <v>2.1021021021020964E-2</v>
      </c>
      <c r="F198" s="94">
        <f>IF(ISNUMBER(D198), $B199 * E198, "")</f>
        <v>3153.1531531531446</v>
      </c>
      <c r="G198" s="92">
        <v>100</v>
      </c>
      <c r="H198" s="25">
        <f t="shared" si="107"/>
        <v>1.001001001000944E-3</v>
      </c>
      <c r="I198" s="93">
        <f>IF(ISNUMBER(G198), $B199 * H198, "")</f>
        <v>150.1501501501416</v>
      </c>
      <c r="J198" s="24">
        <v>102</v>
      </c>
      <c r="K198" s="25">
        <f t="shared" si="108"/>
        <v>2.1021021021020964E-2</v>
      </c>
      <c r="L198" s="94">
        <f>IF(ISNUMBER(J198), $B199 * K198, "")</f>
        <v>3153.1531531531446</v>
      </c>
      <c r="M198" s="92">
        <v>101</v>
      </c>
      <c r="N198" s="25">
        <f t="shared" si="109"/>
        <v>1.1011011011010954E-2</v>
      </c>
      <c r="O198" s="94">
        <f>IF(ISNUMBER(M198), $B199 * N198, "")</f>
        <v>1651.6516516516431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2.2247271065269202E-2</v>
      </c>
      <c r="F199" s="28">
        <f>SUM(F179:F198)</f>
        <v>66741.813195807612</v>
      </c>
      <c r="G199" s="26" t="s">
        <v>258</v>
      </c>
      <c r="H199" s="27">
        <f>IF(COUNT(H179:H198), SUM(H179:H198) / COUNT(H179:H198), 0)</f>
        <v>2.0453551434774911E-2</v>
      </c>
      <c r="I199" s="28">
        <f>SUM(I179:I198)</f>
        <v>61360.654304324729</v>
      </c>
      <c r="J199" s="26" t="s">
        <v>258</v>
      </c>
      <c r="K199" s="27">
        <f>IF(COUNT(K179:K198), SUM(K179:K198) / COUNT(K179:K198), 0)</f>
        <v>2.1292729157445029E-2</v>
      </c>
      <c r="L199" s="28">
        <f>SUM(L179:L198)</f>
        <v>63878.187472335077</v>
      </c>
      <c r="M199" s="26" t="s">
        <v>258</v>
      </c>
      <c r="N199" s="27">
        <f>IF(COUNT(N179:N198), SUM(N179:N198) / COUNT(N179:N198), 0)</f>
        <v>1.943357459505226E-2</v>
      </c>
      <c r="O199" s="28">
        <f>SUM(O179:O198)</f>
        <v>58300.72378515677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36F3-7E14-4A8D-BE9C-3F33A1ED6A11}">
  <sheetPr codeName="Sheet11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44931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-11,628 KRW (-0.39%)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10,681 KRW (0.36%)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-8,604 KRW (-0.29%)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-37,066 KRW (-1.24%)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21539000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1.0224474E-3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2023-01-05(목) 오전 00:00</v>
      </c>
      <c r="C15" s="196"/>
      <c r="D15" s="170" t="str">
        <f>TEXT($G$1, "[$-ko-KR]yyyy-mm-dd(ddd) ") &amp; "오후 14:00"</f>
        <v>2023-01-05(목) 오후 14:00</v>
      </c>
      <c r="E15" s="171"/>
      <c r="F15" s="172"/>
      <c r="G15" s="170" t="str">
        <f>TEXT($G$1, "[$-ko-KR]yyyy-mm-dd(ddd) ") &amp; "오후 19:00"</f>
        <v>2023-01-05(목) 오후 19:00</v>
      </c>
      <c r="H15" s="171"/>
      <c r="I15" s="172"/>
      <c r="J15" s="170" t="str">
        <f>TEXT($G$1, "[$-ko-KR]yyyy-mm-dd(ddd) ") &amp; "오후 21:00"</f>
        <v>2023-01-05(목) 오후 21:00</v>
      </c>
      <c r="K15" s="171"/>
      <c r="L15" s="172"/>
      <c r="M15" s="170" t="str">
        <f>TEXT($G$1+1, "[$-ko-KR]yyyy-mm-dd(ddd) ") &amp; "오전 00:00"</f>
        <v>2023-01-06(금)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21539000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1.0224474E-3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2023-01-05(목) 오전 00:00</v>
      </c>
      <c r="C42" s="198"/>
      <c r="D42" s="170" t="str">
        <f>TEXT($G$1, "[$-ko-KR]yyyy-mm-dd(ddd) ") &amp; "오후 14:00"</f>
        <v>2023-01-05(목) 오후 14:00</v>
      </c>
      <c r="E42" s="171"/>
      <c r="F42" s="172"/>
      <c r="G42" s="170" t="str">
        <f>TEXT($G$1, "[$-ko-KR]yyyy-mm-dd(ddd) ") &amp; "오후 19:00"</f>
        <v>2023-01-05(목) 오후 19:00</v>
      </c>
      <c r="H42" s="171"/>
      <c r="I42" s="172"/>
      <c r="J42" s="170" t="str">
        <f>TEXT($G$1, "[$-ko-KR]yyyy-mm-dd(ddd) ") &amp; "오후 21:00"</f>
        <v>2023-01-05(목) 오후 21:00</v>
      </c>
      <c r="K42" s="171"/>
      <c r="L42" s="172"/>
      <c r="M42" s="170" t="str">
        <f>TEXT($G$1+1, "[$-ko-KR]yyyy-mm-dd(ddd) ") &amp; "오전 00:00"</f>
        <v>2023-01-06(금)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97</v>
      </c>
      <c r="B44" s="108">
        <v>8.9999999999999998E-4</v>
      </c>
      <c r="C44" s="69">
        <v>0.125</v>
      </c>
      <c r="D44" s="13">
        <v>8.9999999999999998E-4</v>
      </c>
      <c r="E44" s="14">
        <f>IF(ISNUMBER(D44), (D44 - $B44) / $B44, "")</f>
        <v>0</v>
      </c>
      <c r="F44" s="16">
        <f>IF(ISNUMBER(D44), $B64 * E44, "")</f>
        <v>0</v>
      </c>
      <c r="G44" s="29">
        <v>8.9999999999999998E-4</v>
      </c>
      <c r="H44" s="14">
        <f>IF(ISNUMBER(G44), (G44 - $B44) / $B44, "")</f>
        <v>0</v>
      </c>
      <c r="I44" s="90">
        <f>IF(ISNUMBER(G44), $B64 * H44, "")</f>
        <v>0</v>
      </c>
      <c r="J44" s="13">
        <v>8.9999999999999998E-4</v>
      </c>
      <c r="K44" s="14">
        <f>IF(ISNUMBER(J44), (J44 - $B44) / $B44, "")</f>
        <v>0</v>
      </c>
      <c r="L44" s="16">
        <f>IF(ISNUMBER(J44), $B64 * K44, "")</f>
        <v>0</v>
      </c>
      <c r="M44" s="29">
        <v>8.9999999999999998E-4</v>
      </c>
      <c r="N44" s="14">
        <f>IF(ISNUMBER(M44), (M44 - $B44) / $B44, "")</f>
        <v>0</v>
      </c>
      <c r="O44" s="16">
        <f>IF(ISNUMBER(M44), $B64 * N44, "")</f>
        <v>0</v>
      </c>
      <c r="Q44" s="156"/>
      <c r="R44" s="156"/>
      <c r="S44" s="156"/>
    </row>
    <row r="45" spans="1:19" ht="17.25" customHeight="1" thickBot="1">
      <c r="A45" s="109" t="s">
        <v>138</v>
      </c>
      <c r="B45" s="110">
        <v>21</v>
      </c>
      <c r="C45" s="70">
        <v>3.9603960399999999E-2</v>
      </c>
      <c r="D45" s="15">
        <v>21.2</v>
      </c>
      <c r="E45" s="32">
        <f t="shared" ref="E45:E48" si="14">IF(ISNUMBER(D45), (D45 - $B45) / $B45, "")</f>
        <v>9.52380952380949E-3</v>
      </c>
      <c r="F45" s="18">
        <f>IF(ISNUMBER(D45), $B64 * E45, "")</f>
        <v>1428.5714285714234</v>
      </c>
      <c r="G45" s="31">
        <v>20.6</v>
      </c>
      <c r="H45" s="32">
        <f t="shared" ref="H45:H48" si="15">IF(ISNUMBER(G45), (G45 - $B45) / $B45, "")</f>
        <v>-1.904761904761898E-2</v>
      </c>
      <c r="I45" s="91">
        <f>IF(ISNUMBER(G45), $B64 * H45, "")</f>
        <v>-2857.1428571428469</v>
      </c>
      <c r="J45" s="15">
        <v>20.9</v>
      </c>
      <c r="K45" s="32">
        <f t="shared" ref="K45:K48" si="16">IF(ISNUMBER(J45), (J45 - $B45) / $B45, "")</f>
        <v>-4.76190476190483E-3</v>
      </c>
      <c r="L45" s="18">
        <f>IF(ISNUMBER(J45), $B64 * K45, "")</f>
        <v>-714.28571428572445</v>
      </c>
      <c r="M45" s="31">
        <v>20.6</v>
      </c>
      <c r="N45" s="32">
        <f t="shared" ref="N45:N48" si="17">IF(ISNUMBER(M45), (M45 - $B45) / $B45, "")</f>
        <v>-1.904761904761898E-2</v>
      </c>
      <c r="O45" s="18">
        <f>IF(ISNUMBER(M45), $B64 * N45, "")</f>
        <v>-2857.1428571428469</v>
      </c>
      <c r="Q45" s="156"/>
      <c r="R45" s="156"/>
      <c r="S45" s="156"/>
    </row>
    <row r="46" spans="1:19" ht="17.25" customHeight="1" thickBot="1">
      <c r="A46" s="109" t="s">
        <v>323</v>
      </c>
      <c r="B46" s="110">
        <v>2.9000000000000001E-2</v>
      </c>
      <c r="C46" s="70">
        <v>3.2028469800000001E-2</v>
      </c>
      <c r="D46" s="15">
        <v>3.2199999999999999E-2</v>
      </c>
      <c r="E46" s="32">
        <f t="shared" si="14"/>
        <v>0.11034482758620683</v>
      </c>
      <c r="F46" s="18">
        <f>IF(ISNUMBER(D46), $B64 * E46, "")</f>
        <v>16551.724137931025</v>
      </c>
      <c r="G46" s="31">
        <v>3.09E-2</v>
      </c>
      <c r="H46" s="32">
        <f t="shared" si="15"/>
        <v>6.5517241379310309E-2</v>
      </c>
      <c r="I46" s="91">
        <f>IF(ISNUMBER(G46), $B64 * H46, "")</f>
        <v>9827.5862068965471</v>
      </c>
      <c r="J46" s="15">
        <v>3.1699999999999999E-2</v>
      </c>
      <c r="K46" s="32">
        <f t="shared" si="16"/>
        <v>9.3103448275861977E-2</v>
      </c>
      <c r="L46" s="18">
        <f>IF(ISNUMBER(J46), $B64 * K46, "")</f>
        <v>13965.517241379297</v>
      </c>
      <c r="M46" s="31">
        <v>3.1300000000000001E-2</v>
      </c>
      <c r="N46" s="32">
        <f t="shared" si="17"/>
        <v>7.9310344827586199E-2</v>
      </c>
      <c r="O46" s="18">
        <f>IF(ISNUMBER(M46), $B64 * N46, "")</f>
        <v>11896.551724137929</v>
      </c>
      <c r="Q46" s="146"/>
      <c r="R46" s="146"/>
      <c r="S46" s="146"/>
    </row>
    <row r="47" spans="1:19" ht="17.25" customHeight="1" thickBot="1">
      <c r="A47" s="109" t="s">
        <v>132</v>
      </c>
      <c r="B47" s="110">
        <v>42.2</v>
      </c>
      <c r="C47" s="70">
        <v>2.6763990299999998E-2</v>
      </c>
      <c r="D47" s="15">
        <v>42.8</v>
      </c>
      <c r="E47" s="32">
        <f t="shared" si="14"/>
        <v>1.421800947867285E-2</v>
      </c>
      <c r="F47" s="18">
        <f>IF(ISNUMBER(D47), $B64 * E47, "")</f>
        <v>2132.7014218009276</v>
      </c>
      <c r="G47" s="31">
        <v>41.5</v>
      </c>
      <c r="H47" s="32">
        <f t="shared" si="15"/>
        <v>-1.6587677725118551E-2</v>
      </c>
      <c r="I47" s="91">
        <f>IF(ISNUMBER(G47), $B64 * H47, "")</f>
        <v>-2488.1516587677825</v>
      </c>
      <c r="J47" s="15">
        <v>42.2</v>
      </c>
      <c r="K47" s="32">
        <f t="shared" si="16"/>
        <v>0</v>
      </c>
      <c r="L47" s="18">
        <f>IF(ISNUMBER(J47), $B64 * K47, "")</f>
        <v>0</v>
      </c>
      <c r="M47" s="31">
        <v>41.6</v>
      </c>
      <c r="N47" s="32">
        <f t="shared" si="17"/>
        <v>-1.4218009478673018E-2</v>
      </c>
      <c r="O47" s="18">
        <f>IF(ISNUMBER(M47), $B64 * N47, "")</f>
        <v>-2132.7014218009526</v>
      </c>
      <c r="Q47" s="146"/>
      <c r="R47" s="146"/>
      <c r="S47" s="146"/>
    </row>
    <row r="48" spans="1:19" ht="17.25" customHeight="1" thickBot="1">
      <c r="A48" s="111" t="s">
        <v>253</v>
      </c>
      <c r="B48" s="112">
        <v>92.3</v>
      </c>
      <c r="C48" s="71">
        <v>2.3281596500000001E-2</v>
      </c>
      <c r="D48" s="20">
        <v>94.4</v>
      </c>
      <c r="E48" s="21">
        <f t="shared" si="14"/>
        <v>2.2751895991332705E-2</v>
      </c>
      <c r="F48" s="22">
        <f>IF(ISNUMBER(D48), $B64 * E48, "")</f>
        <v>3412.7843986999055</v>
      </c>
      <c r="G48" s="30">
        <v>92.9</v>
      </c>
      <c r="H48" s="21">
        <f t="shared" si="15"/>
        <v>6.5005417118094103E-3</v>
      </c>
      <c r="I48" s="95">
        <f>IF(ISNUMBER(G48), $B64 * H48, "")</f>
        <v>975.08125677141152</v>
      </c>
      <c r="J48" s="20">
        <v>93.9</v>
      </c>
      <c r="K48" s="21">
        <f t="shared" si="16"/>
        <v>1.7334777898158273E-2</v>
      </c>
      <c r="L48" s="22">
        <f>IF(ISNUMBER(J48), $B64 * K48, "")</f>
        <v>2600.2166847237409</v>
      </c>
      <c r="M48" s="30">
        <v>92.8</v>
      </c>
      <c r="N48" s="21">
        <f t="shared" si="17"/>
        <v>5.4171180931744311E-3</v>
      </c>
      <c r="O48" s="22">
        <f>IF(ISNUMBER(M48), $B64 * N48, "")</f>
        <v>812.56771397616467</v>
      </c>
      <c r="Q48" s="146"/>
      <c r="R48" s="146"/>
      <c r="S48" s="146"/>
    </row>
    <row r="49" spans="1:19" ht="17.25" customHeight="1" thickBot="1">
      <c r="A49" s="109" t="s">
        <v>324</v>
      </c>
      <c r="B49" s="113">
        <v>75</v>
      </c>
      <c r="C49" s="73">
        <v>2.1798365100000001E-2</v>
      </c>
      <c r="D49" s="96">
        <v>76.3</v>
      </c>
      <c r="E49" s="97">
        <f>IF(ISNUMBER(D49), (D49 - $B49) / $B49, "")</f>
        <v>1.7333333333333294E-2</v>
      </c>
      <c r="F49" s="98">
        <f>IF(ISNUMBER(D49), $B64 * E49, "")</f>
        <v>2599.9999999999941</v>
      </c>
      <c r="G49" s="99">
        <v>75.400000000000006</v>
      </c>
      <c r="H49" s="97">
        <f>IF(ISNUMBER(G49), (G49 - $B49) / $B49, "")</f>
        <v>5.3333333333334095E-3</v>
      </c>
      <c r="I49" s="100">
        <f>IF(ISNUMBER(G49), $B64 * H49, "")</f>
        <v>800.00000000001137</v>
      </c>
      <c r="J49" s="96">
        <v>75.400000000000006</v>
      </c>
      <c r="K49" s="97">
        <f>IF(ISNUMBER(J49), (J49 - $B49) / $B49, "")</f>
        <v>5.3333333333334095E-3</v>
      </c>
      <c r="L49" s="98">
        <f>IF(ISNUMBER(J49), $B64 * K49, "")</f>
        <v>800.00000000001137</v>
      </c>
      <c r="M49" s="99">
        <v>75.099999999999994</v>
      </c>
      <c r="N49" s="97">
        <f>IF(ISNUMBER(M49), (M49 - $B49) / $B49, "")</f>
        <v>1.3333333333332576E-3</v>
      </c>
      <c r="O49" s="98">
        <f>IF(ISNUMBER(M49), $B64 * N49, "")</f>
        <v>199.99999999998863</v>
      </c>
      <c r="Q49" s="146"/>
      <c r="R49" s="146"/>
      <c r="S49" s="146"/>
    </row>
    <row r="50" spans="1:19" ht="17.25" customHeight="1" thickBot="1">
      <c r="A50" s="109" t="s">
        <v>349</v>
      </c>
      <c r="B50" s="110">
        <v>20.8</v>
      </c>
      <c r="C50" s="70">
        <v>1.9607843100000001E-2</v>
      </c>
      <c r="D50" s="15">
        <v>21.3</v>
      </c>
      <c r="E50" s="32">
        <f t="shared" ref="E50:E53" si="18">IF(ISNUMBER(D50), (D50 - $B50) / $B50, "")</f>
        <v>2.4038461538461536E-2</v>
      </c>
      <c r="F50" s="18">
        <f>IF(ISNUMBER(D50), $B64 * E50, "")</f>
        <v>3605.7692307692305</v>
      </c>
      <c r="G50" s="31">
        <v>20.8</v>
      </c>
      <c r="H50" s="32">
        <f t="shared" ref="H50:H53" si="19">IF(ISNUMBER(G50), (G50 - $B50) / $B50, "")</f>
        <v>0</v>
      </c>
      <c r="I50" s="91">
        <f>IF(ISNUMBER(G50), $B64 * H50, "")</f>
        <v>0</v>
      </c>
      <c r="J50" s="15">
        <v>21.2</v>
      </c>
      <c r="K50" s="32">
        <f t="shared" ref="K50:K53" si="20">IF(ISNUMBER(J50), (J50 - $B50) / $B50, "")</f>
        <v>1.9230769230769162E-2</v>
      </c>
      <c r="L50" s="18">
        <f>IF(ISNUMBER(J50), $B64 * K50, "")</f>
        <v>2884.6153846153743</v>
      </c>
      <c r="M50" s="31">
        <v>20.7</v>
      </c>
      <c r="N50" s="32">
        <f t="shared" ref="N50:N53" si="21">IF(ISNUMBER(M50), (M50 - $B50) / $B50, "")</f>
        <v>-4.8076923076923756E-3</v>
      </c>
      <c r="O50" s="18">
        <f>IF(ISNUMBER(M50), $B64 * N50, "")</f>
        <v>-721.15384615385631</v>
      </c>
      <c r="Q50" s="146"/>
      <c r="R50" s="146"/>
      <c r="S50" s="146"/>
    </row>
    <row r="51" spans="1:19" ht="17.25" customHeight="1" thickBot="1">
      <c r="A51" s="109" t="s">
        <v>126</v>
      </c>
      <c r="B51" s="110">
        <v>21.6</v>
      </c>
      <c r="C51" s="70">
        <v>1.8867924500000001E-2</v>
      </c>
      <c r="D51" s="15">
        <v>21.7</v>
      </c>
      <c r="E51" s="32">
        <f t="shared" si="18"/>
        <v>4.6296296296295305E-3</v>
      </c>
      <c r="F51" s="18">
        <f>IF(ISNUMBER(D51), $B64 * E51, "")</f>
        <v>694.44444444442956</v>
      </c>
      <c r="G51" s="31">
        <v>21.3</v>
      </c>
      <c r="H51" s="32">
        <f t="shared" si="19"/>
        <v>-1.3888888888888921E-2</v>
      </c>
      <c r="I51" s="91">
        <f>IF(ISNUMBER(G51), $B64 * H51, "")</f>
        <v>-2083.333333333338</v>
      </c>
      <c r="J51" s="15">
        <v>21.6</v>
      </c>
      <c r="K51" s="32">
        <f t="shared" si="20"/>
        <v>0</v>
      </c>
      <c r="L51" s="18">
        <f>IF(ISNUMBER(J51), $B64 * K51, "")</f>
        <v>0</v>
      </c>
      <c r="M51" s="31">
        <v>21.4</v>
      </c>
      <c r="N51" s="32">
        <f t="shared" si="21"/>
        <v>-9.2592592592593906E-3</v>
      </c>
      <c r="O51" s="18">
        <f>IF(ISNUMBER(M51), $B64 * N51, "")</f>
        <v>-1388.8888888889087</v>
      </c>
      <c r="Q51" s="146"/>
      <c r="R51" s="146"/>
      <c r="S51" s="146"/>
    </row>
    <row r="52" spans="1:19" ht="17.25" customHeight="1" thickBot="1">
      <c r="A52" s="109" t="s">
        <v>124</v>
      </c>
      <c r="B52" s="110">
        <v>27.5</v>
      </c>
      <c r="C52" s="70">
        <v>1.8518518500000001E-2</v>
      </c>
      <c r="D52" s="15">
        <v>27.5</v>
      </c>
      <c r="E52" s="32">
        <f t="shared" si="18"/>
        <v>0</v>
      </c>
      <c r="F52" s="18">
        <f>IF(ISNUMBER(D52), $B64 * E52, "")</f>
        <v>0</v>
      </c>
      <c r="G52" s="31">
        <v>27.1</v>
      </c>
      <c r="H52" s="32">
        <f t="shared" si="19"/>
        <v>-1.4545454545454493E-2</v>
      </c>
      <c r="I52" s="91">
        <f>IF(ISNUMBER(G52), $B64 * H52, "")</f>
        <v>-2181.8181818181738</v>
      </c>
      <c r="J52" s="15">
        <v>27.7</v>
      </c>
      <c r="K52" s="32">
        <f t="shared" si="20"/>
        <v>7.2727272727272467E-3</v>
      </c>
      <c r="L52" s="18">
        <f>IF(ISNUMBER(J52), $B64 * K52, "")</f>
        <v>1090.9090909090869</v>
      </c>
      <c r="M52" s="31">
        <v>27.5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14" t="s">
        <v>185</v>
      </c>
      <c r="B53" s="115">
        <v>23.4</v>
      </c>
      <c r="C53" s="72">
        <v>1.73913043E-2</v>
      </c>
      <c r="D53" s="24">
        <v>23.8</v>
      </c>
      <c r="E53" s="25">
        <f t="shared" si="18"/>
        <v>1.7094017094017186E-2</v>
      </c>
      <c r="F53" s="94">
        <f>IF(ISNUMBER(D53), $B64 * E53, "")</f>
        <v>2564.1025641025781</v>
      </c>
      <c r="G53" s="92">
        <v>23.3</v>
      </c>
      <c r="H53" s="25">
        <f t="shared" si="19"/>
        <v>-4.2735042735041829E-3</v>
      </c>
      <c r="I53" s="93">
        <f>IF(ISNUMBER(G53), $B64 * H53, "")</f>
        <v>-641.02564102562746</v>
      </c>
      <c r="J53" s="24">
        <v>24.1</v>
      </c>
      <c r="K53" s="25">
        <f t="shared" si="20"/>
        <v>2.9914529914530037E-2</v>
      </c>
      <c r="L53" s="94">
        <f>IF(ISNUMBER(J53), $B64 * K53, "")</f>
        <v>4487.1794871795055</v>
      </c>
      <c r="M53" s="92">
        <v>23.3</v>
      </c>
      <c r="N53" s="25">
        <f t="shared" si="21"/>
        <v>-4.2735042735041829E-3</v>
      </c>
      <c r="O53" s="94">
        <f>IF(ISNUMBER(M53), $B64 * N53, "")</f>
        <v>-641.02564102562746</v>
      </c>
      <c r="Q53" s="147"/>
      <c r="R53" s="148"/>
      <c r="S53" s="149"/>
    </row>
    <row r="54" spans="1:19" ht="17.25" customHeight="1">
      <c r="A54" s="107" t="s">
        <v>333</v>
      </c>
      <c r="B54" s="108">
        <v>4.0199999999999996</v>
      </c>
      <c r="C54" s="69">
        <v>1.51515152E-2</v>
      </c>
      <c r="D54" s="13">
        <v>4.0599999999999996</v>
      </c>
      <c r="E54" s="14">
        <f>IF(ISNUMBER(D54), (D54 - $B54) / $B54, "")</f>
        <v>9.9502487562189157E-3</v>
      </c>
      <c r="F54" s="16">
        <f>IF(ISNUMBER(D54), $B64 * E54, "")</f>
        <v>1492.5373134328374</v>
      </c>
      <c r="G54" s="29">
        <v>4.4000000000000004</v>
      </c>
      <c r="H54" s="14">
        <f>IF(ISNUMBER(G54), (G54 - $B54) / $B54, "")</f>
        <v>9.452736318407981E-2</v>
      </c>
      <c r="I54" s="90">
        <f>IF(ISNUMBER(G54), $B64 * H54, "")</f>
        <v>14179.104477611971</v>
      </c>
      <c r="J54" s="13">
        <v>4.09</v>
      </c>
      <c r="K54" s="14">
        <f>IF(ISNUMBER(J54), (J54 - $B54) / $B54, "")</f>
        <v>1.7412935323383158E-2</v>
      </c>
      <c r="L54" s="16">
        <f>IF(ISNUMBER(J54), $B64 * K54, "")</f>
        <v>2611.9402985074735</v>
      </c>
      <c r="M54" s="29">
        <v>4.07</v>
      </c>
      <c r="N54" s="14">
        <f>IF(ISNUMBER(M54), (M54 - $B54) / $B54, "")</f>
        <v>1.2437810945273809E-2</v>
      </c>
      <c r="O54" s="16">
        <f>IF(ISNUMBER(M54), $B64 * N54, "")</f>
        <v>1865.6716417910714</v>
      </c>
      <c r="Q54" s="150"/>
      <c r="R54" s="151"/>
      <c r="S54" s="152"/>
    </row>
    <row r="55" spans="1:19" ht="17.25" customHeight="1" thickBot="1">
      <c r="A55" s="109" t="s">
        <v>227</v>
      </c>
      <c r="B55" s="110">
        <v>33.700000000000003</v>
      </c>
      <c r="C55" s="70">
        <v>1.5060241E-2</v>
      </c>
      <c r="D55" s="15">
        <v>35.5</v>
      </c>
      <c r="E55" s="32">
        <f t="shared" ref="E55:E58" si="22">IF(ISNUMBER(D55), (D55 - $B55) / $B55, "")</f>
        <v>5.3412462908011778E-2</v>
      </c>
      <c r="F55" s="18">
        <f>IF(ISNUMBER(D55), $B64 * E55, "")</f>
        <v>8011.8694362017668</v>
      </c>
      <c r="G55" s="31">
        <v>35.1</v>
      </c>
      <c r="H55" s="32">
        <f t="shared" ref="H55:H58" si="23">IF(ISNUMBER(G55), (G55 - $B55) / $B55, "")</f>
        <v>4.154302670623141E-2</v>
      </c>
      <c r="I55" s="91">
        <f>IF(ISNUMBER(G55), $B64 * H55, "")</f>
        <v>6231.4540059347119</v>
      </c>
      <c r="J55" s="15">
        <v>35.5</v>
      </c>
      <c r="K55" s="32">
        <f t="shared" ref="K55:K58" si="24">IF(ISNUMBER(J55), (J55 - $B55) / $B55, "")</f>
        <v>5.3412462908011778E-2</v>
      </c>
      <c r="L55" s="18">
        <f>IF(ISNUMBER(J55), $B64 * K55, "")</f>
        <v>8011.8694362017668</v>
      </c>
      <c r="M55" s="31">
        <v>35</v>
      </c>
      <c r="N55" s="32">
        <f t="shared" ref="N55:N58" si="25">IF(ISNUMBER(M55), (M55 - $B55) / $B55, "")</f>
        <v>3.857566765578626E-2</v>
      </c>
      <c r="O55" s="18">
        <f>IF(ISNUMBER(M55), $B64 * N55, "")</f>
        <v>5786.3501483679393</v>
      </c>
      <c r="Q55" s="153"/>
      <c r="R55" s="154"/>
      <c r="S55" s="155"/>
    </row>
    <row r="56" spans="1:19" ht="17.25" customHeight="1" thickBot="1">
      <c r="A56" s="109" t="s">
        <v>217</v>
      </c>
      <c r="B56" s="110">
        <v>55.3</v>
      </c>
      <c r="C56" s="70">
        <v>1.46788991E-2</v>
      </c>
      <c r="D56" s="15">
        <v>55.9</v>
      </c>
      <c r="E56" s="32">
        <f t="shared" si="22"/>
        <v>1.0849909584086825E-2</v>
      </c>
      <c r="F56" s="18">
        <f>IF(ISNUMBER(D56), $B64 * E56, "")</f>
        <v>1627.4864376130238</v>
      </c>
      <c r="G56" s="31">
        <v>54.9</v>
      </c>
      <c r="H56" s="32">
        <f t="shared" si="23"/>
        <v>-7.2332730560578408E-3</v>
      </c>
      <c r="I56" s="91">
        <f>IF(ISNUMBER(G56), $B64 * H56, "")</f>
        <v>-1084.9909584086761</v>
      </c>
      <c r="J56" s="15">
        <v>55.7</v>
      </c>
      <c r="K56" s="32">
        <f t="shared" si="24"/>
        <v>7.2332730560579692E-3</v>
      </c>
      <c r="L56" s="18">
        <f>IF(ISNUMBER(J56), $B64 * K56, "")</f>
        <v>1084.9909584086954</v>
      </c>
      <c r="M56" s="31">
        <v>55.9</v>
      </c>
      <c r="N56" s="32">
        <f t="shared" si="25"/>
        <v>1.0849909584086825E-2</v>
      </c>
      <c r="O56" s="18">
        <f>IF(ISNUMBER(M56), $B64 * N56, "")</f>
        <v>1627.4864376130238</v>
      </c>
      <c r="Q56" s="146"/>
      <c r="R56" s="146"/>
      <c r="S56" s="146"/>
    </row>
    <row r="57" spans="1:19" ht="17.25" customHeight="1" thickBot="1">
      <c r="A57" s="109" t="s">
        <v>122</v>
      </c>
      <c r="B57" s="110">
        <v>21</v>
      </c>
      <c r="C57" s="70">
        <v>1.44927536E-2</v>
      </c>
      <c r="D57" s="15">
        <v>21.3</v>
      </c>
      <c r="E57" s="32">
        <f t="shared" si="22"/>
        <v>1.428571428571432E-2</v>
      </c>
      <c r="F57" s="18">
        <f>IF(ISNUMBER(D57), $B64 * E57, "")</f>
        <v>2142.8571428571481</v>
      </c>
      <c r="G57" s="31">
        <v>20.8</v>
      </c>
      <c r="H57" s="32">
        <f t="shared" si="23"/>
        <v>-9.52380952380949E-3</v>
      </c>
      <c r="I57" s="91">
        <f>IF(ISNUMBER(G57), $B64 * H57, "")</f>
        <v>-1428.5714285714234</v>
      </c>
      <c r="J57" s="15">
        <v>21</v>
      </c>
      <c r="K57" s="32">
        <f t="shared" si="24"/>
        <v>0</v>
      </c>
      <c r="L57" s="18">
        <f>IF(ISNUMBER(J57), $B64 * K57, "")</f>
        <v>0</v>
      </c>
      <c r="M57" s="31">
        <v>20.8</v>
      </c>
      <c r="N57" s="32">
        <f t="shared" si="25"/>
        <v>-9.52380952380949E-3</v>
      </c>
      <c r="O57" s="18">
        <f>IF(ISNUMBER(M57), $B64 * N57, "")</f>
        <v>-1428.5714285714234</v>
      </c>
      <c r="Q57" s="156"/>
      <c r="R57" s="156"/>
      <c r="S57" s="156"/>
    </row>
    <row r="58" spans="1:19" ht="17.25" customHeight="1" thickBot="1">
      <c r="A58" s="111" t="s">
        <v>197</v>
      </c>
      <c r="B58" s="112">
        <v>5.62</v>
      </c>
      <c r="C58" s="71">
        <v>1.44404332E-2</v>
      </c>
      <c r="D58" s="20">
        <v>5.62</v>
      </c>
      <c r="E58" s="21">
        <f t="shared" si="22"/>
        <v>0</v>
      </c>
      <c r="F58" s="22">
        <f>IF(ISNUMBER(D58), $B64 * E58, "")</f>
        <v>0</v>
      </c>
      <c r="G58" s="30">
        <v>5.65</v>
      </c>
      <c r="H58" s="21">
        <f t="shared" si="23"/>
        <v>5.338078291814991E-3</v>
      </c>
      <c r="I58" s="95">
        <f>IF(ISNUMBER(G58), $B64 * H58, "")</f>
        <v>800.71174377224861</v>
      </c>
      <c r="J58" s="20">
        <v>5.83</v>
      </c>
      <c r="K58" s="21">
        <f t="shared" si="24"/>
        <v>3.7366548042704617E-2</v>
      </c>
      <c r="L58" s="22">
        <f>IF(ISNUMBER(J58), $B64 * K58, "")</f>
        <v>5604.9822064056925</v>
      </c>
      <c r="M58" s="30">
        <v>5.61</v>
      </c>
      <c r="N58" s="21">
        <f t="shared" si="25"/>
        <v>-1.7793594306049442E-3</v>
      </c>
      <c r="O58" s="22">
        <f>IF(ISNUMBER(M58), $B64 * N58, "")</f>
        <v>-266.90391459074164</v>
      </c>
      <c r="Q58" s="156"/>
      <c r="R58" s="156"/>
      <c r="S58" s="156"/>
    </row>
    <row r="59" spans="1:19" ht="17.25" customHeight="1" thickBot="1">
      <c r="A59" s="109" t="s">
        <v>207</v>
      </c>
      <c r="B59" s="113">
        <v>60.1</v>
      </c>
      <c r="C59" s="73">
        <v>1.34907251E-2</v>
      </c>
      <c r="D59" s="96">
        <v>59.4</v>
      </c>
      <c r="E59" s="97">
        <f>IF(ISNUMBER(D59), (D59 - $B59) / $B59, "")</f>
        <v>-1.1647254575707202E-2</v>
      </c>
      <c r="F59" s="98">
        <f>IF(ISNUMBER(D59), $B64 * E59, "")</f>
        <v>-1747.0881863560803</v>
      </c>
      <c r="G59" s="99">
        <v>58.5</v>
      </c>
      <c r="H59" s="97">
        <f>IF(ISNUMBER(G59), (G59 - $B59) / $B59, "")</f>
        <v>-2.6622296173044947E-2</v>
      </c>
      <c r="I59" s="100">
        <f>IF(ISNUMBER(G59), $B64 * H59, "")</f>
        <v>-3993.3444259567418</v>
      </c>
      <c r="J59" s="96">
        <v>60</v>
      </c>
      <c r="K59" s="97">
        <f>IF(ISNUMBER(J59), (J59 - $B59) / $B59, "")</f>
        <v>-1.6638935108153315E-3</v>
      </c>
      <c r="L59" s="98">
        <f>IF(ISNUMBER(J59), $B64 * K59, "")</f>
        <v>-249.58402662229972</v>
      </c>
      <c r="M59" s="99">
        <v>59.3</v>
      </c>
      <c r="N59" s="97">
        <f>IF(ISNUMBER(M59), (M59 - $B59) / $B59, "")</f>
        <v>-1.3311148086522534E-2</v>
      </c>
      <c r="O59" s="98">
        <f>IF(ISNUMBER(M59), $B64 * N59, "")</f>
        <v>-1996.67221297838</v>
      </c>
      <c r="Q59" s="146"/>
      <c r="R59" s="146"/>
      <c r="S59" s="146"/>
    </row>
    <row r="60" spans="1:19" ht="17.25" customHeight="1" thickBot="1">
      <c r="A60" s="109" t="s">
        <v>203</v>
      </c>
      <c r="B60" s="110">
        <v>3.01</v>
      </c>
      <c r="C60" s="70">
        <v>1.3468013500000001E-2</v>
      </c>
      <c r="D60" s="15">
        <v>3.02</v>
      </c>
      <c r="E60" s="32">
        <f t="shared" ref="E60:E63" si="26">IF(ISNUMBER(D60), (D60 - $B60) / $B60, "")</f>
        <v>3.3222591362127014E-3</v>
      </c>
      <c r="F60" s="18">
        <f>IF(ISNUMBER(D60), $B64 * E60, "")</f>
        <v>498.33887043190521</v>
      </c>
      <c r="G60" s="31">
        <v>2.98</v>
      </c>
      <c r="H60" s="32">
        <f t="shared" ref="H60:H63" si="27">IF(ISNUMBER(G60), (G60 - $B60) / $B60, "")</f>
        <v>-9.9667774086378089E-3</v>
      </c>
      <c r="I60" s="91">
        <f>IF(ISNUMBER(G60), $B64 * H60, "")</f>
        <v>-1495.0166112956713</v>
      </c>
      <c r="J60" s="15">
        <v>3.02</v>
      </c>
      <c r="K60" s="32">
        <f t="shared" ref="K60:K63" si="28">IF(ISNUMBER(J60), (J60 - $B60) / $B60, "")</f>
        <v>3.3222591362127014E-3</v>
      </c>
      <c r="L60" s="18">
        <f>IF(ISNUMBER(J60), $B64 * K60, "")</f>
        <v>498.33887043190521</v>
      </c>
      <c r="M60" s="31">
        <v>2.98</v>
      </c>
      <c r="N60" s="32">
        <f t="shared" ref="N60:N63" si="29">IF(ISNUMBER(M60), (M60 - $B60) / $B60, "")</f>
        <v>-9.9667774086378089E-3</v>
      </c>
      <c r="O60" s="18">
        <f>IF(ISNUMBER(M60), $B64 * N60, "")</f>
        <v>-1495.0166112956713</v>
      </c>
      <c r="Q60" s="146"/>
      <c r="R60" s="146"/>
      <c r="S60" s="146"/>
    </row>
    <row r="61" spans="1:19" ht="17.25" customHeight="1" thickBot="1">
      <c r="A61" s="109" t="s">
        <v>181</v>
      </c>
      <c r="B61" s="110">
        <v>3.9</v>
      </c>
      <c r="C61" s="70">
        <v>1.2987013E-2</v>
      </c>
      <c r="D61" s="15">
        <v>3.91</v>
      </c>
      <c r="E61" s="32">
        <f t="shared" si="26"/>
        <v>2.5641025641026235E-3</v>
      </c>
      <c r="F61" s="18">
        <f>IF(ISNUMBER(D61), $B64 * E61, "")</f>
        <v>384.61538461539351</v>
      </c>
      <c r="G61" s="31">
        <v>3.99</v>
      </c>
      <c r="H61" s="32">
        <f t="shared" si="27"/>
        <v>2.3076923076923155E-2</v>
      </c>
      <c r="I61" s="91">
        <f>IF(ISNUMBER(G61), $B64 * H61, "")</f>
        <v>3461.5384615384733</v>
      </c>
      <c r="J61" s="15">
        <v>3.96</v>
      </c>
      <c r="K61" s="32">
        <f t="shared" si="28"/>
        <v>1.5384615384615399E-2</v>
      </c>
      <c r="L61" s="18">
        <f>IF(ISNUMBER(J61), $B64 * K61, "")</f>
        <v>2307.6923076923099</v>
      </c>
      <c r="M61" s="31">
        <v>3.9</v>
      </c>
      <c r="N61" s="32">
        <f t="shared" si="29"/>
        <v>0</v>
      </c>
      <c r="O61" s="18">
        <f>IF(ISNUMBER(M61), $B64 * N61, "")</f>
        <v>0</v>
      </c>
      <c r="Q61" s="146"/>
      <c r="R61" s="146"/>
      <c r="S61" s="146"/>
    </row>
    <row r="62" spans="1:19" ht="17.25" customHeight="1">
      <c r="A62" s="109" t="s">
        <v>107</v>
      </c>
      <c r="B62" s="110">
        <v>34.1</v>
      </c>
      <c r="C62" s="70">
        <v>1.18694362E-2</v>
      </c>
      <c r="D62" s="15">
        <v>34.6</v>
      </c>
      <c r="E62" s="32">
        <f t="shared" si="26"/>
        <v>1.4662756598240468E-2</v>
      </c>
      <c r="F62" s="18">
        <f>IF(ISNUMBER(D62), $B64 * E62, "")</f>
        <v>2199.4134897360705</v>
      </c>
      <c r="G62" s="31">
        <v>34</v>
      </c>
      <c r="H62" s="32">
        <f t="shared" si="27"/>
        <v>-2.9325513196481355E-3</v>
      </c>
      <c r="I62" s="91">
        <f>IF(ISNUMBER(G62), $B64 * H62, "")</f>
        <v>-439.88269794722032</v>
      </c>
      <c r="J62" s="15">
        <v>34.700000000000003</v>
      </c>
      <c r="K62" s="32">
        <f t="shared" si="28"/>
        <v>1.7595307917888603E-2</v>
      </c>
      <c r="L62" s="18">
        <f>IF(ISNUMBER(J62), $B64 * K62, "")</f>
        <v>2639.2961876832906</v>
      </c>
      <c r="M62" s="31">
        <v>34.299999999999997</v>
      </c>
      <c r="N62" s="32">
        <f t="shared" si="29"/>
        <v>5.8651026392960628E-3</v>
      </c>
      <c r="O62" s="18">
        <f>IF(ISNUMBER(M62), $B64 * N62, "")</f>
        <v>879.76539589440938</v>
      </c>
      <c r="Q62" s="135"/>
      <c r="R62" s="136"/>
      <c r="S62" s="137"/>
    </row>
    <row r="63" spans="1:19" ht="17.25" customHeight="1" thickBot="1">
      <c r="A63" s="114" t="s">
        <v>195</v>
      </c>
      <c r="B63" s="115">
        <v>5.55</v>
      </c>
      <c r="C63" s="72">
        <v>1.09289617E-2</v>
      </c>
      <c r="D63" s="24">
        <v>5.6</v>
      </c>
      <c r="E63" s="25">
        <f t="shared" si="26"/>
        <v>9.0090090090089777E-3</v>
      </c>
      <c r="F63" s="94">
        <f>IF(ISNUMBER(D63), $B64 * E63, "")</f>
        <v>1351.3513513513467</v>
      </c>
      <c r="G63" s="92">
        <v>5.57</v>
      </c>
      <c r="H63" s="25">
        <f t="shared" si="27"/>
        <v>3.6036036036036869E-3</v>
      </c>
      <c r="I63" s="93">
        <f>IF(ISNUMBER(G63), $B64 * H63, "")</f>
        <v>540.54054054055302</v>
      </c>
      <c r="J63" s="24">
        <v>5.65</v>
      </c>
      <c r="K63" s="25">
        <f t="shared" si="28"/>
        <v>1.8018018018018115E-2</v>
      </c>
      <c r="L63" s="94">
        <f>IF(ISNUMBER(J63), $B64 * K63, "")</f>
        <v>2702.702702702717</v>
      </c>
      <c r="M63" s="92">
        <v>5.57</v>
      </c>
      <c r="N63" s="25">
        <f t="shared" si="29"/>
        <v>3.6036036036036869E-3</v>
      </c>
      <c r="O63" s="94">
        <f>IF(ISNUMBER(M63), $B64 * N63, "")</f>
        <v>540.54054054055302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1.6317159622067638E-2</v>
      </c>
      <c r="F64" s="28">
        <f>SUM(F44:F63)</f>
        <v>48951.478866202931</v>
      </c>
      <c r="G64" s="26" t="s">
        <v>258</v>
      </c>
      <c r="H64" s="27">
        <f>IF(COUNT(H44:H63), SUM(H44:H63) / COUNT(H44:H63), 0)</f>
        <v>6.0409129662661416E-3</v>
      </c>
      <c r="I64" s="28">
        <f>SUM(I44:I63)</f>
        <v>18122.738898798427</v>
      </c>
      <c r="J64" s="26" t="s">
        <v>258</v>
      </c>
      <c r="K64" s="27">
        <f>IF(COUNT(K44:K63), SUM(K44:K63) / COUNT(K44:K63), 0)</f>
        <v>1.6775460371977614E-2</v>
      </c>
      <c r="L64" s="28">
        <f>SUM(L44:L63)</f>
        <v>50326.381115932847</v>
      </c>
      <c r="M64" s="26" t="s">
        <v>258</v>
      </c>
      <c r="N64" s="27">
        <f>IF(COUNT(N44:N63), SUM(N44:N63) / COUNT(N44:N63), 0)</f>
        <v>3.5602855932908906E-3</v>
      </c>
      <c r="O64" s="28">
        <f>SUM(O44:O63)</f>
        <v>10680.856779872674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21539000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1.0224474E-3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2023-01-05(목) 오전 00:00</v>
      </c>
      <c r="C69" s="198"/>
      <c r="D69" s="170" t="str">
        <f>TEXT($G$1, "[$-ko-KR]yyyy-mm-dd(ddd) ") &amp; "오후 14:00"</f>
        <v>2023-01-05(목) 오후 14:00</v>
      </c>
      <c r="E69" s="171"/>
      <c r="F69" s="172"/>
      <c r="G69" s="170" t="str">
        <f>TEXT($G$1, "[$-ko-KR]yyyy-mm-dd(ddd) ") &amp; "오후 19:00"</f>
        <v>2023-01-05(목) 오후 19:00</v>
      </c>
      <c r="H69" s="171"/>
      <c r="I69" s="172"/>
      <c r="J69" s="170" t="str">
        <f>TEXT($G$1, "[$-ko-KR]yyyy-mm-dd(ddd) ") &amp; "오후 21:00"</f>
        <v>2023-01-05(목) 오후 21:00</v>
      </c>
      <c r="K69" s="171"/>
      <c r="L69" s="172"/>
      <c r="M69" s="170" t="str">
        <f>TEXT($G$1+1, "[$-ko-KR]yyyy-mm-dd(ddd) ") &amp; "오전 00:00"</f>
        <v>2023-01-06(금)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81</v>
      </c>
      <c r="B71" s="108">
        <v>339</v>
      </c>
      <c r="C71" s="69">
        <v>4.95356037E-2</v>
      </c>
      <c r="D71" s="13">
        <v>342</v>
      </c>
      <c r="E71" s="14">
        <f>IF(ISNUMBER(D71), (D71 - $B71) / $B71, "")</f>
        <v>8.8495575221238937E-3</v>
      </c>
      <c r="F71" s="16">
        <f>IF(ISNUMBER(D71), $B91 * E71, "")</f>
        <v>1327.4336283185839</v>
      </c>
      <c r="G71" s="29">
        <v>337</v>
      </c>
      <c r="H71" s="14">
        <f>IF(ISNUMBER(G71), (G71 - $B71) / $B71, "")</f>
        <v>-5.8997050147492625E-3</v>
      </c>
      <c r="I71" s="90">
        <f>IF(ISNUMBER(G71), $B91 * H71, "")</f>
        <v>-884.95575221238937</v>
      </c>
      <c r="J71" s="13">
        <v>339</v>
      </c>
      <c r="K71" s="14">
        <f>IF(ISNUMBER(J71), (J71 - $B71) / $B71, "")</f>
        <v>0</v>
      </c>
      <c r="L71" s="16">
        <f>IF(ISNUMBER(J71), $B91 * K71, "")</f>
        <v>0</v>
      </c>
      <c r="M71" s="29">
        <v>340</v>
      </c>
      <c r="N71" s="14">
        <f>IF(ISNUMBER(M71), (M71 - $B71) / $B71, "")</f>
        <v>2.9498525073746312E-3</v>
      </c>
      <c r="O71" s="16">
        <f>IF(ISNUMBER(M71), $B91 * N71, "")</f>
        <v>442.47787610619469</v>
      </c>
      <c r="Q71" s="156"/>
      <c r="R71" s="156"/>
      <c r="S71" s="156"/>
    </row>
    <row r="72" spans="1:19" ht="17.25" thickBot="1">
      <c r="A72" s="109" t="s">
        <v>130</v>
      </c>
      <c r="B72" s="110">
        <v>629</v>
      </c>
      <c r="C72" s="70">
        <v>4.1390728500000001E-2</v>
      </c>
      <c r="D72" s="15">
        <v>628</v>
      </c>
      <c r="E72" s="32">
        <f t="shared" ref="E72:E75" si="30">IF(ISNUMBER(D72), (D72 - $B72) / $B72, "")</f>
        <v>-1.589825119236884E-3</v>
      </c>
      <c r="F72" s="18">
        <f>IF(ISNUMBER(D72), $B91 * E72, "")</f>
        <v>-238.4737678855326</v>
      </c>
      <c r="G72" s="31">
        <v>617</v>
      </c>
      <c r="H72" s="32">
        <f t="shared" ref="H72:H75" si="31">IF(ISNUMBER(G72), (G72 - $B72) / $B72, "")</f>
        <v>-1.9077901430842606E-2</v>
      </c>
      <c r="I72" s="91">
        <f>IF(ISNUMBER(G72), $B91 * H72, "")</f>
        <v>-2861.6852146263909</v>
      </c>
      <c r="J72" s="15">
        <v>622</v>
      </c>
      <c r="K72" s="32">
        <f t="shared" ref="K72:K75" si="32">IF(ISNUMBER(J72), (J72 - $B72) / $B72, "")</f>
        <v>-1.1128775834658187E-2</v>
      </c>
      <c r="L72" s="18">
        <f>IF(ISNUMBER(J72), $B91 * K72, "")</f>
        <v>-1669.3163751987281</v>
      </c>
      <c r="M72" s="31">
        <v>620</v>
      </c>
      <c r="N72" s="32">
        <f t="shared" ref="N72:N75" si="33">IF(ISNUMBER(M72), (M72 - $B72) / $B72, "")</f>
        <v>-1.4308426073131956E-2</v>
      </c>
      <c r="O72" s="18">
        <f>IF(ISNUMBER(M72), $B91 * N72, "")</f>
        <v>-2146.2639109697934</v>
      </c>
      <c r="Q72" s="156"/>
      <c r="R72" s="156"/>
      <c r="S72" s="156"/>
    </row>
    <row r="73" spans="1:19" ht="17.25" thickBot="1">
      <c r="A73" s="109" t="s">
        <v>60</v>
      </c>
      <c r="B73" s="110">
        <v>412</v>
      </c>
      <c r="C73" s="70">
        <v>4.0404040400000001E-2</v>
      </c>
      <c r="D73" s="15">
        <v>425</v>
      </c>
      <c r="E73" s="32">
        <f t="shared" si="30"/>
        <v>3.1553398058252427E-2</v>
      </c>
      <c r="F73" s="18">
        <f>IF(ISNUMBER(D73), $B91 * E73, "")</f>
        <v>4733.0097087378645</v>
      </c>
      <c r="G73" s="31">
        <v>410</v>
      </c>
      <c r="H73" s="32">
        <f t="shared" si="31"/>
        <v>-4.8543689320388345E-3</v>
      </c>
      <c r="I73" s="91">
        <f>IF(ISNUMBER(G73), $B91 * H73, "")</f>
        <v>-728.15533980582518</v>
      </c>
      <c r="J73" s="15">
        <v>415</v>
      </c>
      <c r="K73" s="32">
        <f t="shared" si="32"/>
        <v>7.2815533980582527E-3</v>
      </c>
      <c r="L73" s="18">
        <f>IF(ISNUMBER(J73), $B91 * K73, "")</f>
        <v>1092.2330097087379</v>
      </c>
      <c r="M73" s="31">
        <v>410</v>
      </c>
      <c r="N73" s="32">
        <f t="shared" si="33"/>
        <v>-4.8543689320388345E-3</v>
      </c>
      <c r="O73" s="18">
        <f>IF(ISNUMBER(M73), $B91 * N73, "")</f>
        <v>-728.15533980582518</v>
      </c>
      <c r="Q73" s="146"/>
      <c r="R73" s="146"/>
      <c r="S73" s="146"/>
    </row>
    <row r="74" spans="1:19" ht="17.25" thickBot="1">
      <c r="A74" s="109" t="s">
        <v>157</v>
      </c>
      <c r="B74" s="110">
        <v>215</v>
      </c>
      <c r="C74" s="70">
        <v>3.3653846199999997E-2</v>
      </c>
      <c r="D74" s="15">
        <v>212</v>
      </c>
      <c r="E74" s="32">
        <f t="shared" si="30"/>
        <v>-1.3953488372093023E-2</v>
      </c>
      <c r="F74" s="18">
        <f>IF(ISNUMBER(D74), $B91 * E74, "")</f>
        <v>-2093.0232558139533</v>
      </c>
      <c r="G74" s="31">
        <v>211</v>
      </c>
      <c r="H74" s="32">
        <f t="shared" si="31"/>
        <v>-1.8604651162790697E-2</v>
      </c>
      <c r="I74" s="91">
        <f>IF(ISNUMBER(G74), $B91 * H74, "")</f>
        <v>-2790.6976744186045</v>
      </c>
      <c r="J74" s="15">
        <v>213</v>
      </c>
      <c r="K74" s="32">
        <f t="shared" si="32"/>
        <v>-9.3023255813953487E-3</v>
      </c>
      <c r="L74" s="18">
        <f>IF(ISNUMBER(J74), $B91 * K74, "")</f>
        <v>-1395.3488372093022</v>
      </c>
      <c r="M74" s="31">
        <v>214</v>
      </c>
      <c r="N74" s="32">
        <f t="shared" si="33"/>
        <v>-4.6511627906976744E-3</v>
      </c>
      <c r="O74" s="18">
        <f>IF(ISNUMBER(M74), $B91 * N74, "")</f>
        <v>-697.67441860465112</v>
      </c>
      <c r="Q74" s="146"/>
      <c r="R74" s="146"/>
      <c r="S74" s="146"/>
    </row>
    <row r="75" spans="1:19" ht="17.25" thickBot="1">
      <c r="A75" s="111" t="s">
        <v>105</v>
      </c>
      <c r="B75" s="112">
        <v>192</v>
      </c>
      <c r="C75" s="71">
        <v>3.2258064500000003E-2</v>
      </c>
      <c r="D75" s="20">
        <v>192</v>
      </c>
      <c r="E75" s="21">
        <f t="shared" si="30"/>
        <v>0</v>
      </c>
      <c r="F75" s="22">
        <f>IF(ISNUMBER(D75), $B91 * E75, "")</f>
        <v>0</v>
      </c>
      <c r="G75" s="30">
        <v>190</v>
      </c>
      <c r="H75" s="21">
        <f t="shared" si="31"/>
        <v>-1.0416666666666666E-2</v>
      </c>
      <c r="I75" s="95">
        <f>IF(ISNUMBER(G75), $B91 * H75, "")</f>
        <v>-1562.5</v>
      </c>
      <c r="J75" s="20">
        <v>193</v>
      </c>
      <c r="K75" s="21">
        <f t="shared" si="32"/>
        <v>5.208333333333333E-3</v>
      </c>
      <c r="L75" s="22">
        <f>IF(ISNUMBER(J75), $B91 * K75, "")</f>
        <v>781.25</v>
      </c>
      <c r="M75" s="30">
        <v>191</v>
      </c>
      <c r="N75" s="21">
        <f t="shared" si="33"/>
        <v>-5.208333333333333E-3</v>
      </c>
      <c r="O75" s="22">
        <f>IF(ISNUMBER(M75), $B91 * N75, "")</f>
        <v>-781.25</v>
      </c>
      <c r="Q75" s="146"/>
      <c r="R75" s="146"/>
      <c r="S75" s="146"/>
    </row>
    <row r="76" spans="1:19" ht="17.25" thickBot="1">
      <c r="A76" s="109" t="s">
        <v>111</v>
      </c>
      <c r="B76" s="113">
        <v>552</v>
      </c>
      <c r="C76" s="73">
        <v>3.1775700900000002E-2</v>
      </c>
      <c r="D76" s="96">
        <v>564</v>
      </c>
      <c r="E76" s="97">
        <f>IF(ISNUMBER(D76), (D76 - $B76) / $B76, "")</f>
        <v>2.1739130434782608E-2</v>
      </c>
      <c r="F76" s="98">
        <f>IF(ISNUMBER(D76), $B91 * E76, "")</f>
        <v>3260.869565217391</v>
      </c>
      <c r="G76" s="99">
        <v>546</v>
      </c>
      <c r="H76" s="97">
        <f>IF(ISNUMBER(G76), (G76 - $B76) / $B76, "")</f>
        <v>-1.0869565217391304E-2</v>
      </c>
      <c r="I76" s="100">
        <f>IF(ISNUMBER(G76), $B91 * H76, "")</f>
        <v>-1630.4347826086955</v>
      </c>
      <c r="J76" s="96">
        <v>552</v>
      </c>
      <c r="K76" s="97">
        <f>IF(ISNUMBER(J76), (J76 - $B76) / $B76, "")</f>
        <v>0</v>
      </c>
      <c r="L76" s="98">
        <f>IF(ISNUMBER(J76), $B91 * K76, "")</f>
        <v>0</v>
      </c>
      <c r="M76" s="99">
        <v>546</v>
      </c>
      <c r="N76" s="97">
        <f>IF(ISNUMBER(M76), (M76 - $B76) / $B76, "")</f>
        <v>-1.0869565217391304E-2</v>
      </c>
      <c r="O76" s="98">
        <f>IF(ISNUMBER(M76), $B91 * N76, "")</f>
        <v>-1630.4347826086955</v>
      </c>
      <c r="Q76" s="146"/>
      <c r="R76" s="146"/>
      <c r="S76" s="146"/>
    </row>
    <row r="77" spans="1:19" ht="17.25" thickBot="1">
      <c r="A77" s="109" t="s">
        <v>79</v>
      </c>
      <c r="B77" s="110">
        <v>229</v>
      </c>
      <c r="C77" s="70">
        <v>3.1531531500000001E-2</v>
      </c>
      <c r="D77" s="15">
        <v>232</v>
      </c>
      <c r="E77" s="32">
        <f t="shared" ref="E77:E80" si="34">IF(ISNUMBER(D77), (D77 - $B77) / $B77, "")</f>
        <v>1.3100436681222707E-2</v>
      </c>
      <c r="F77" s="18">
        <f>IF(ISNUMBER(D77), $B91 * E77, "")</f>
        <v>1965.0655021834061</v>
      </c>
      <c r="G77" s="31">
        <v>226</v>
      </c>
      <c r="H77" s="32">
        <f t="shared" ref="H77:H80" si="35">IF(ISNUMBER(G77), (G77 - $B77) / $B77, "")</f>
        <v>-1.3100436681222707E-2</v>
      </c>
      <c r="I77" s="91">
        <f>IF(ISNUMBER(G77), $B91 * H77, "")</f>
        <v>-1965.0655021834061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655.02183406113534</v>
      </c>
      <c r="M77" s="31">
        <v>226</v>
      </c>
      <c r="N77" s="32">
        <f t="shared" ref="N77:N80" si="37">IF(ISNUMBER(M77), (M77 - $B77) / $B77, "")</f>
        <v>-1.3100436681222707E-2</v>
      </c>
      <c r="O77" s="18">
        <f>IF(ISNUMBER(M77), $B91 * N77, "")</f>
        <v>-1965.0655021834061</v>
      </c>
      <c r="Q77" s="146"/>
      <c r="R77" s="146"/>
      <c r="S77" s="146"/>
    </row>
    <row r="78" spans="1:19" ht="17.25" thickBot="1">
      <c r="A78" s="109" t="s">
        <v>229</v>
      </c>
      <c r="B78" s="110">
        <v>235</v>
      </c>
      <c r="C78" s="70">
        <v>2.6200873400000001E-2</v>
      </c>
      <c r="D78" s="15">
        <v>235</v>
      </c>
      <c r="E78" s="32">
        <f t="shared" si="34"/>
        <v>0</v>
      </c>
      <c r="F78" s="18">
        <f>IF(ISNUMBER(D78), $B91 * E78, "")</f>
        <v>0</v>
      </c>
      <c r="G78" s="31">
        <v>232</v>
      </c>
      <c r="H78" s="32">
        <f t="shared" si="35"/>
        <v>-1.276595744680851E-2</v>
      </c>
      <c r="I78" s="91">
        <f>IF(ISNUMBER(G78), $B91 * H78, "")</f>
        <v>-1914.8936170212764</v>
      </c>
      <c r="J78" s="15">
        <v>233</v>
      </c>
      <c r="K78" s="32">
        <f t="shared" si="36"/>
        <v>-8.5106382978723406E-3</v>
      </c>
      <c r="L78" s="18">
        <f>IF(ISNUMBER(J78), $B91 * K78, "")</f>
        <v>-1276.5957446808511</v>
      </c>
      <c r="M78" s="31">
        <v>234</v>
      </c>
      <c r="N78" s="32">
        <f t="shared" si="37"/>
        <v>-4.2553191489361703E-3</v>
      </c>
      <c r="O78" s="18">
        <f>IF(ISNUMBER(M78), $B91 * N78, "")</f>
        <v>-638.29787234042556</v>
      </c>
      <c r="Q78" s="146"/>
      <c r="R78" s="146"/>
      <c r="S78" s="146"/>
    </row>
    <row r="79" spans="1:19" ht="17.25" thickBot="1">
      <c r="A79" s="109" t="s">
        <v>235</v>
      </c>
      <c r="B79" s="110">
        <v>516</v>
      </c>
      <c r="C79" s="70">
        <v>2.1782178199999998E-2</v>
      </c>
      <c r="D79" s="15">
        <v>516</v>
      </c>
      <c r="E79" s="32">
        <f t="shared" si="34"/>
        <v>0</v>
      </c>
      <c r="F79" s="18">
        <f>IF(ISNUMBER(D79), $B91 * E79, "")</f>
        <v>0</v>
      </c>
      <c r="G79" s="31">
        <v>511</v>
      </c>
      <c r="H79" s="32">
        <f t="shared" si="35"/>
        <v>-9.6899224806201549E-3</v>
      </c>
      <c r="I79" s="91">
        <f>IF(ISNUMBER(G79), $B91 * H79, "")</f>
        <v>-1453.4883720930231</v>
      </c>
      <c r="J79" s="15">
        <v>520</v>
      </c>
      <c r="K79" s="32">
        <f t="shared" si="36"/>
        <v>7.7519379844961239E-3</v>
      </c>
      <c r="L79" s="18">
        <f>IF(ISNUMBER(J79), $B91 * K79, "")</f>
        <v>1162.7906976744187</v>
      </c>
      <c r="M79" s="31">
        <v>521</v>
      </c>
      <c r="N79" s="32">
        <f t="shared" si="37"/>
        <v>9.6899224806201549E-3</v>
      </c>
      <c r="O79" s="18">
        <f>IF(ISNUMBER(M79), $B91 * N79, "")</f>
        <v>1453.4883720930231</v>
      </c>
      <c r="Q79" s="33"/>
      <c r="R79" s="33"/>
    </row>
    <row r="80" spans="1:19" ht="17.25" thickBot="1">
      <c r="A80" s="114" t="s">
        <v>109</v>
      </c>
      <c r="B80" s="115">
        <v>963</v>
      </c>
      <c r="C80" s="72">
        <v>2.1208907700000001E-2</v>
      </c>
      <c r="D80" s="24">
        <v>989</v>
      </c>
      <c r="E80" s="25">
        <f t="shared" si="34"/>
        <v>2.6998961578400829E-2</v>
      </c>
      <c r="F80" s="94">
        <f>IF(ISNUMBER(D80), $B91 * E80, "")</f>
        <v>4049.8442367601242</v>
      </c>
      <c r="G80" s="92">
        <v>962</v>
      </c>
      <c r="H80" s="25">
        <f t="shared" si="35"/>
        <v>-1.0384215991692627E-3</v>
      </c>
      <c r="I80" s="93">
        <f>IF(ISNUMBER(G80), $B91 * H80, "")</f>
        <v>-155.76323987538942</v>
      </c>
      <c r="J80" s="24">
        <v>971</v>
      </c>
      <c r="K80" s="25">
        <f t="shared" si="36"/>
        <v>8.3073727933541015E-3</v>
      </c>
      <c r="L80" s="94">
        <f>IF(ISNUMBER(J80), $B91 * K80, "")</f>
        <v>1246.1059190031153</v>
      </c>
      <c r="M80" s="92">
        <v>967</v>
      </c>
      <c r="N80" s="25">
        <f t="shared" si="37"/>
        <v>4.1536863966770508E-3</v>
      </c>
      <c r="O80" s="94">
        <f>IF(ISNUMBER(M80), $B91 * N80, "")</f>
        <v>623.05295950155767</v>
      </c>
      <c r="Q80" s="147"/>
      <c r="R80" s="148"/>
      <c r="S80" s="149"/>
    </row>
    <row r="81" spans="1:19">
      <c r="A81" s="107" t="s">
        <v>326</v>
      </c>
      <c r="B81" s="108">
        <v>241</v>
      </c>
      <c r="C81" s="69">
        <v>2.11864407E-2</v>
      </c>
      <c r="D81" s="13">
        <v>241</v>
      </c>
      <c r="E81" s="14">
        <f>IF(ISNUMBER(D81), (D81 - $B81) / $B81, "")</f>
        <v>0</v>
      </c>
      <c r="F81" s="16">
        <f>IF(ISNUMBER(D81), $B91 * E81, "")</f>
        <v>0</v>
      </c>
      <c r="G81" s="29">
        <v>236</v>
      </c>
      <c r="H81" s="14">
        <f>IF(ISNUMBER(G81), (G81 - $B81) / $B81, "")</f>
        <v>-2.0746887966804978E-2</v>
      </c>
      <c r="I81" s="90">
        <f>IF(ISNUMBER(G81), $B91 * H81, "")</f>
        <v>-3112.0331950207469</v>
      </c>
      <c r="J81" s="13">
        <v>238</v>
      </c>
      <c r="K81" s="14">
        <f>IF(ISNUMBER(J81), (J81 - $B81) / $B81, "")</f>
        <v>-1.2448132780082987E-2</v>
      </c>
      <c r="L81" s="16">
        <f>IF(ISNUMBER(J81), $B91 * K81, "")</f>
        <v>-1867.2199170124479</v>
      </c>
      <c r="M81" s="29">
        <v>236</v>
      </c>
      <c r="N81" s="14">
        <f>IF(ISNUMBER(M81), (M81 - $B81) / $B81, "")</f>
        <v>-2.0746887966804978E-2</v>
      </c>
      <c r="O81" s="16">
        <f>IF(ISNUMBER(M81), $B91 * N81, "")</f>
        <v>-3112.0331950207469</v>
      </c>
      <c r="Q81" s="150"/>
      <c r="R81" s="151"/>
      <c r="S81" s="152"/>
    </row>
    <row r="82" spans="1:19" ht="17.25" thickBot="1">
      <c r="A82" s="109" t="s">
        <v>101</v>
      </c>
      <c r="B82" s="110">
        <v>202</v>
      </c>
      <c r="C82" s="70">
        <v>2.02020202E-2</v>
      </c>
      <c r="D82" s="15">
        <v>204</v>
      </c>
      <c r="E82" s="32">
        <f t="shared" ref="E82:E85" si="38">IF(ISNUMBER(D82), (D82 - $B82) / $B82, "")</f>
        <v>9.9009900990099011E-3</v>
      </c>
      <c r="F82" s="18">
        <f>IF(ISNUMBER(D82), $B91 * E82, "")</f>
        <v>1485.1485148514851</v>
      </c>
      <c r="G82" s="31">
        <v>200</v>
      </c>
      <c r="H82" s="32">
        <f t="shared" ref="H82:H85" si="39">IF(ISNUMBER(G82), (G82 - $B82) / $B82, "")</f>
        <v>-9.9009900990099011E-3</v>
      </c>
      <c r="I82" s="91">
        <f>IF(ISNUMBER(G82), $B91 * H82, "")</f>
        <v>-1485.1485148514851</v>
      </c>
      <c r="J82" s="15">
        <v>203</v>
      </c>
      <c r="K82" s="32">
        <f t="shared" ref="K82:K85" si="40">IF(ISNUMBER(J82), (J82 - $B82) / $B82, "")</f>
        <v>4.9504950495049506E-3</v>
      </c>
      <c r="L82" s="18">
        <f>IF(ISNUMBER(J82), $B91 * K82, "")</f>
        <v>742.57425742574253</v>
      </c>
      <c r="M82" s="31">
        <v>201</v>
      </c>
      <c r="N82" s="32">
        <f t="shared" ref="N82:N85" si="41">IF(ISNUMBER(M82), (M82 - $B82) / $B82, "")</f>
        <v>-4.9504950495049506E-3</v>
      </c>
      <c r="O82" s="18">
        <f>IF(ISNUMBER(M82), $B91 * N82, "")</f>
        <v>-742.57425742574253</v>
      </c>
      <c r="Q82" s="153"/>
      <c r="R82" s="154"/>
      <c r="S82" s="155"/>
    </row>
    <row r="83" spans="1:19" ht="17.25" thickBot="1">
      <c r="A83" s="109" t="s">
        <v>103</v>
      </c>
      <c r="B83" s="110">
        <v>202</v>
      </c>
      <c r="C83" s="70">
        <v>2.02020202E-2</v>
      </c>
      <c r="D83" s="15">
        <v>205</v>
      </c>
      <c r="E83" s="32">
        <f t="shared" si="38"/>
        <v>1.4851485148514851E-2</v>
      </c>
      <c r="F83" s="18">
        <f>IF(ISNUMBER(D83), $B91 * E83, "")</f>
        <v>2227.7227722772277</v>
      </c>
      <c r="G83" s="31">
        <v>200</v>
      </c>
      <c r="H83" s="32">
        <f t="shared" si="39"/>
        <v>-9.9009900990099011E-3</v>
      </c>
      <c r="I83" s="91">
        <f>IF(ISNUMBER(G83), $B91 * H83, "")</f>
        <v>-1485.1485148514851</v>
      </c>
      <c r="J83" s="15">
        <v>202</v>
      </c>
      <c r="K83" s="32">
        <f t="shared" si="40"/>
        <v>0</v>
      </c>
      <c r="L83" s="18">
        <f>IF(ISNUMBER(J83), $B91 * K83, "")</f>
        <v>0</v>
      </c>
      <c r="M83" s="31">
        <v>199</v>
      </c>
      <c r="N83" s="32">
        <f t="shared" si="41"/>
        <v>-1.4851485148514851E-2</v>
      </c>
      <c r="O83" s="18">
        <f>IF(ISNUMBER(M83), $B91 * N83, "")</f>
        <v>-2227.7227722772277</v>
      </c>
      <c r="Q83" s="146"/>
      <c r="R83" s="146"/>
      <c r="S83" s="146"/>
    </row>
    <row r="84" spans="1:19" ht="17.25" thickBot="1">
      <c r="A84" s="109" t="s">
        <v>213</v>
      </c>
      <c r="B84" s="110">
        <v>414</v>
      </c>
      <c r="C84" s="70">
        <v>1.97044335E-2</v>
      </c>
      <c r="D84" s="15">
        <v>414</v>
      </c>
      <c r="E84" s="32">
        <f t="shared" si="38"/>
        <v>0</v>
      </c>
      <c r="F84" s="18">
        <f>IF(ISNUMBER(D84), $B91 * E84, "")</f>
        <v>0</v>
      </c>
      <c r="G84" s="31">
        <v>406</v>
      </c>
      <c r="H84" s="32">
        <f t="shared" si="39"/>
        <v>-1.932367149758454E-2</v>
      </c>
      <c r="I84" s="91">
        <f>IF(ISNUMBER(G84), $B91 * H84, "")</f>
        <v>-2898.550724637681</v>
      </c>
      <c r="J84" s="15">
        <v>411</v>
      </c>
      <c r="K84" s="32">
        <f t="shared" si="40"/>
        <v>-7.246376811594203E-3</v>
      </c>
      <c r="L84" s="18">
        <f>IF(ISNUMBER(J84), $B91 * K84, "")</f>
        <v>-1086.9565217391305</v>
      </c>
      <c r="M84" s="31">
        <v>414</v>
      </c>
      <c r="N84" s="32">
        <f t="shared" si="41"/>
        <v>0</v>
      </c>
      <c r="O84" s="18">
        <f>IF(ISNUMBER(M84), $B91 * N84, "")</f>
        <v>0</v>
      </c>
      <c r="Q84" s="156"/>
      <c r="R84" s="156"/>
      <c r="S84" s="156"/>
    </row>
    <row r="85" spans="1:19" ht="17.25" thickBot="1">
      <c r="A85" s="111" t="s">
        <v>149</v>
      </c>
      <c r="B85" s="112">
        <v>319</v>
      </c>
      <c r="C85" s="71">
        <v>1.91693291E-2</v>
      </c>
      <c r="D85" s="20">
        <v>328</v>
      </c>
      <c r="E85" s="21">
        <f t="shared" si="38"/>
        <v>2.8213166144200628E-2</v>
      </c>
      <c r="F85" s="22">
        <f>IF(ISNUMBER(D85), $B91 * E85, "")</f>
        <v>4231.9749216300943</v>
      </c>
      <c r="G85" s="30">
        <v>318</v>
      </c>
      <c r="H85" s="21">
        <f t="shared" si="39"/>
        <v>-3.134796238244514E-3</v>
      </c>
      <c r="I85" s="95">
        <f>IF(ISNUMBER(G85), $B91 * H85, "")</f>
        <v>-470.2194357366771</v>
      </c>
      <c r="J85" s="20">
        <v>320</v>
      </c>
      <c r="K85" s="21">
        <f t="shared" si="40"/>
        <v>3.134796238244514E-3</v>
      </c>
      <c r="L85" s="22">
        <f>IF(ISNUMBER(J85), $B91 * K85, "")</f>
        <v>470.2194357366771</v>
      </c>
      <c r="M85" s="30">
        <v>318</v>
      </c>
      <c r="N85" s="21">
        <f t="shared" si="41"/>
        <v>-3.134796238244514E-3</v>
      </c>
      <c r="O85" s="22">
        <f>IF(ISNUMBER(M85), $B91 * N85, "")</f>
        <v>-470.2194357366771</v>
      </c>
      <c r="Q85" s="156"/>
      <c r="R85" s="156"/>
      <c r="S85" s="156"/>
    </row>
    <row r="86" spans="1:19" ht="17.25" thickBot="1">
      <c r="A86" s="109" t="s">
        <v>153</v>
      </c>
      <c r="B86" s="113">
        <v>329</v>
      </c>
      <c r="C86" s="73">
        <v>1.8575851399999999E-2</v>
      </c>
      <c r="D86" s="96">
        <v>333</v>
      </c>
      <c r="E86" s="97">
        <f>IF(ISNUMBER(D86), (D86 - $B86) / $B86, "")</f>
        <v>1.2158054711246201E-2</v>
      </c>
      <c r="F86" s="98">
        <f>IF(ISNUMBER(D86), $B91 * E86, "")</f>
        <v>1823.70820668693</v>
      </c>
      <c r="G86" s="99">
        <v>325</v>
      </c>
      <c r="H86" s="97">
        <f>IF(ISNUMBER(G86), (G86 - $B86) / $B86, "")</f>
        <v>-1.2158054711246201E-2</v>
      </c>
      <c r="I86" s="100">
        <f>IF(ISNUMBER(G86), $B91 * H86, "")</f>
        <v>-1823.70820668693</v>
      </c>
      <c r="J86" s="96">
        <v>329</v>
      </c>
      <c r="K86" s="97">
        <f>IF(ISNUMBER(J86), (J86 - $B86) / $B86, "")</f>
        <v>0</v>
      </c>
      <c r="L86" s="98">
        <f>IF(ISNUMBER(J86), $B91 * K86, "")</f>
        <v>0</v>
      </c>
      <c r="M86" s="99">
        <v>326</v>
      </c>
      <c r="N86" s="97">
        <f>IF(ISNUMBER(M86), (M86 - $B86) / $B86, "")</f>
        <v>-9.11854103343465E-3</v>
      </c>
      <c r="O86" s="98">
        <f>IF(ISNUMBER(M86), $B91 * N86, "")</f>
        <v>-1367.7811550151976</v>
      </c>
      <c r="Q86" s="146"/>
      <c r="R86" s="146"/>
      <c r="S86" s="146"/>
    </row>
    <row r="87" spans="1:19" ht="17.25" thickBot="1">
      <c r="A87" s="109" t="s">
        <v>223</v>
      </c>
      <c r="B87" s="110">
        <v>191</v>
      </c>
      <c r="C87" s="70">
        <v>1.59574468E-2</v>
      </c>
      <c r="D87" s="15">
        <v>191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188</v>
      </c>
      <c r="H87" s="32">
        <f t="shared" ref="H87:H90" si="43">IF(ISNUMBER(G87), (G87 - $B87) / $B87, "")</f>
        <v>-1.5706806282722512E-2</v>
      </c>
      <c r="I87" s="91">
        <f>IF(ISNUMBER(G87), $B91 * H87, "")</f>
        <v>-2356.0209424083769</v>
      </c>
      <c r="J87" s="15">
        <v>190</v>
      </c>
      <c r="K87" s="32">
        <f t="shared" ref="K87:K90" si="44">IF(ISNUMBER(J87), (J87 - $B87) / $B87, "")</f>
        <v>-5.235602094240838E-3</v>
      </c>
      <c r="L87" s="18">
        <f>IF(ISNUMBER(J87), $B91 * K87, "")</f>
        <v>-785.3403141361257</v>
      </c>
      <c r="M87" s="31">
        <v>191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146"/>
      <c r="R87" s="146"/>
      <c r="S87" s="146"/>
    </row>
    <row r="88" spans="1:19" ht="17.25" thickBot="1">
      <c r="A88" s="109" t="s">
        <v>95</v>
      </c>
      <c r="B88" s="110">
        <v>979</v>
      </c>
      <c r="C88" s="70">
        <v>1.5560166E-2</v>
      </c>
      <c r="D88" s="15">
        <v>990</v>
      </c>
      <c r="E88" s="32">
        <f t="shared" si="42"/>
        <v>1.1235955056179775E-2</v>
      </c>
      <c r="F88" s="18">
        <f>IF(ISNUMBER(D88), $B91 * E88, "")</f>
        <v>1685.3932584269662</v>
      </c>
      <c r="G88" s="31">
        <v>964</v>
      </c>
      <c r="H88" s="32">
        <f t="shared" si="43"/>
        <v>-1.5321756894790603E-2</v>
      </c>
      <c r="I88" s="91">
        <f>IF(ISNUMBER(G88), $B91 * H88, "")</f>
        <v>-2298.2635342185904</v>
      </c>
      <c r="J88" s="15">
        <v>969</v>
      </c>
      <c r="K88" s="32">
        <f t="shared" si="44"/>
        <v>-1.0214504596527068E-2</v>
      </c>
      <c r="L88" s="18">
        <f>IF(ISNUMBER(J88), $B91 * K88, "")</f>
        <v>-1532.1756894790603</v>
      </c>
      <c r="M88" s="31">
        <v>963</v>
      </c>
      <c r="N88" s="32">
        <f t="shared" si="45"/>
        <v>-1.634320735444331E-2</v>
      </c>
      <c r="O88" s="18">
        <f>IF(ISNUMBER(M88), $B91 * N88, "")</f>
        <v>-2451.4811031664967</v>
      </c>
      <c r="Q88" s="146"/>
      <c r="R88" s="146"/>
      <c r="S88" s="146"/>
    </row>
    <row r="89" spans="1:19">
      <c r="A89" s="109" t="s">
        <v>330</v>
      </c>
      <c r="B89" s="110">
        <v>266</v>
      </c>
      <c r="C89" s="70">
        <v>1.52671756E-2</v>
      </c>
      <c r="D89" s="15">
        <v>269</v>
      </c>
      <c r="E89" s="32">
        <f t="shared" si="42"/>
        <v>1.1278195488721804E-2</v>
      </c>
      <c r="F89" s="18">
        <f>IF(ISNUMBER(D89), $B91 * E89, "")</f>
        <v>1691.7293233082705</v>
      </c>
      <c r="G89" s="31">
        <v>263</v>
      </c>
      <c r="H89" s="32">
        <f t="shared" si="43"/>
        <v>-1.1278195488721804E-2</v>
      </c>
      <c r="I89" s="91">
        <f>IF(ISNUMBER(G89), $B91 * H89, "")</f>
        <v>-1691.7293233082705</v>
      </c>
      <c r="J89" s="15">
        <v>266</v>
      </c>
      <c r="K89" s="32">
        <f t="shared" si="44"/>
        <v>0</v>
      </c>
      <c r="L89" s="18">
        <f>IF(ISNUMBER(J89), $B91 * K89, "")</f>
        <v>0</v>
      </c>
      <c r="M89" s="31">
        <v>266</v>
      </c>
      <c r="N89" s="32">
        <f t="shared" si="45"/>
        <v>0</v>
      </c>
      <c r="O89" s="18">
        <f>IF(ISNUMBER(M89), $B91 * N89, "")</f>
        <v>0</v>
      </c>
      <c r="Q89" s="135"/>
      <c r="R89" s="136"/>
      <c r="S89" s="137"/>
    </row>
    <row r="90" spans="1:19" ht="17.25" thickBot="1">
      <c r="A90" s="114" t="s">
        <v>85</v>
      </c>
      <c r="B90" s="115">
        <v>134</v>
      </c>
      <c r="C90" s="72">
        <v>1.51515152E-2</v>
      </c>
      <c r="D90" s="24">
        <v>146</v>
      </c>
      <c r="E90" s="25">
        <f t="shared" si="42"/>
        <v>8.9552238805970144E-2</v>
      </c>
      <c r="F90" s="94">
        <f>IF(ISNUMBER(D90), $B91 * E90, "")</f>
        <v>13432.835820895521</v>
      </c>
      <c r="G90" s="92">
        <v>141</v>
      </c>
      <c r="H90" s="25">
        <f t="shared" si="43"/>
        <v>5.2238805970149252E-2</v>
      </c>
      <c r="I90" s="93">
        <f>IF(ISNUMBER(G90), $B91 * H90, "")</f>
        <v>7835.8208955223881</v>
      </c>
      <c r="J90" s="24">
        <v>142</v>
      </c>
      <c r="K90" s="25">
        <f t="shared" si="44"/>
        <v>5.9701492537313432E-2</v>
      </c>
      <c r="L90" s="94">
        <f>IF(ISNUMBER(J90), $B91 * K90, "")</f>
        <v>8955.2238805970155</v>
      </c>
      <c r="M90" s="92">
        <v>141</v>
      </c>
      <c r="N90" s="25">
        <f t="shared" si="45"/>
        <v>5.2238805970149252E-2</v>
      </c>
      <c r="O90" s="94">
        <f>IF(ISNUMBER(M90), $B91 * N90, "")</f>
        <v>7835.8208955223881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1.3194412811864792E-2</v>
      </c>
      <c r="F91" s="28">
        <f>SUM(F71:F90)</f>
        <v>39583.23843559438</v>
      </c>
      <c r="G91" s="26" t="s">
        <v>258</v>
      </c>
      <c r="H91" s="27">
        <f>IF(COUNT(H71:H90), SUM(H71:H90) / COUNT(H71:H90), 0)</f>
        <v>-8.5775469970142855E-3</v>
      </c>
      <c r="I91" s="28">
        <f>SUM(I71:I90)</f>
        <v>-25732.640991042848</v>
      </c>
      <c r="J91" s="26" t="s">
        <v>258</v>
      </c>
      <c r="K91" s="27">
        <f>IF(COUNT(K71:K90), SUM(K71:K90) / COUNT(K71:K90), 0)</f>
        <v>1.8308218782503987E-3</v>
      </c>
      <c r="L91" s="28">
        <f>SUM(L71:L90)</f>
        <v>5492.4656347511964</v>
      </c>
      <c r="M91" s="26" t="s">
        <v>258</v>
      </c>
      <c r="N91" s="27">
        <f>IF(COUNT(N71:N90), SUM(N71:N90) / COUNT(N71:N90), 0)</f>
        <v>-2.868037880643908E-3</v>
      </c>
      <c r="O91" s="28">
        <f>SUM(O71:O90)</f>
        <v>-8604.1136419317227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21539000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1.0224474E-3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2023-01-05(목) 오전 00:00</v>
      </c>
      <c r="C96" s="198"/>
      <c r="D96" s="170" t="str">
        <f>TEXT($G$1, "[$-ko-KR]yyyy-mm-dd(ddd) ") &amp; "오후 14:00"</f>
        <v>2023-01-05(목) 오후 14:00</v>
      </c>
      <c r="E96" s="171"/>
      <c r="F96" s="172"/>
      <c r="G96" s="170" t="str">
        <f>TEXT($G$1, "[$-ko-KR]yyyy-mm-dd(ddd) ") &amp; "오후 19:00"</f>
        <v>2023-01-05(목) 오후 19:00</v>
      </c>
      <c r="H96" s="171"/>
      <c r="I96" s="172"/>
      <c r="J96" s="170" t="str">
        <f>TEXT($G$1, "[$-ko-KR]yyyy-mm-dd(ddd) ") &amp; "오후 21:00"</f>
        <v>2023-01-05(목) 오후 21:00</v>
      </c>
      <c r="K96" s="171"/>
      <c r="L96" s="172"/>
      <c r="M96" s="170" t="str">
        <f>TEXT($G$1+1, "[$-ko-KR]yyyy-mm-dd(ddd) ") &amp; "오전 00:00"</f>
        <v>2023-01-06(금)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335</v>
      </c>
      <c r="B98" s="108">
        <v>1990</v>
      </c>
      <c r="C98" s="69">
        <v>0.16715542520000001</v>
      </c>
      <c r="D98" s="13">
        <v>2045</v>
      </c>
      <c r="E98" s="14">
        <f>IF(ISNUMBER(D98), (D98 - $B98) / $B98, "")</f>
        <v>2.7638190954773871E-2</v>
      </c>
      <c r="F98" s="16">
        <f>IF(ISNUMBER(D98), $B118 * E98, "")</f>
        <v>4145.7286432160809</v>
      </c>
      <c r="G98" s="29">
        <v>1970</v>
      </c>
      <c r="H98" s="14">
        <f>IF(ISNUMBER(G98), (G98 - $B98) / $B98, "")</f>
        <v>-1.0050251256281407E-2</v>
      </c>
      <c r="I98" s="90">
        <f>IF(ISNUMBER(G98), $B118 * H98, "")</f>
        <v>-1507.537688442211</v>
      </c>
      <c r="J98" s="13">
        <v>2000</v>
      </c>
      <c r="K98" s="14">
        <f>IF(ISNUMBER(J98), (J98 - $B98) / $B98, "")</f>
        <v>5.0251256281407036E-3</v>
      </c>
      <c r="L98" s="16">
        <f>IF(ISNUMBER(J98), $B118 * K98, "")</f>
        <v>753.7688442211055</v>
      </c>
      <c r="M98" s="29">
        <v>1965</v>
      </c>
      <c r="N98" s="14">
        <f>IF(ISNUMBER(M98), (M98 - $B98) / $B98, "")</f>
        <v>-1.2562814070351759E-2</v>
      </c>
      <c r="O98" s="16">
        <f>IF(ISNUMBER(M98), $B118 * N98, "")</f>
        <v>-1884.422110552764</v>
      </c>
      <c r="Q98" s="156"/>
      <c r="R98" s="156"/>
      <c r="S98" s="156"/>
    </row>
    <row r="99" spans="1:19" ht="17.25" thickBot="1">
      <c r="A99" s="109" t="s">
        <v>99</v>
      </c>
      <c r="B99" s="110">
        <v>23250</v>
      </c>
      <c r="C99" s="70">
        <v>0.13970588240000001</v>
      </c>
      <c r="D99" s="15">
        <v>24870</v>
      </c>
      <c r="E99" s="32">
        <f t="shared" ref="E99:E102" si="46">IF(ISNUMBER(D99), (D99 - $B99) / $B99, "")</f>
        <v>6.9677419354838704E-2</v>
      </c>
      <c r="F99" s="18">
        <f>IF(ISNUMBER(D99), $B118 * E99, "")</f>
        <v>10451.612903225805</v>
      </c>
      <c r="G99" s="31">
        <v>23760</v>
      </c>
      <c r="H99" s="32">
        <f t="shared" ref="H99:H102" si="47">IF(ISNUMBER(G99), (G99 - $B99) / $B99, "")</f>
        <v>2.1935483870967741E-2</v>
      </c>
      <c r="I99" s="91">
        <f>IF(ISNUMBER(G99), $B118 * H99, "")</f>
        <v>3290.322580645161</v>
      </c>
      <c r="J99" s="15">
        <v>23880</v>
      </c>
      <c r="K99" s="32">
        <f t="shared" ref="K99:K102" si="48">IF(ISNUMBER(J99), (J99 - $B99) / $B99, "")</f>
        <v>2.7096774193548386E-2</v>
      </c>
      <c r="L99" s="18">
        <f>IF(ISNUMBER(J99), $B118 * K99, "")</f>
        <v>4064.516129032258</v>
      </c>
      <c r="M99" s="31">
        <v>23640</v>
      </c>
      <c r="N99" s="32">
        <f t="shared" ref="N99:N102" si="49">IF(ISNUMBER(M99), (M99 - $B99) / $B99, "")</f>
        <v>1.6774193548387096E-2</v>
      </c>
      <c r="O99" s="18">
        <f>IF(ISNUMBER(M99), $B118 * N99, "")</f>
        <v>2516.1290322580644</v>
      </c>
      <c r="Q99" s="156"/>
      <c r="R99" s="156"/>
      <c r="S99" s="156"/>
    </row>
    <row r="100" spans="1:19" ht="17.25" thickBot="1">
      <c r="A100" s="109" t="s">
        <v>97</v>
      </c>
      <c r="B100" s="110">
        <v>8.9999999999999998E-4</v>
      </c>
      <c r="C100" s="70">
        <v>0.125</v>
      </c>
      <c r="D100" s="15">
        <v>8.9999999999999998E-4</v>
      </c>
      <c r="E100" s="32">
        <f t="shared" si="46"/>
        <v>0</v>
      </c>
      <c r="F100" s="18">
        <f>IF(ISNUMBER(D100), $B118 * E100, "")</f>
        <v>0</v>
      </c>
      <c r="G100" s="31">
        <v>8.9999999999999998E-4</v>
      </c>
      <c r="H100" s="32">
        <f t="shared" si="47"/>
        <v>0</v>
      </c>
      <c r="I100" s="91">
        <f>IF(ISNUMBER(G100), $B118 * H100, "")</f>
        <v>0</v>
      </c>
      <c r="J100" s="15">
        <v>8.9999999999999998E-4</v>
      </c>
      <c r="K100" s="32">
        <f t="shared" si="48"/>
        <v>0</v>
      </c>
      <c r="L100" s="18">
        <f>IF(ISNUMBER(J100), $B118 * K100, "")</f>
        <v>0</v>
      </c>
      <c r="M100" s="31">
        <v>8.9999999999999998E-4</v>
      </c>
      <c r="N100" s="32">
        <f t="shared" si="49"/>
        <v>0</v>
      </c>
      <c r="O100" s="18">
        <f>IF(ISNUMBER(M100), $B118 * N100, "")</f>
        <v>0</v>
      </c>
      <c r="Q100" s="146"/>
      <c r="R100" s="146"/>
      <c r="S100" s="146"/>
    </row>
    <row r="101" spans="1:19" ht="17.25" thickBot="1">
      <c r="A101" s="109" t="s">
        <v>91</v>
      </c>
      <c r="B101" s="110">
        <v>16460</v>
      </c>
      <c r="C101" s="70">
        <v>7.8636959399999998E-2</v>
      </c>
      <c r="D101" s="15">
        <v>17800</v>
      </c>
      <c r="E101" s="32">
        <f t="shared" si="46"/>
        <v>8.1409477521263665E-2</v>
      </c>
      <c r="F101" s="18">
        <f>IF(ISNUMBER(D101), $B118 * E101, "")</f>
        <v>12211.42162818955</v>
      </c>
      <c r="G101" s="31">
        <v>17400</v>
      </c>
      <c r="H101" s="32">
        <f t="shared" si="47"/>
        <v>5.7108140947752128E-2</v>
      </c>
      <c r="I101" s="91">
        <f>IF(ISNUMBER(G101), $B118 * H101, "")</f>
        <v>8566.2211421628199</v>
      </c>
      <c r="J101" s="15">
        <v>17770</v>
      </c>
      <c r="K101" s="32">
        <f t="shared" si="48"/>
        <v>7.9586877278250298E-2</v>
      </c>
      <c r="L101" s="18">
        <f>IF(ISNUMBER(J101), $B118 * K101, "")</f>
        <v>11938.031591737545</v>
      </c>
      <c r="M101" s="31">
        <v>17320</v>
      </c>
      <c r="N101" s="32">
        <f t="shared" si="49"/>
        <v>5.2247873633049821E-2</v>
      </c>
      <c r="O101" s="18">
        <f>IF(ISNUMBER(M101), $B118 * N101, "")</f>
        <v>7837.1810449574732</v>
      </c>
      <c r="Q101" s="146"/>
      <c r="R101" s="146"/>
      <c r="S101" s="146"/>
    </row>
    <row r="102" spans="1:19" ht="17.25" thickBot="1">
      <c r="A102" s="111" t="s">
        <v>337</v>
      </c>
      <c r="B102" s="112">
        <v>72830</v>
      </c>
      <c r="C102" s="71">
        <v>7.3239021500000001E-2</v>
      </c>
      <c r="D102" s="20">
        <v>71550</v>
      </c>
      <c r="E102" s="21">
        <f t="shared" si="46"/>
        <v>-1.7575175065220376E-2</v>
      </c>
      <c r="F102" s="22">
        <f>IF(ISNUMBER(D102), $B118 * E102, "")</f>
        <v>-2636.2762597830565</v>
      </c>
      <c r="G102" s="30">
        <v>70420</v>
      </c>
      <c r="H102" s="21">
        <f t="shared" si="47"/>
        <v>-3.3090759302485243E-2</v>
      </c>
      <c r="I102" s="95">
        <f>IF(ISNUMBER(G102), $B118 * H102, "")</f>
        <v>-4963.6138953727868</v>
      </c>
      <c r="J102" s="20">
        <v>71000</v>
      </c>
      <c r="K102" s="21">
        <f t="shared" si="48"/>
        <v>-2.5127008101057256E-2</v>
      </c>
      <c r="L102" s="22">
        <f>IF(ISNUMBER(J102), $B118 * K102, "")</f>
        <v>-3769.0512151585885</v>
      </c>
      <c r="M102" s="30">
        <v>70860</v>
      </c>
      <c r="N102" s="21">
        <f t="shared" si="49"/>
        <v>-2.7049292873815734E-2</v>
      </c>
      <c r="O102" s="22">
        <f>IF(ISNUMBER(M102), $B118 * N102, "")</f>
        <v>-4057.3939310723599</v>
      </c>
      <c r="Q102" s="146"/>
      <c r="R102" s="146"/>
      <c r="S102" s="146"/>
    </row>
    <row r="103" spans="1:19" ht="17.25" thickBot="1">
      <c r="A103" s="109" t="s">
        <v>151</v>
      </c>
      <c r="B103" s="113">
        <v>1800</v>
      </c>
      <c r="C103" s="73">
        <v>4.9562682199999999E-2</v>
      </c>
      <c r="D103" s="96">
        <v>1810</v>
      </c>
      <c r="E103" s="97">
        <f>IF(ISNUMBER(D103), (D103 - $B103) / $B103, "")</f>
        <v>5.5555555555555558E-3</v>
      </c>
      <c r="F103" s="98">
        <f>IF(ISNUMBER(D103), $B118 * E103, "")</f>
        <v>833.33333333333337</v>
      </c>
      <c r="G103" s="99">
        <v>1755</v>
      </c>
      <c r="H103" s="97">
        <f>IF(ISNUMBER(G103), (G103 - $B103) / $B103, "")</f>
        <v>-2.5000000000000001E-2</v>
      </c>
      <c r="I103" s="100">
        <f>IF(ISNUMBER(G103), $B118 * H103, "")</f>
        <v>-3750</v>
      </c>
      <c r="J103" s="96">
        <v>1770</v>
      </c>
      <c r="K103" s="97">
        <f>IF(ISNUMBER(J103), (J103 - $B103) / $B103, "")</f>
        <v>-1.6666666666666666E-2</v>
      </c>
      <c r="L103" s="98">
        <f>IF(ISNUMBER(J103), $B118 * K103, "")</f>
        <v>-2500</v>
      </c>
      <c r="M103" s="99">
        <v>1765</v>
      </c>
      <c r="N103" s="97">
        <f>IF(ISNUMBER(M103), (M103 - $B103) / $B103, "")</f>
        <v>-1.9444444444444445E-2</v>
      </c>
      <c r="O103" s="98">
        <f>IF(ISNUMBER(M103), $B118 * N103, "")</f>
        <v>-2916.6666666666665</v>
      </c>
      <c r="Q103" s="146"/>
      <c r="R103" s="146"/>
      <c r="S103" s="146"/>
    </row>
    <row r="104" spans="1:19" ht="17.25" thickBot="1">
      <c r="A104" s="109" t="s">
        <v>81</v>
      </c>
      <c r="B104" s="110">
        <v>339</v>
      </c>
      <c r="C104" s="70">
        <v>4.95356037E-2</v>
      </c>
      <c r="D104" s="15">
        <v>342</v>
      </c>
      <c r="E104" s="32">
        <f t="shared" ref="E104:E107" si="50">IF(ISNUMBER(D104), (D104 - $B104) / $B104, "")</f>
        <v>8.8495575221238937E-3</v>
      </c>
      <c r="F104" s="18">
        <f>IF(ISNUMBER(D104), $B118 * E104, "")</f>
        <v>1327.4336283185839</v>
      </c>
      <c r="G104" s="31">
        <v>337</v>
      </c>
      <c r="H104" s="32">
        <f t="shared" ref="H104:H107" si="51">IF(ISNUMBER(G104), (G104 - $B104) / $B104, "")</f>
        <v>-5.8997050147492625E-3</v>
      </c>
      <c r="I104" s="91">
        <f>IF(ISNUMBER(G104), $B118 * H104, "")</f>
        <v>-884.95575221238937</v>
      </c>
      <c r="J104" s="15">
        <v>339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340</v>
      </c>
      <c r="N104" s="32">
        <f t="shared" ref="N104:N107" si="53">IF(ISNUMBER(M104), (M104 - $B104) / $B104, "")</f>
        <v>2.9498525073746312E-3</v>
      </c>
      <c r="O104" s="18">
        <f>IF(ISNUMBER(M104), $B118 * N104, "")</f>
        <v>442.47787610619469</v>
      </c>
      <c r="Q104" s="146"/>
      <c r="R104" s="146"/>
      <c r="S104" s="146"/>
    </row>
    <row r="105" spans="1:19" ht="17.25" thickBot="1">
      <c r="A105" s="109" t="s">
        <v>130</v>
      </c>
      <c r="B105" s="110">
        <v>629</v>
      </c>
      <c r="C105" s="70">
        <v>4.1390728500000001E-2</v>
      </c>
      <c r="D105" s="15">
        <v>628</v>
      </c>
      <c r="E105" s="32">
        <f t="shared" si="50"/>
        <v>-1.589825119236884E-3</v>
      </c>
      <c r="F105" s="18">
        <f>IF(ISNUMBER(D105), $B118 * E105, "")</f>
        <v>-238.4737678855326</v>
      </c>
      <c r="G105" s="31">
        <v>617</v>
      </c>
      <c r="H105" s="32">
        <f t="shared" si="51"/>
        <v>-1.9077901430842606E-2</v>
      </c>
      <c r="I105" s="91">
        <f>IF(ISNUMBER(G105), $B118 * H105, "")</f>
        <v>-2861.6852146263909</v>
      </c>
      <c r="J105" s="15">
        <v>622</v>
      </c>
      <c r="K105" s="32">
        <f t="shared" si="52"/>
        <v>-1.1128775834658187E-2</v>
      </c>
      <c r="L105" s="18">
        <f>IF(ISNUMBER(J105), $B118 * K105, "")</f>
        <v>-1669.3163751987281</v>
      </c>
      <c r="M105" s="31">
        <v>620</v>
      </c>
      <c r="N105" s="32">
        <f t="shared" si="53"/>
        <v>-1.4308426073131956E-2</v>
      </c>
      <c r="O105" s="18">
        <f>IF(ISNUMBER(M105), $B118 * N105, "")</f>
        <v>-2146.2639109697934</v>
      </c>
      <c r="Q105" s="146"/>
      <c r="R105" s="146"/>
      <c r="S105" s="146"/>
    </row>
    <row r="106" spans="1:19" ht="17.25" thickBot="1">
      <c r="A106" s="109" t="s">
        <v>60</v>
      </c>
      <c r="B106" s="110">
        <v>412</v>
      </c>
      <c r="C106" s="70">
        <v>4.0404040400000001E-2</v>
      </c>
      <c r="D106" s="15">
        <v>425</v>
      </c>
      <c r="E106" s="32">
        <f t="shared" si="50"/>
        <v>3.1553398058252427E-2</v>
      </c>
      <c r="F106" s="18">
        <f>IF(ISNUMBER(D106), $B118 * E106, "")</f>
        <v>4733.0097087378645</v>
      </c>
      <c r="G106" s="31">
        <v>410</v>
      </c>
      <c r="H106" s="32">
        <f t="shared" si="51"/>
        <v>-4.8543689320388345E-3</v>
      </c>
      <c r="I106" s="91">
        <f>IF(ISNUMBER(G106), $B118 * H106, "")</f>
        <v>-728.15533980582518</v>
      </c>
      <c r="J106" s="15">
        <v>415</v>
      </c>
      <c r="K106" s="32">
        <f t="shared" si="52"/>
        <v>7.2815533980582527E-3</v>
      </c>
      <c r="L106" s="18">
        <f>IF(ISNUMBER(J106), $B118 * K106, "")</f>
        <v>1092.2330097087379</v>
      </c>
      <c r="M106" s="31">
        <v>410</v>
      </c>
      <c r="N106" s="32">
        <f t="shared" si="53"/>
        <v>-4.8543689320388345E-3</v>
      </c>
      <c r="O106" s="18">
        <f>IF(ISNUMBER(M106), $B118 * N106, "")</f>
        <v>-728.15533980582518</v>
      </c>
      <c r="Q106" s="33"/>
      <c r="R106" s="33"/>
    </row>
    <row r="107" spans="1:19" ht="17.25" thickBot="1">
      <c r="A107" s="114" t="s">
        <v>347</v>
      </c>
      <c r="B107" s="115">
        <v>15180</v>
      </c>
      <c r="C107" s="72">
        <v>3.9726027400000002E-2</v>
      </c>
      <c r="D107" s="24">
        <v>15490</v>
      </c>
      <c r="E107" s="25">
        <f t="shared" si="50"/>
        <v>2.0421607378129116E-2</v>
      </c>
      <c r="F107" s="94">
        <f>IF(ISNUMBER(D107), $B118 * E107, "")</f>
        <v>3063.2411067193675</v>
      </c>
      <c r="G107" s="92">
        <v>15150</v>
      </c>
      <c r="H107" s="25">
        <f t="shared" si="51"/>
        <v>-1.976284584980237E-3</v>
      </c>
      <c r="I107" s="93">
        <f>IF(ISNUMBER(G107), $B118 * H107, "")</f>
        <v>-296.44268774703556</v>
      </c>
      <c r="J107" s="24">
        <v>15200</v>
      </c>
      <c r="K107" s="25">
        <f t="shared" si="52"/>
        <v>1.3175230566534915E-3</v>
      </c>
      <c r="L107" s="94">
        <f>IF(ISNUMBER(J107), $B118 * K107, "")</f>
        <v>197.62845849802372</v>
      </c>
      <c r="M107" s="92">
        <v>15050</v>
      </c>
      <c r="N107" s="25">
        <f t="shared" si="53"/>
        <v>-8.563899868247694E-3</v>
      </c>
      <c r="O107" s="94">
        <f>IF(ISNUMBER(M107), $B118 * N107, "")</f>
        <v>-1284.584980237154</v>
      </c>
      <c r="Q107" s="147"/>
      <c r="R107" s="148"/>
      <c r="S107" s="149"/>
    </row>
    <row r="108" spans="1:19">
      <c r="A108" s="107" t="s">
        <v>138</v>
      </c>
      <c r="B108" s="108">
        <v>21</v>
      </c>
      <c r="C108" s="69">
        <v>3.9603960399999999E-2</v>
      </c>
      <c r="D108" s="13">
        <v>21.2</v>
      </c>
      <c r="E108" s="14">
        <f>IF(ISNUMBER(D108), (D108 - $B108) / $B108, "")</f>
        <v>9.52380952380949E-3</v>
      </c>
      <c r="F108" s="16">
        <f>IF(ISNUMBER(D108), $B118 * E108, "")</f>
        <v>1428.5714285714234</v>
      </c>
      <c r="G108" s="29">
        <v>20.6</v>
      </c>
      <c r="H108" s="14">
        <f>IF(ISNUMBER(G108), (G108 - $B108) / $B108, "")</f>
        <v>-1.904761904761898E-2</v>
      </c>
      <c r="I108" s="90">
        <f>IF(ISNUMBER(G108), $B118 * H108, "")</f>
        <v>-2857.1428571428469</v>
      </c>
      <c r="J108" s="13">
        <v>20.9</v>
      </c>
      <c r="K108" s="14">
        <f>IF(ISNUMBER(J108), (J108 - $B108) / $B108, "")</f>
        <v>-4.76190476190483E-3</v>
      </c>
      <c r="L108" s="16">
        <f>IF(ISNUMBER(J108), $B118 * K108, "")</f>
        <v>-714.28571428572445</v>
      </c>
      <c r="M108" s="29">
        <v>20.6</v>
      </c>
      <c r="N108" s="14">
        <f>IF(ISNUMBER(M108), (M108 - $B108) / $B108, "")</f>
        <v>-1.904761904761898E-2</v>
      </c>
      <c r="O108" s="16">
        <f>IF(ISNUMBER(M108), $B118 * N108, "")</f>
        <v>-2857.1428571428469</v>
      </c>
      <c r="Q108" s="150"/>
      <c r="R108" s="151"/>
      <c r="S108" s="152"/>
    </row>
    <row r="109" spans="1:19" ht="17.25" thickBot="1">
      <c r="A109" s="109" t="s">
        <v>157</v>
      </c>
      <c r="B109" s="110">
        <v>215</v>
      </c>
      <c r="C109" s="70">
        <v>3.3653846199999997E-2</v>
      </c>
      <c r="D109" s="15">
        <v>212</v>
      </c>
      <c r="E109" s="32">
        <f t="shared" ref="E109:E112" si="54">IF(ISNUMBER(D109), (D109 - $B109) / $B109, "")</f>
        <v>-1.3953488372093023E-2</v>
      </c>
      <c r="F109" s="18">
        <f>IF(ISNUMBER(D109), $B118 * E109, "")</f>
        <v>-2093.0232558139533</v>
      </c>
      <c r="G109" s="31">
        <v>211</v>
      </c>
      <c r="H109" s="32">
        <f t="shared" ref="H109:H112" si="55">IF(ISNUMBER(G109), (G109 - $B109) / $B109, "")</f>
        <v>-1.8604651162790697E-2</v>
      </c>
      <c r="I109" s="91">
        <f>IF(ISNUMBER(G109), $B118 * H109, "")</f>
        <v>-2790.6976744186045</v>
      </c>
      <c r="J109" s="15">
        <v>213</v>
      </c>
      <c r="K109" s="32">
        <f t="shared" ref="K109:K112" si="56">IF(ISNUMBER(J109), (J109 - $B109) / $B109, "")</f>
        <v>-9.3023255813953487E-3</v>
      </c>
      <c r="L109" s="18">
        <f>IF(ISNUMBER(J109), $B118 * K109, "")</f>
        <v>-1395.3488372093022</v>
      </c>
      <c r="M109" s="31">
        <v>214</v>
      </c>
      <c r="N109" s="32">
        <f t="shared" ref="N109:N112" si="57">IF(ISNUMBER(M109), (M109 - $B109) / $B109, "")</f>
        <v>-4.6511627906976744E-3</v>
      </c>
      <c r="O109" s="18">
        <f>IF(ISNUMBER(M109), $B118 * N109, "")</f>
        <v>-697.67441860465112</v>
      </c>
      <c r="Q109" s="153"/>
      <c r="R109" s="154"/>
      <c r="S109" s="155"/>
    </row>
    <row r="110" spans="1:19" ht="17.25" thickBot="1">
      <c r="A110" s="109" t="s">
        <v>105</v>
      </c>
      <c r="B110" s="110">
        <v>192</v>
      </c>
      <c r="C110" s="70">
        <v>3.2258064500000003E-2</v>
      </c>
      <c r="D110" s="15">
        <v>192</v>
      </c>
      <c r="E110" s="32">
        <f t="shared" si="54"/>
        <v>0</v>
      </c>
      <c r="F110" s="18">
        <f>IF(ISNUMBER(D110), $B118 * E110, "")</f>
        <v>0</v>
      </c>
      <c r="G110" s="31">
        <v>190</v>
      </c>
      <c r="H110" s="32">
        <f t="shared" si="55"/>
        <v>-1.0416666666666666E-2</v>
      </c>
      <c r="I110" s="91">
        <f>IF(ISNUMBER(G110), $B118 * H110, "")</f>
        <v>-1562.5</v>
      </c>
      <c r="J110" s="15">
        <v>193</v>
      </c>
      <c r="K110" s="32">
        <f t="shared" si="56"/>
        <v>5.208333333333333E-3</v>
      </c>
      <c r="L110" s="18">
        <f>IF(ISNUMBER(J110), $B118 * K110, "")</f>
        <v>781.25</v>
      </c>
      <c r="M110" s="31">
        <v>191</v>
      </c>
      <c r="N110" s="32">
        <f t="shared" si="57"/>
        <v>-5.208333333333333E-3</v>
      </c>
      <c r="O110" s="18">
        <f>IF(ISNUMBER(M110), $B118 * N110, "")</f>
        <v>-781.25</v>
      </c>
      <c r="Q110" s="146"/>
      <c r="R110" s="146"/>
      <c r="S110" s="146"/>
    </row>
    <row r="111" spans="1:19" ht="17.25" thickBot="1">
      <c r="A111" s="109" t="s">
        <v>323</v>
      </c>
      <c r="B111" s="110">
        <v>2.9000000000000001E-2</v>
      </c>
      <c r="C111" s="70">
        <v>3.2028469800000001E-2</v>
      </c>
      <c r="D111" s="15">
        <v>3.2199999999999999E-2</v>
      </c>
      <c r="E111" s="32">
        <f t="shared" si="54"/>
        <v>0.11034482758620683</v>
      </c>
      <c r="F111" s="18">
        <f>IF(ISNUMBER(D111), $B118 * E111, "")</f>
        <v>16551.724137931025</v>
      </c>
      <c r="G111" s="31">
        <v>3.09E-2</v>
      </c>
      <c r="H111" s="32">
        <f t="shared" si="55"/>
        <v>6.5517241379310309E-2</v>
      </c>
      <c r="I111" s="91">
        <f>IF(ISNUMBER(G111), $B118 * H111, "")</f>
        <v>9827.5862068965471</v>
      </c>
      <c r="J111" s="15">
        <v>3.1699999999999999E-2</v>
      </c>
      <c r="K111" s="32">
        <f t="shared" si="56"/>
        <v>9.3103448275861977E-2</v>
      </c>
      <c r="L111" s="18">
        <f>IF(ISNUMBER(J111), $B118 * K111, "")</f>
        <v>13965.517241379297</v>
      </c>
      <c r="M111" s="31">
        <v>3.1300000000000001E-2</v>
      </c>
      <c r="N111" s="32">
        <f t="shared" si="57"/>
        <v>7.9310344827586199E-2</v>
      </c>
      <c r="O111" s="18">
        <f>IF(ISNUMBER(M111), $B118 * N111, "")</f>
        <v>11896.551724137929</v>
      </c>
      <c r="Q111" s="156"/>
      <c r="R111" s="156"/>
      <c r="S111" s="156"/>
    </row>
    <row r="112" spans="1:19" ht="17.25" thickBot="1">
      <c r="A112" s="111" t="s">
        <v>111</v>
      </c>
      <c r="B112" s="112">
        <v>552</v>
      </c>
      <c r="C112" s="71">
        <v>3.1775700900000002E-2</v>
      </c>
      <c r="D112" s="20">
        <v>564</v>
      </c>
      <c r="E112" s="21">
        <f t="shared" si="54"/>
        <v>2.1739130434782608E-2</v>
      </c>
      <c r="F112" s="22">
        <f>IF(ISNUMBER(D112), $B118 * E112, "")</f>
        <v>3260.869565217391</v>
      </c>
      <c r="G112" s="30">
        <v>546</v>
      </c>
      <c r="H112" s="21">
        <f t="shared" si="55"/>
        <v>-1.0869565217391304E-2</v>
      </c>
      <c r="I112" s="95">
        <f>IF(ISNUMBER(G112), $B118 * H112, "")</f>
        <v>-1630.4347826086955</v>
      </c>
      <c r="J112" s="20">
        <v>552</v>
      </c>
      <c r="K112" s="21">
        <f t="shared" si="56"/>
        <v>0</v>
      </c>
      <c r="L112" s="22">
        <f>IF(ISNUMBER(J112), $B118 * K112, "")</f>
        <v>0</v>
      </c>
      <c r="M112" s="30">
        <v>546</v>
      </c>
      <c r="N112" s="21">
        <f t="shared" si="57"/>
        <v>-1.0869565217391304E-2</v>
      </c>
      <c r="O112" s="22">
        <f>IF(ISNUMBER(M112), $B118 * N112, "")</f>
        <v>-1630.4347826086955</v>
      </c>
      <c r="Q112" s="156"/>
      <c r="R112" s="156"/>
      <c r="S112" s="156"/>
    </row>
    <row r="113" spans="1:19" ht="17.25" thickBot="1">
      <c r="A113" s="109" t="s">
        <v>328</v>
      </c>
      <c r="B113" s="113">
        <v>5050</v>
      </c>
      <c r="C113" s="73">
        <v>3.16649642E-2</v>
      </c>
      <c r="D113" s="96">
        <v>4855</v>
      </c>
      <c r="E113" s="97">
        <f>IF(ISNUMBER(D113), (D113 - $B113) / $B113, "")</f>
        <v>-3.8613861386138613E-2</v>
      </c>
      <c r="F113" s="98">
        <f>IF(ISNUMBER(D113), $B118 * E113, "")</f>
        <v>-5792.0792079207922</v>
      </c>
      <c r="G113" s="99">
        <v>4740</v>
      </c>
      <c r="H113" s="97">
        <f>IF(ISNUMBER(G113), (G113 - $B113) / $B113, "")</f>
        <v>-6.1386138613861385E-2</v>
      </c>
      <c r="I113" s="100">
        <f>IF(ISNUMBER(G113), $B118 * H113, "")</f>
        <v>-9207.9207920792069</v>
      </c>
      <c r="J113" s="96">
        <v>4775</v>
      </c>
      <c r="K113" s="97">
        <f>IF(ISNUMBER(J113), (J113 - $B113) / $B113, "")</f>
        <v>-5.4455445544554455E-2</v>
      </c>
      <c r="L113" s="98">
        <f>IF(ISNUMBER(J113), $B118 * K113, "")</f>
        <v>-8168.3168316831679</v>
      </c>
      <c r="M113" s="99">
        <v>4730</v>
      </c>
      <c r="N113" s="97">
        <f>IF(ISNUMBER(M113), (M113 - $B113) / $B113, "")</f>
        <v>-6.3366336633663367E-2</v>
      </c>
      <c r="O113" s="98">
        <f>IF(ISNUMBER(M113), $B118 * N113, "")</f>
        <v>-9504.9504950495048</v>
      </c>
      <c r="Q113" s="146"/>
      <c r="R113" s="146"/>
      <c r="S113" s="146"/>
    </row>
    <row r="114" spans="1:19" ht="17.25" thickBot="1">
      <c r="A114" s="109" t="s">
        <v>79</v>
      </c>
      <c r="B114" s="110">
        <v>229</v>
      </c>
      <c r="C114" s="70">
        <v>3.1531531500000001E-2</v>
      </c>
      <c r="D114" s="15">
        <v>232</v>
      </c>
      <c r="E114" s="32">
        <f t="shared" ref="E114:E117" si="58">IF(ISNUMBER(D114), (D114 - $B114) / $B114, "")</f>
        <v>1.3100436681222707E-2</v>
      </c>
      <c r="F114" s="18">
        <f>IF(ISNUMBER(D114), $B118 * E114, "")</f>
        <v>1965.0655021834061</v>
      </c>
      <c r="G114" s="31">
        <v>226</v>
      </c>
      <c r="H114" s="32">
        <f t="shared" ref="H114:H117" si="59">IF(ISNUMBER(G114), (G114 - $B114) / $B114, "")</f>
        <v>-1.3100436681222707E-2</v>
      </c>
      <c r="I114" s="91">
        <f>IF(ISNUMBER(G114), $B118 * H114, "")</f>
        <v>-1965.0655021834061</v>
      </c>
      <c r="J114" s="15">
        <v>230</v>
      </c>
      <c r="K114" s="32">
        <f t="shared" ref="K114:K117" si="60">IF(ISNUMBER(J114), (J114 - $B114) / $B114, "")</f>
        <v>4.3668122270742356E-3</v>
      </c>
      <c r="L114" s="18">
        <f>IF(ISNUMBER(J114), $B118 * K114, "")</f>
        <v>655.02183406113534</v>
      </c>
      <c r="M114" s="31">
        <v>226</v>
      </c>
      <c r="N114" s="32">
        <f t="shared" ref="N114:N117" si="61">IF(ISNUMBER(M114), (M114 - $B114) / $B114, "")</f>
        <v>-1.3100436681222707E-2</v>
      </c>
      <c r="O114" s="18">
        <f>IF(ISNUMBER(M114), $B118 * N114, "")</f>
        <v>-1965.0655021834061</v>
      </c>
      <c r="Q114" s="146"/>
      <c r="R114" s="146"/>
      <c r="S114" s="146"/>
    </row>
    <row r="115" spans="1:19" ht="17.25" thickBot="1">
      <c r="A115" s="109" t="s">
        <v>172</v>
      </c>
      <c r="B115" s="110">
        <v>2495</v>
      </c>
      <c r="C115" s="70">
        <v>2.8865979399999998E-2</v>
      </c>
      <c r="D115" s="15">
        <v>2525</v>
      </c>
      <c r="E115" s="32">
        <f t="shared" si="58"/>
        <v>1.2024048096192385E-2</v>
      </c>
      <c r="F115" s="18">
        <f>IF(ISNUMBER(D115), $B118 * E115, "")</f>
        <v>1803.6072144288578</v>
      </c>
      <c r="G115" s="31">
        <v>2450</v>
      </c>
      <c r="H115" s="32">
        <f t="shared" si="59"/>
        <v>-1.8036072144288578E-2</v>
      </c>
      <c r="I115" s="91">
        <f>IF(ISNUMBER(G115), $B118 * H115, "")</f>
        <v>-2705.4108216432865</v>
      </c>
      <c r="J115" s="15">
        <v>2470</v>
      </c>
      <c r="K115" s="32">
        <f t="shared" si="60"/>
        <v>-1.002004008016032E-2</v>
      </c>
      <c r="L115" s="18">
        <f>IF(ISNUMBER(J115), $B118 * K115, "")</f>
        <v>-1503.006012024048</v>
      </c>
      <c r="M115" s="31">
        <v>2470</v>
      </c>
      <c r="N115" s="32">
        <f t="shared" si="61"/>
        <v>-1.002004008016032E-2</v>
      </c>
      <c r="O115" s="18">
        <f>IF(ISNUMBER(M115), $B118 * N115, "")</f>
        <v>-1503.006012024048</v>
      </c>
      <c r="Q115" s="146"/>
      <c r="R115" s="146"/>
      <c r="S115" s="146"/>
    </row>
    <row r="116" spans="1:19">
      <c r="A116" s="109" t="s">
        <v>93</v>
      </c>
      <c r="B116" s="110">
        <v>1599000</v>
      </c>
      <c r="C116" s="70">
        <v>2.8626568000000002E-2</v>
      </c>
      <c r="D116" s="15">
        <v>1603500</v>
      </c>
      <c r="E116" s="32">
        <f t="shared" si="58"/>
        <v>2.8142589118198874E-3</v>
      </c>
      <c r="F116" s="18">
        <f>IF(ISNUMBER(D116), $B118 * E116, "")</f>
        <v>422.1388367729831</v>
      </c>
      <c r="G116" s="31">
        <v>1591500</v>
      </c>
      <c r="H116" s="32">
        <f t="shared" si="59"/>
        <v>-4.6904315196998128E-3</v>
      </c>
      <c r="I116" s="91">
        <f>IF(ISNUMBER(G116), $B118 * H116, "")</f>
        <v>-703.56472795497189</v>
      </c>
      <c r="J116" s="15">
        <v>1601500</v>
      </c>
      <c r="K116" s="32">
        <f t="shared" si="60"/>
        <v>1.5634771732332708E-3</v>
      </c>
      <c r="L116" s="18">
        <f>IF(ISNUMBER(J116), $B118 * K116, "")</f>
        <v>234.52157598499062</v>
      </c>
      <c r="M116" s="31">
        <v>1596500</v>
      </c>
      <c r="N116" s="32">
        <f t="shared" si="61"/>
        <v>-1.5634771732332708E-3</v>
      </c>
      <c r="O116" s="18">
        <f>IF(ISNUMBER(M116), $B118 * N116, "")</f>
        <v>-234.52157598499062</v>
      </c>
      <c r="Q116" s="135"/>
      <c r="R116" s="136"/>
      <c r="S116" s="137"/>
    </row>
    <row r="117" spans="1:19" ht="17.25" thickBot="1">
      <c r="A117" s="114" t="s">
        <v>75</v>
      </c>
      <c r="B117" s="115">
        <v>7400</v>
      </c>
      <c r="C117" s="72">
        <v>2.7064538499999999E-2</v>
      </c>
      <c r="D117" s="24">
        <v>7400</v>
      </c>
      <c r="E117" s="25">
        <f t="shared" si="58"/>
        <v>0</v>
      </c>
      <c r="F117" s="94">
        <f>IF(ISNUMBER(D117), $B118 * E117, "")</f>
        <v>0</v>
      </c>
      <c r="G117" s="92">
        <v>7285</v>
      </c>
      <c r="H117" s="25">
        <f t="shared" si="59"/>
        <v>-1.5540540540540541E-2</v>
      </c>
      <c r="I117" s="93">
        <f>IF(ISNUMBER(G117), $B118 * H117, "")</f>
        <v>-2331.0810810810813</v>
      </c>
      <c r="J117" s="24">
        <v>7300</v>
      </c>
      <c r="K117" s="25">
        <f t="shared" si="60"/>
        <v>-1.3513513513513514E-2</v>
      </c>
      <c r="L117" s="94">
        <f>IF(ISNUMBER(J117), $B118 * K117, "")</f>
        <v>-2027.0270270270271</v>
      </c>
      <c r="M117" s="92">
        <v>7295</v>
      </c>
      <c r="N117" s="25">
        <f t="shared" si="61"/>
        <v>-1.418918918918919E-2</v>
      </c>
      <c r="O117" s="94">
        <f>IF(ISNUMBER(M117), $B118 * N117, "")</f>
        <v>-2128.3783783783783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1.7145968381814113E-2</v>
      </c>
      <c r="F118" s="28">
        <f>SUM(F98:F117)</f>
        <v>51437.905145442332</v>
      </c>
      <c r="G118" s="26" t="s">
        <v>258</v>
      </c>
      <c r="H118" s="27">
        <f>IF(COUNT(H98:H117), SUM(H98:H117) / COUNT(H98:H117), 0)</f>
        <v>-6.3540262958714051E-3</v>
      </c>
      <c r="I118" s="28">
        <f>SUM(I98:I117)</f>
        <v>-19062.078887614211</v>
      </c>
      <c r="J118" s="26" t="s">
        <v>258</v>
      </c>
      <c r="K118" s="27">
        <f>IF(COUNT(K98:K117), SUM(K98:K117) / COUNT(K98:K117), 0)</f>
        <v>3.9787122240121696E-3</v>
      </c>
      <c r="L118" s="28">
        <f>SUM(L98:L117)</f>
        <v>11936.136672036502</v>
      </c>
      <c r="M118" s="26" t="s">
        <v>258</v>
      </c>
      <c r="N118" s="27">
        <f>IF(COUNT(N98:N117), SUM(N98:N117) / COUNT(N98:N117), 0)</f>
        <v>-3.8758570946071406E-3</v>
      </c>
      <c r="O118" s="28">
        <f>SUM(O98:O117)</f>
        <v>-11627.571283821424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21539000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1.0224474E-3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2023-01-05(목) 오전 00:00</v>
      </c>
      <c r="C123" s="198"/>
      <c r="D123" s="170" t="str">
        <f>TEXT($G$1, "[$-ko-KR]yyyy-mm-dd(ddd) ") &amp; "오후 14:00"</f>
        <v>2023-01-05(목) 오후 14:00</v>
      </c>
      <c r="E123" s="171"/>
      <c r="F123" s="172"/>
      <c r="G123" s="170" t="str">
        <f>TEXT($G$1, "[$-ko-KR]yyyy-mm-dd(ddd) ") &amp; "오후 19:00"</f>
        <v>2023-01-05(목) 오후 19:00</v>
      </c>
      <c r="H123" s="171"/>
      <c r="I123" s="172"/>
      <c r="J123" s="170" t="str">
        <f>TEXT($G$1, "[$-ko-KR]yyyy-mm-dd(ddd) ") &amp; "오후 21:00"</f>
        <v>2023-01-05(목) 오후 21:00</v>
      </c>
      <c r="K123" s="171"/>
      <c r="L123" s="172"/>
      <c r="M123" s="170" t="str">
        <f>TEXT($G$1+1, "[$-ko-KR]yyyy-mm-dd(ddd) ") &amp; "오전 00:00"</f>
        <v>2023-01-06(금)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195</v>
      </c>
      <c r="B125" s="108">
        <v>5.55</v>
      </c>
      <c r="C125" s="69">
        <v>1.09289617E-2</v>
      </c>
      <c r="D125" s="13">
        <v>5.6</v>
      </c>
      <c r="E125" s="14">
        <f>IF(ISNUMBER(D125), (D125 - $B125) / $B125, "")</f>
        <v>9.0090090090089777E-3</v>
      </c>
      <c r="F125" s="16">
        <f>IF(ISNUMBER(D125), $B145 * E125, "")</f>
        <v>1351.3513513513467</v>
      </c>
      <c r="G125" s="29">
        <v>5.57</v>
      </c>
      <c r="H125" s="14">
        <f>IF(ISNUMBER(G125), (G125 - $B125) / $B125, "")</f>
        <v>3.6036036036036869E-3</v>
      </c>
      <c r="I125" s="90">
        <f>IF(ISNUMBER(G125), $B145 * H125, "")</f>
        <v>540.54054054055302</v>
      </c>
      <c r="J125" s="13">
        <v>5.65</v>
      </c>
      <c r="K125" s="14">
        <f>IF(ISNUMBER(J125), (J125 - $B125) / $B125, "")</f>
        <v>1.8018018018018115E-2</v>
      </c>
      <c r="L125" s="16">
        <f>IF(ISNUMBER(J125), $B145 * K125, "")</f>
        <v>2702.702702702717</v>
      </c>
      <c r="M125" s="29">
        <v>5.57</v>
      </c>
      <c r="N125" s="14">
        <f>IF(ISNUMBER(M125), (M125 - $B125) / $B125, "")</f>
        <v>3.6036036036036869E-3</v>
      </c>
      <c r="O125" s="16">
        <f>IF(ISNUMBER(M125), $B145 * N125, "")</f>
        <v>540.54054054055302</v>
      </c>
      <c r="Q125" s="156"/>
      <c r="R125" s="156"/>
      <c r="S125" s="156"/>
    </row>
    <row r="126" spans="1:19" ht="17.25" thickBot="1">
      <c r="A126" s="109" t="s">
        <v>141</v>
      </c>
      <c r="B126" s="110">
        <v>2.95</v>
      </c>
      <c r="C126" s="70">
        <v>1.02739726E-2</v>
      </c>
      <c r="D126" s="15">
        <v>3.02</v>
      </c>
      <c r="E126" s="32">
        <f t="shared" ref="E126:E129" si="62">IF(ISNUMBER(D126), (D126 - $B126) / $B126, "")</f>
        <v>2.3728813559321979E-2</v>
      </c>
      <c r="F126" s="18">
        <f>IF(ISNUMBER(D126), $B145 * E126, "")</f>
        <v>3559.3220338982969</v>
      </c>
      <c r="G126" s="31">
        <v>2.93</v>
      </c>
      <c r="H126" s="32">
        <f t="shared" ref="H126:H129" si="63">IF(ISNUMBER(G126), (G126 - $B126) / $B126, "")</f>
        <v>-6.7796610169491584E-3</v>
      </c>
      <c r="I126" s="91">
        <f>IF(ISNUMBER(G126), $B145 * H126, "")</f>
        <v>-1016.9491525423738</v>
      </c>
      <c r="J126" s="15">
        <v>3</v>
      </c>
      <c r="K126" s="32">
        <f t="shared" ref="K126:K129" si="64">IF(ISNUMBER(J126), (J126 - $B126) / $B126, "")</f>
        <v>1.6949152542372819E-2</v>
      </c>
      <c r="L126" s="18">
        <f>IF(ISNUMBER(J126), $B145 * K126, "")</f>
        <v>2542.3728813559228</v>
      </c>
      <c r="M126" s="31">
        <v>2.97</v>
      </c>
      <c r="N126" s="32">
        <f t="shared" ref="N126:N129" si="65">IF(ISNUMBER(M126), (M126 - $B126) / $B126, "")</f>
        <v>6.7796610169491584E-3</v>
      </c>
      <c r="O126" s="18">
        <f>IF(ISNUMBER(M126), $B145 * N126, "")</f>
        <v>1016.9491525423738</v>
      </c>
      <c r="Q126" s="156"/>
      <c r="R126" s="156"/>
      <c r="S126" s="156"/>
    </row>
    <row r="127" spans="1:19" ht="17.25" thickBot="1">
      <c r="A127" s="109" t="s">
        <v>143</v>
      </c>
      <c r="B127" s="110">
        <v>3.36</v>
      </c>
      <c r="C127" s="70">
        <v>9.0090090000000001E-3</v>
      </c>
      <c r="D127" s="15">
        <v>3.39</v>
      </c>
      <c r="E127" s="32">
        <f t="shared" si="62"/>
        <v>8.9285714285715027E-3</v>
      </c>
      <c r="F127" s="18">
        <f>IF(ISNUMBER(D127), $B145 * E127, "")</f>
        <v>1339.2857142857254</v>
      </c>
      <c r="G127" s="31">
        <v>3.43</v>
      </c>
      <c r="H127" s="32">
        <f t="shared" si="63"/>
        <v>2.0833333333333419E-2</v>
      </c>
      <c r="I127" s="91">
        <f>IF(ISNUMBER(G127), $B145 * H127, "")</f>
        <v>3125.0000000000127</v>
      </c>
      <c r="J127" s="15">
        <v>3.44</v>
      </c>
      <c r="K127" s="32">
        <f t="shared" si="64"/>
        <v>2.3809523809523832E-2</v>
      </c>
      <c r="L127" s="18">
        <f>IF(ISNUMBER(J127), $B145 * K127, "")</f>
        <v>3571.4285714285747</v>
      </c>
      <c r="M127" s="31">
        <v>3.37</v>
      </c>
      <c r="N127" s="32">
        <f t="shared" si="65"/>
        <v>2.976190476190545E-3</v>
      </c>
      <c r="O127" s="18">
        <f>IF(ISNUMBER(M127), $B145 * N127, "")</f>
        <v>446.42857142858173</v>
      </c>
      <c r="Q127" s="146"/>
      <c r="R127" s="146"/>
      <c r="S127" s="146"/>
    </row>
    <row r="128" spans="1:19" ht="17.25" thickBot="1">
      <c r="A128" s="109" t="s">
        <v>64</v>
      </c>
      <c r="B128" s="110">
        <v>9.06</v>
      </c>
      <c r="C128" s="70">
        <v>8.9086860000000007E-3</v>
      </c>
      <c r="D128" s="15">
        <v>9.14</v>
      </c>
      <c r="E128" s="32">
        <f t="shared" si="62"/>
        <v>8.8300220750551946E-3</v>
      </c>
      <c r="F128" s="18">
        <f>IF(ISNUMBER(D128), $B145 * E128, "")</f>
        <v>1324.5033112582792</v>
      </c>
      <c r="G128" s="31">
        <v>9.0299999999999994</v>
      </c>
      <c r="H128" s="32">
        <f t="shared" si="63"/>
        <v>-3.3112582781458207E-3</v>
      </c>
      <c r="I128" s="91">
        <f>IF(ISNUMBER(G128), $B145 * H128, "")</f>
        <v>-496.6887417218731</v>
      </c>
      <c r="J128" s="15">
        <v>9.1300000000000008</v>
      </c>
      <c r="K128" s="32">
        <f t="shared" si="64"/>
        <v>7.72626931567332E-3</v>
      </c>
      <c r="L128" s="18">
        <f>IF(ISNUMBER(J128), $B145 * K128, "")</f>
        <v>1158.940397350998</v>
      </c>
      <c r="M128" s="31">
        <v>9.07</v>
      </c>
      <c r="N128" s="32">
        <f t="shared" si="65"/>
        <v>1.1037527593818748E-3</v>
      </c>
      <c r="O128" s="18">
        <f>IF(ISNUMBER(M128), $B145 * N128, "")</f>
        <v>165.56291390728123</v>
      </c>
      <c r="Q128" s="146"/>
      <c r="R128" s="146"/>
      <c r="S128" s="146"/>
    </row>
    <row r="129" spans="1:19" ht="17.25" thickBot="1">
      <c r="A129" s="111" t="s">
        <v>155</v>
      </c>
      <c r="B129" s="112">
        <v>24.8</v>
      </c>
      <c r="C129" s="71">
        <v>8.1300812999999996E-3</v>
      </c>
      <c r="D129" s="20">
        <v>25</v>
      </c>
      <c r="E129" s="21">
        <f t="shared" si="62"/>
        <v>8.0645161290322284E-3</v>
      </c>
      <c r="F129" s="22">
        <f>IF(ISNUMBER(D129), $B145 * E129, "")</f>
        <v>1209.6774193548342</v>
      </c>
      <c r="G129" s="30">
        <v>24.4</v>
      </c>
      <c r="H129" s="21">
        <f t="shared" si="63"/>
        <v>-1.6129032258064602E-2</v>
      </c>
      <c r="I129" s="95">
        <f>IF(ISNUMBER(G129), $B145 * H129, "")</f>
        <v>-2419.3548387096903</v>
      </c>
      <c r="J129" s="20">
        <v>24.9</v>
      </c>
      <c r="K129" s="21">
        <f t="shared" si="64"/>
        <v>4.0322580645160431E-3</v>
      </c>
      <c r="L129" s="22">
        <f>IF(ISNUMBER(J129), $B145 * K129, "")</f>
        <v>604.83870967740643</v>
      </c>
      <c r="M129" s="30">
        <v>24.8</v>
      </c>
      <c r="N129" s="21">
        <f t="shared" si="65"/>
        <v>0</v>
      </c>
      <c r="O129" s="22">
        <f>IF(ISNUMBER(M129), $B145 * N129, "")</f>
        <v>0</v>
      </c>
      <c r="Q129" s="146"/>
      <c r="R129" s="146"/>
      <c r="S129" s="146"/>
    </row>
    <row r="130" spans="1:19" ht="17.25" thickBot="1">
      <c r="A130" s="109" t="s">
        <v>237</v>
      </c>
      <c r="B130" s="113">
        <v>25.9</v>
      </c>
      <c r="C130" s="73">
        <v>7.7821011999999997E-3</v>
      </c>
      <c r="D130" s="96">
        <v>25.9</v>
      </c>
      <c r="E130" s="97">
        <f>IF(ISNUMBER(D130), (D130 - $B130) / $B130, "")</f>
        <v>0</v>
      </c>
      <c r="F130" s="98">
        <f>IF(ISNUMBER(D130), $B145 * E130, "")</f>
        <v>0</v>
      </c>
      <c r="G130" s="99">
        <v>25.5</v>
      </c>
      <c r="H130" s="97">
        <f>IF(ISNUMBER(G130), (G130 - $B130) / $B130, "")</f>
        <v>-1.5444015444015391E-2</v>
      </c>
      <c r="I130" s="100">
        <f>IF(ISNUMBER(G130), $B145 * H130, "")</f>
        <v>-2316.6023166023087</v>
      </c>
      <c r="J130" s="96">
        <v>26</v>
      </c>
      <c r="K130" s="97">
        <f>IF(ISNUMBER(J130), (J130 - $B130) / $B130, "")</f>
        <v>3.8610038610039162E-3</v>
      </c>
      <c r="L130" s="98">
        <f>IF(ISNUMBER(J130), $B145 * K130, "")</f>
        <v>579.15057915058742</v>
      </c>
      <c r="M130" s="99">
        <v>25.8</v>
      </c>
      <c r="N130" s="97">
        <f>IF(ISNUMBER(M130), (M130 - $B130) / $B130, "")</f>
        <v>-3.8610038610037791E-3</v>
      </c>
      <c r="O130" s="98">
        <f>IF(ISNUMBER(M130), $B145 * N130, "")</f>
        <v>-579.15057915056684</v>
      </c>
      <c r="Q130" s="146"/>
      <c r="R130" s="146"/>
      <c r="S130" s="146"/>
    </row>
    <row r="131" spans="1:19" ht="17.25" thickBot="1">
      <c r="A131" s="109" t="s">
        <v>225</v>
      </c>
      <c r="B131" s="110">
        <v>52.7</v>
      </c>
      <c r="C131" s="70">
        <v>7.6481835999999996E-3</v>
      </c>
      <c r="D131" s="15">
        <v>52.8</v>
      </c>
      <c r="E131" s="32">
        <f t="shared" ref="E131:E134" si="66">IF(ISNUMBER(D131), (D131 - $B131) / $B131, "")</f>
        <v>1.8975332068310116E-3</v>
      </c>
      <c r="F131" s="18">
        <f>IF(ISNUMBER(D131), $B145 * E131, "")</f>
        <v>284.62998102465173</v>
      </c>
      <c r="G131" s="31">
        <v>52.1</v>
      </c>
      <c r="H131" s="32">
        <f t="shared" ref="H131:H134" si="67">IF(ISNUMBER(G131), (G131 - $B131) / $B131, "")</f>
        <v>-1.1385199240986743E-2</v>
      </c>
      <c r="I131" s="91">
        <f>IF(ISNUMBER(G131), $B145 * H131, "")</f>
        <v>-1707.7798861480114</v>
      </c>
      <c r="J131" s="15">
        <v>52.9</v>
      </c>
      <c r="K131" s="32">
        <f t="shared" ref="K131:K134" si="68">IF(ISNUMBER(J131), (J131 - $B131) / $B131, "")</f>
        <v>3.7950664136621581E-3</v>
      </c>
      <c r="L131" s="18">
        <f>IF(ISNUMBER(J131), $B145 * K131, "")</f>
        <v>569.25996204932369</v>
      </c>
      <c r="M131" s="31">
        <v>52.4</v>
      </c>
      <c r="N131" s="32">
        <f t="shared" ref="N131:N134" si="69">IF(ISNUMBER(M131), (M131 - $B131) / $B131, "")</f>
        <v>-5.6925996204934392E-3</v>
      </c>
      <c r="O131" s="18">
        <f>IF(ISNUMBER(M131), $B145 * N131, "")</f>
        <v>-853.88994307401583</v>
      </c>
      <c r="Q131" s="146"/>
      <c r="R131" s="146"/>
      <c r="S131" s="146"/>
    </row>
    <row r="132" spans="1:19" ht="17.25" thickBot="1">
      <c r="A132" s="109" t="s">
        <v>193</v>
      </c>
      <c r="B132" s="110">
        <v>15.4</v>
      </c>
      <c r="C132" s="70">
        <v>6.5359477000000001E-3</v>
      </c>
      <c r="D132" s="15">
        <v>15.5</v>
      </c>
      <c r="E132" s="32">
        <f t="shared" si="66"/>
        <v>6.4935064935064705E-3</v>
      </c>
      <c r="F132" s="18">
        <f>IF(ISNUMBER(D132), $B145 * E132, "")</f>
        <v>974.02597402597053</v>
      </c>
      <c r="G132" s="31">
        <v>15.3</v>
      </c>
      <c r="H132" s="32">
        <f t="shared" si="67"/>
        <v>-6.4935064935064705E-3</v>
      </c>
      <c r="I132" s="91">
        <f>IF(ISNUMBER(G132), $B145 * H132, "")</f>
        <v>-974.02597402597053</v>
      </c>
      <c r="J132" s="15">
        <v>15.5</v>
      </c>
      <c r="K132" s="32">
        <f t="shared" si="68"/>
        <v>6.4935064935064705E-3</v>
      </c>
      <c r="L132" s="18">
        <f>IF(ISNUMBER(J132), $B145 * K132, "")</f>
        <v>974.02597402597053</v>
      </c>
      <c r="M132" s="31">
        <v>15.4</v>
      </c>
      <c r="N132" s="32">
        <f t="shared" si="69"/>
        <v>0</v>
      </c>
      <c r="O132" s="18">
        <f>IF(ISNUMBER(M132), $B145 * N132, "")</f>
        <v>0</v>
      </c>
      <c r="Q132" s="146"/>
      <c r="R132" s="146"/>
      <c r="S132" s="146"/>
    </row>
    <row r="133" spans="1:19" ht="17.25" thickBot="1">
      <c r="A133" s="109" t="s">
        <v>221</v>
      </c>
      <c r="B133" s="110">
        <v>17.7</v>
      </c>
      <c r="C133" s="70">
        <v>5.6818182E-3</v>
      </c>
      <c r="D133" s="15">
        <v>17.7</v>
      </c>
      <c r="E133" s="32">
        <f t="shared" si="66"/>
        <v>0</v>
      </c>
      <c r="F133" s="18">
        <f>IF(ISNUMBER(D133), $B145 * E133, "")</f>
        <v>0</v>
      </c>
      <c r="G133" s="31">
        <v>17.600000000000001</v>
      </c>
      <c r="H133" s="32">
        <f t="shared" si="67"/>
        <v>-5.6497175141241732E-3</v>
      </c>
      <c r="I133" s="91">
        <f>IF(ISNUMBER(G133), $B145 * H133, "")</f>
        <v>-847.45762711862596</v>
      </c>
      <c r="J133" s="15">
        <v>18.100000000000001</v>
      </c>
      <c r="K133" s="32">
        <f t="shared" si="68"/>
        <v>2.2598870056497296E-2</v>
      </c>
      <c r="L133" s="18">
        <f>IF(ISNUMBER(J133), $B145 * K133, "")</f>
        <v>3389.8305084745944</v>
      </c>
      <c r="M133" s="31">
        <v>17.8</v>
      </c>
      <c r="N133" s="32">
        <f t="shared" si="69"/>
        <v>5.6497175141243744E-3</v>
      </c>
      <c r="O133" s="18">
        <f>IF(ISNUMBER(M133), $B145 * N133, "")</f>
        <v>847.45762711865621</v>
      </c>
      <c r="Q133" s="33"/>
      <c r="R133" s="33"/>
    </row>
    <row r="134" spans="1:19" ht="17.25" thickBot="1">
      <c r="A134" s="114" t="s">
        <v>56</v>
      </c>
      <c r="B134" s="115">
        <v>37.4</v>
      </c>
      <c r="C134" s="72">
        <v>5.3763441000000004E-3</v>
      </c>
      <c r="D134" s="24">
        <v>37.5</v>
      </c>
      <c r="E134" s="25">
        <f t="shared" si="66"/>
        <v>2.6737967914438883E-3</v>
      </c>
      <c r="F134" s="94">
        <f>IF(ISNUMBER(D134), $B145 * E134, "")</f>
        <v>401.06951871658322</v>
      </c>
      <c r="G134" s="92">
        <v>36.700000000000003</v>
      </c>
      <c r="H134" s="25">
        <f t="shared" si="67"/>
        <v>-1.8716577540106839E-2</v>
      </c>
      <c r="I134" s="93">
        <f>IF(ISNUMBER(G134), $B145 * H134, "")</f>
        <v>-2807.486631016026</v>
      </c>
      <c r="J134" s="24">
        <v>37.1</v>
      </c>
      <c r="K134" s="25">
        <f t="shared" si="68"/>
        <v>-8.0213903743314753E-3</v>
      </c>
      <c r="L134" s="94">
        <f>IF(ISNUMBER(J134), $B145 * K134, "")</f>
        <v>-1203.2085561497213</v>
      </c>
      <c r="M134" s="92">
        <v>37</v>
      </c>
      <c r="N134" s="25">
        <f t="shared" si="69"/>
        <v>-1.0695187165775364E-2</v>
      </c>
      <c r="O134" s="94">
        <f>IF(ISNUMBER(M134), $B145 * N134, "")</f>
        <v>-1604.2780748663047</v>
      </c>
      <c r="Q134" s="147"/>
      <c r="R134" s="148"/>
      <c r="S134" s="149"/>
    </row>
    <row r="135" spans="1:19">
      <c r="A135" s="107" t="s">
        <v>350</v>
      </c>
      <c r="B135" s="108">
        <v>5.65</v>
      </c>
      <c r="C135" s="69">
        <v>5.3380783000000001E-3</v>
      </c>
      <c r="D135" s="13">
        <v>5.62</v>
      </c>
      <c r="E135" s="14">
        <f>IF(ISNUMBER(D135), (D135 - $B135) / $B135, "")</f>
        <v>-5.3097345132743796E-3</v>
      </c>
      <c r="F135" s="16">
        <f>IF(ISNUMBER(D135), $B145 * E135, "")</f>
        <v>-796.46017699115691</v>
      </c>
      <c r="G135" s="29">
        <v>5.53</v>
      </c>
      <c r="H135" s="14">
        <f>IF(ISNUMBER(G135), (G135 - $B135) / $B135, "")</f>
        <v>-2.1238938053097362E-2</v>
      </c>
      <c r="I135" s="90">
        <f>IF(ISNUMBER(G135), $B145 * H135, "")</f>
        <v>-3185.8407079646045</v>
      </c>
      <c r="J135" s="13">
        <v>5.67</v>
      </c>
      <c r="K135" s="14">
        <f>IF(ISNUMBER(J135), (J135 - $B135) / $B135, "")</f>
        <v>3.539823008849482E-3</v>
      </c>
      <c r="L135" s="16">
        <f>IF(ISNUMBER(J135), $B145 * K135, "")</f>
        <v>530.97345132742225</v>
      </c>
      <c r="M135" s="29">
        <v>5.63</v>
      </c>
      <c r="N135" s="14">
        <f>IF(ISNUMBER(M135), (M135 - $B135) / $B135, "")</f>
        <v>-3.539823008849639E-3</v>
      </c>
      <c r="O135" s="16">
        <f>IF(ISNUMBER(M135), $B145 * N135, "")</f>
        <v>-530.9734513274459</v>
      </c>
      <c r="Q135" s="150"/>
      <c r="R135" s="151"/>
      <c r="S135" s="152"/>
    </row>
    <row r="136" spans="1:19" ht="17.25" thickBot="1">
      <c r="A136" s="109" t="s">
        <v>51</v>
      </c>
      <c r="B136" s="110">
        <v>94.6</v>
      </c>
      <c r="C136" s="70">
        <v>5.3134962999999997E-3</v>
      </c>
      <c r="D136" s="15">
        <v>94.5</v>
      </c>
      <c r="E136" s="32">
        <f t="shared" ref="E136:E139" si="70">IF(ISNUMBER(D136), (D136 - $B136) / $B136, "")</f>
        <v>-1.0570824524312296E-3</v>
      </c>
      <c r="F136" s="18">
        <f>IF(ISNUMBER(D136), $B145 * E136, "")</f>
        <v>-158.56236786468443</v>
      </c>
      <c r="G136" s="31">
        <v>92.8</v>
      </c>
      <c r="H136" s="32">
        <f t="shared" ref="H136:H139" si="71">IF(ISNUMBER(G136), (G136 - $B136) / $B136, "")</f>
        <v>-1.9027484143763186E-2</v>
      </c>
      <c r="I136" s="91">
        <f>IF(ISNUMBER(G136), $B145 * H136, "")</f>
        <v>-2854.1226215644779</v>
      </c>
      <c r="J136" s="15">
        <v>93.7</v>
      </c>
      <c r="K136" s="32">
        <f t="shared" ref="K136:K139" si="72">IF(ISNUMBER(J136), (J136 - $B136) / $B136, "")</f>
        <v>-9.5137420718815167E-3</v>
      </c>
      <c r="L136" s="18">
        <f>IF(ISNUMBER(J136), $B145 * K136, "")</f>
        <v>-1427.0613107822276</v>
      </c>
      <c r="M136" s="31">
        <v>93.1</v>
      </c>
      <c r="N136" s="32">
        <f t="shared" ref="N136:N139" si="73">IF(ISNUMBER(M136), (M136 - $B136) / $B136, "")</f>
        <v>-1.5856236786469347E-2</v>
      </c>
      <c r="O136" s="18">
        <f>IF(ISNUMBER(M136), $B145 * N136, "")</f>
        <v>-2378.4355179704021</v>
      </c>
      <c r="Q136" s="153"/>
      <c r="R136" s="154"/>
      <c r="S136" s="155"/>
    </row>
    <row r="137" spans="1:19" ht="17.25" thickBot="1">
      <c r="A137" s="109" t="s">
        <v>118</v>
      </c>
      <c r="B137" s="110">
        <v>4.82</v>
      </c>
      <c r="C137" s="70">
        <v>4.1666667000000001E-3</v>
      </c>
      <c r="D137" s="15">
        <v>4.87</v>
      </c>
      <c r="E137" s="32">
        <f t="shared" si="70"/>
        <v>1.0373443983402453E-2</v>
      </c>
      <c r="F137" s="18">
        <f>IF(ISNUMBER(D137), $B145 * E137, "")</f>
        <v>1556.016597510368</v>
      </c>
      <c r="G137" s="31">
        <v>4.7699999999999996</v>
      </c>
      <c r="H137" s="32">
        <f t="shared" si="71"/>
        <v>-1.0373443983402637E-2</v>
      </c>
      <c r="I137" s="91">
        <f>IF(ISNUMBER(G137), $B145 * H137, "")</f>
        <v>-1556.0165975103955</v>
      </c>
      <c r="J137" s="15">
        <v>4.9000000000000004</v>
      </c>
      <c r="K137" s="32">
        <f t="shared" si="72"/>
        <v>1.6597510373443997E-2</v>
      </c>
      <c r="L137" s="18">
        <f>IF(ISNUMBER(J137), $B145 * K137, "")</f>
        <v>2489.6265560165998</v>
      </c>
      <c r="M137" s="31">
        <v>4.8</v>
      </c>
      <c r="N137" s="32">
        <f t="shared" si="73"/>
        <v>-4.1493775933610913E-3</v>
      </c>
      <c r="O137" s="18">
        <f>IF(ISNUMBER(M137), $B145 * N137, "")</f>
        <v>-622.40663900416371</v>
      </c>
      <c r="Q137" s="146"/>
      <c r="R137" s="146"/>
      <c r="S137" s="146"/>
    </row>
    <row r="138" spans="1:19" ht="17.25" thickBot="1">
      <c r="A138" s="109" t="s">
        <v>241</v>
      </c>
      <c r="B138" s="110">
        <v>86.1</v>
      </c>
      <c r="C138" s="70">
        <v>3.4965034999999999E-3</v>
      </c>
      <c r="D138" s="15">
        <v>86</v>
      </c>
      <c r="E138" s="32">
        <f t="shared" si="70"/>
        <v>-1.1614401858303638E-3</v>
      </c>
      <c r="F138" s="18">
        <f>IF(ISNUMBER(D138), $B145 * E138, "")</f>
        <v>-174.21602787455458</v>
      </c>
      <c r="G138" s="31">
        <v>84.6</v>
      </c>
      <c r="H138" s="32">
        <f t="shared" si="71"/>
        <v>-1.7421602787456449E-2</v>
      </c>
      <c r="I138" s="91">
        <f>IF(ISNUMBER(G138), $B145 * H138, "")</f>
        <v>-2613.2404181184675</v>
      </c>
      <c r="J138" s="15">
        <v>85.4</v>
      </c>
      <c r="K138" s="32">
        <f t="shared" si="72"/>
        <v>-8.1300813008128772E-3</v>
      </c>
      <c r="L138" s="18">
        <f>IF(ISNUMBER(J138), $B145 * K138, "")</f>
        <v>-1219.5121951219317</v>
      </c>
      <c r="M138" s="31">
        <v>85.3</v>
      </c>
      <c r="N138" s="32">
        <f t="shared" si="73"/>
        <v>-9.2915214866434049E-3</v>
      </c>
      <c r="O138" s="18">
        <f>IF(ISNUMBER(M138), $B145 * N138, "")</f>
        <v>-1393.7282229965108</v>
      </c>
      <c r="Q138" s="156"/>
      <c r="R138" s="156"/>
      <c r="S138" s="156"/>
    </row>
    <row r="139" spans="1:19" ht="17.25" thickBot="1">
      <c r="A139" s="111" t="s">
        <v>145</v>
      </c>
      <c r="B139" s="112">
        <v>70.400000000000006</v>
      </c>
      <c r="C139" s="71">
        <v>2.8490028000000001E-3</v>
      </c>
      <c r="D139" s="20">
        <v>69.900000000000006</v>
      </c>
      <c r="E139" s="21">
        <f t="shared" si="70"/>
        <v>-7.102272727272727E-3</v>
      </c>
      <c r="F139" s="22">
        <f>IF(ISNUMBER(D139), $B145 * E139, "")</f>
        <v>-1065.340909090909</v>
      </c>
      <c r="G139" s="30">
        <v>69.7</v>
      </c>
      <c r="H139" s="21">
        <f t="shared" si="71"/>
        <v>-9.9431818181818579E-3</v>
      </c>
      <c r="I139" s="95">
        <f>IF(ISNUMBER(G139), $B145 * H139, "")</f>
        <v>-1491.4772727272787</v>
      </c>
      <c r="J139" s="20">
        <v>69.8</v>
      </c>
      <c r="K139" s="21">
        <f t="shared" si="72"/>
        <v>-8.5227272727273935E-3</v>
      </c>
      <c r="L139" s="22">
        <f>IF(ISNUMBER(J139), $B145 * K139, "")</f>
        <v>-1278.409090909109</v>
      </c>
      <c r="M139" s="30">
        <v>69.400000000000006</v>
      </c>
      <c r="N139" s="21">
        <f t="shared" si="73"/>
        <v>-1.4204545454545454E-2</v>
      </c>
      <c r="O139" s="22">
        <f>IF(ISNUMBER(M139), $B145 * N139, "")</f>
        <v>-2130.681818181818</v>
      </c>
      <c r="Q139" s="156"/>
      <c r="R139" s="156"/>
      <c r="S139" s="156"/>
    </row>
    <row r="140" spans="1:19" ht="17.25" thickBot="1">
      <c r="A140" s="109" t="s">
        <v>209</v>
      </c>
      <c r="B140" s="113">
        <v>71.099999999999994</v>
      </c>
      <c r="C140" s="73">
        <v>2.8208744999999999E-3</v>
      </c>
      <c r="D140" s="96">
        <v>71.2</v>
      </c>
      <c r="E140" s="97">
        <f>IF(ISNUMBER(D140), (D140 - $B140) / $B140, "")</f>
        <v>1.4064697609002606E-3</v>
      </c>
      <c r="F140" s="98">
        <f>IF(ISNUMBER(D140), $B145 * E140, "")</f>
        <v>210.97046413503909</v>
      </c>
      <c r="G140" s="99">
        <v>69.8</v>
      </c>
      <c r="H140" s="97">
        <f>IF(ISNUMBER(G140), (G140 - $B140) / $B140, "")</f>
        <v>-1.828410689170179E-2</v>
      </c>
      <c r="I140" s="100">
        <f>IF(ISNUMBER(G140), $B145 * H140, "")</f>
        <v>-2742.6160337552687</v>
      </c>
      <c r="J140" s="96">
        <v>70.8</v>
      </c>
      <c r="K140" s="97">
        <f>IF(ISNUMBER(J140), (J140 - $B140) / $B140, "")</f>
        <v>-4.2194092827003826E-3</v>
      </c>
      <c r="L140" s="98">
        <f>IF(ISNUMBER(J140), $B145 * K140, "")</f>
        <v>-632.91139240505743</v>
      </c>
      <c r="M140" s="99">
        <v>70.5</v>
      </c>
      <c r="N140" s="97">
        <f>IF(ISNUMBER(M140), (M140 - $B140) / $B140, "")</f>
        <v>-8.4388185654007651E-3</v>
      </c>
      <c r="O140" s="98">
        <f>IF(ISNUMBER(M140), $B145 * N140, "")</f>
        <v>-1265.8227848101149</v>
      </c>
      <c r="Q140" s="146"/>
      <c r="R140" s="146"/>
      <c r="S140" s="146"/>
    </row>
    <row r="141" spans="1:19" ht="17.25" thickBot="1">
      <c r="A141" s="109" t="s">
        <v>329</v>
      </c>
      <c r="B141" s="110">
        <v>49.2</v>
      </c>
      <c r="C141" s="70">
        <v>2.0366599E-3</v>
      </c>
      <c r="D141" s="15">
        <v>49.3</v>
      </c>
      <c r="E141" s="32">
        <f t="shared" ref="E141:E144" si="74">IF(ISNUMBER(D141), (D141 - $B141) / $B141, "")</f>
        <v>2.0325203252031365E-3</v>
      </c>
      <c r="F141" s="18">
        <f>IF(ISNUMBER(D141), $B145 * E141, "")</f>
        <v>304.87804878047046</v>
      </c>
      <c r="G141" s="31">
        <v>48.5</v>
      </c>
      <c r="H141" s="32">
        <f t="shared" ref="H141:H144" si="75">IF(ISNUMBER(G141), (G141 - $B141) / $B141, "")</f>
        <v>-1.4227642276422821E-2</v>
      </c>
      <c r="I141" s="91">
        <f>IF(ISNUMBER(G141), $B145 * H141, "")</f>
        <v>-2134.1463414634231</v>
      </c>
      <c r="J141" s="15">
        <v>49</v>
      </c>
      <c r="K141" s="32">
        <f t="shared" ref="K141:K144" si="76">IF(ISNUMBER(J141), (J141 - $B141) / $B141, "")</f>
        <v>-4.0650406504065617E-3</v>
      </c>
      <c r="L141" s="18">
        <f>IF(ISNUMBER(J141), $B145 * K141, "")</f>
        <v>-609.75609756098424</v>
      </c>
      <c r="M141" s="31">
        <v>48.6</v>
      </c>
      <c r="N141" s="32">
        <f t="shared" ref="N141:N144" si="77">IF(ISNUMBER(M141), (M141 - $B141) / $B141, "")</f>
        <v>-1.219512195121954E-2</v>
      </c>
      <c r="O141" s="18">
        <f>IF(ISNUMBER(M141), $B145 * N141, "")</f>
        <v>-1829.2682926829311</v>
      </c>
      <c r="Q141" s="146"/>
      <c r="R141" s="146"/>
      <c r="S141" s="146"/>
    </row>
    <row r="142" spans="1:19" ht="17.25" thickBot="1">
      <c r="A142" s="109" t="s">
        <v>205</v>
      </c>
      <c r="B142" s="110">
        <v>92.3</v>
      </c>
      <c r="C142" s="70">
        <v>1.0845987E-3</v>
      </c>
      <c r="D142" s="15">
        <v>91.6</v>
      </c>
      <c r="E142" s="32">
        <f t="shared" si="74"/>
        <v>-7.5839653304442343E-3</v>
      </c>
      <c r="F142" s="18">
        <f>IF(ISNUMBER(D142), $B145 * E142, "")</f>
        <v>-1137.5947995666352</v>
      </c>
      <c r="G142" s="31">
        <v>90.1</v>
      </c>
      <c r="H142" s="32">
        <f t="shared" si="75"/>
        <v>-2.3835319609967529E-2</v>
      </c>
      <c r="I142" s="91">
        <f>IF(ISNUMBER(G142), $B145 * H142, "")</f>
        <v>-3575.2979414951292</v>
      </c>
      <c r="J142" s="15">
        <v>91.1</v>
      </c>
      <c r="K142" s="32">
        <f t="shared" si="76"/>
        <v>-1.3001083423618666E-2</v>
      </c>
      <c r="L142" s="18">
        <f>IF(ISNUMBER(J142), $B145 * K142, "")</f>
        <v>-1950.1625135427998</v>
      </c>
      <c r="M142" s="31">
        <v>90.7</v>
      </c>
      <c r="N142" s="32">
        <f t="shared" si="77"/>
        <v>-1.733477789815812E-2</v>
      </c>
      <c r="O142" s="18">
        <f>IF(ISNUMBER(M142), $B145 * N142, "")</f>
        <v>-2600.2166847237181</v>
      </c>
      <c r="Q142" s="146"/>
      <c r="R142" s="146"/>
      <c r="S142" s="146"/>
    </row>
    <row r="143" spans="1:19">
      <c r="A143" s="109" t="s">
        <v>71</v>
      </c>
      <c r="B143" s="110">
        <v>9.7899999999999991</v>
      </c>
      <c r="C143" s="70">
        <v>1.0224949E-3</v>
      </c>
      <c r="D143" s="15">
        <v>9.75</v>
      </c>
      <c r="E143" s="32">
        <f t="shared" si="74"/>
        <v>-4.0858018386107408E-3</v>
      </c>
      <c r="F143" s="18">
        <f>IF(ISNUMBER(D143), $B145 * E143, "")</f>
        <v>-612.87027579161111</v>
      </c>
      <c r="G143" s="31">
        <v>9.56</v>
      </c>
      <c r="H143" s="32">
        <f t="shared" si="75"/>
        <v>-2.3493360572012123E-2</v>
      </c>
      <c r="I143" s="91">
        <f>IF(ISNUMBER(G143), $B145 * H143, "")</f>
        <v>-3524.0040858018183</v>
      </c>
      <c r="J143" s="15">
        <v>9.64</v>
      </c>
      <c r="K143" s="32">
        <f t="shared" si="76"/>
        <v>-1.5321756894790459E-2</v>
      </c>
      <c r="L143" s="18">
        <f>IF(ISNUMBER(J143), $B145 * K143, "")</f>
        <v>-2298.263534218569</v>
      </c>
      <c r="M143" s="31">
        <v>9.6300000000000008</v>
      </c>
      <c r="N143" s="32">
        <f t="shared" si="77"/>
        <v>-1.6343207354443143E-2</v>
      </c>
      <c r="O143" s="18">
        <f>IF(ISNUMBER(M143), $B145 * N143, "")</f>
        <v>-2451.4811031664717</v>
      </c>
      <c r="Q143" s="135"/>
      <c r="R143" s="136"/>
      <c r="S143" s="137"/>
    </row>
    <row r="144" spans="1:19" ht="17.25" thickBot="1">
      <c r="A144" s="114" t="s">
        <v>191</v>
      </c>
      <c r="B144" s="115">
        <v>51</v>
      </c>
      <c r="C144" s="72">
        <v>-1.35396518E-2</v>
      </c>
      <c r="D144" s="24">
        <v>50.6</v>
      </c>
      <c r="E144" s="25">
        <f t="shared" si="74"/>
        <v>-7.8431372549019329E-3</v>
      </c>
      <c r="F144" s="94">
        <f>IF(ISNUMBER(D144), $B145 * E144, "")</f>
        <v>-1176.4705882352901</v>
      </c>
      <c r="G144" s="92">
        <v>50.1</v>
      </c>
      <c r="H144" s="25">
        <f t="shared" si="75"/>
        <v>-1.7647058823529384E-2</v>
      </c>
      <c r="I144" s="93">
        <f>IF(ISNUMBER(G144), $B145 * H144, "")</f>
        <v>-2647.0588235294076</v>
      </c>
      <c r="J144" s="24">
        <v>50.7</v>
      </c>
      <c r="K144" s="25">
        <f t="shared" si="76"/>
        <v>-5.882352941176415E-3</v>
      </c>
      <c r="L144" s="94">
        <f>IF(ISNUMBER(J144), $B145 * K144, "")</f>
        <v>-882.3529411764622</v>
      </c>
      <c r="M144" s="92">
        <v>50.3</v>
      </c>
      <c r="N144" s="25">
        <f t="shared" si="77"/>
        <v>-1.3725490196078487E-2</v>
      </c>
      <c r="O144" s="94">
        <f>IF(ISNUMBER(M144), $B145 * N144, "")</f>
        <v>-2058.8235294117731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2.4647384229755749E-3</v>
      </c>
      <c r="F145" s="28">
        <f>SUM(F125:F144)</f>
        <v>7394.2152689267259</v>
      </c>
      <c r="G145" s="26" t="s">
        <v>258</v>
      </c>
      <c r="H145" s="27">
        <f>IF(COUNT(H125:H144), SUM(H125:H144) / COUNT(H125:H144), 0)</f>
        <v>-1.174820849042486E-2</v>
      </c>
      <c r="I145" s="28">
        <f>SUM(I125:I144)</f>
        <v>-35244.625471274587</v>
      </c>
      <c r="J145" s="26" t="s">
        <v>258</v>
      </c>
      <c r="K145" s="27">
        <f>IF(COUNT(K125:K144), SUM(K125:K144) / COUNT(K125:K144), 0)</f>
        <v>2.537170887231086E-3</v>
      </c>
      <c r="L145" s="28">
        <f>SUM(L125:L144)</f>
        <v>7611.5126616932512</v>
      </c>
      <c r="M145" s="26" t="s">
        <v>258</v>
      </c>
      <c r="N145" s="27">
        <f>IF(COUNT(N125:N144), SUM(N125:N144) / COUNT(N125:N144), 0)</f>
        <v>-5.7607392786095972E-3</v>
      </c>
      <c r="O145" s="28">
        <f>SUM(O125:O144)</f>
        <v>-17282.217835828793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21539000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1.0224474E-3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2023-01-05(목) 오전 00:00</v>
      </c>
      <c r="C150" s="198"/>
      <c r="D150" s="170" t="str">
        <f>TEXT($G$1, "[$-ko-KR]yyyy-mm-dd(ddd) ") &amp; "오후 14:00"</f>
        <v>2023-01-05(목) 오후 14:00</v>
      </c>
      <c r="E150" s="171"/>
      <c r="F150" s="172"/>
      <c r="G150" s="170" t="str">
        <f>TEXT($G$1, "[$-ko-KR]yyyy-mm-dd(ddd) ") &amp; "오후 19:00"</f>
        <v>2023-01-05(목) 오후 19:00</v>
      </c>
      <c r="H150" s="171"/>
      <c r="I150" s="172"/>
      <c r="J150" s="170" t="str">
        <f>TEXT($G$1, "[$-ko-KR]yyyy-mm-dd(ddd) ") &amp; "오후 21:00"</f>
        <v>2023-01-05(목) 오후 21:00</v>
      </c>
      <c r="K150" s="171"/>
      <c r="L150" s="172"/>
      <c r="M150" s="170" t="str">
        <f>TEXT($G$1+1, "[$-ko-KR]yyyy-mm-dd(ddd) ") &amp; "오전 00:00"</f>
        <v>2023-01-06(금)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66</v>
      </c>
      <c r="B152" s="108">
        <v>589</v>
      </c>
      <c r="C152" s="69">
        <v>1.02915952E-2</v>
      </c>
      <c r="D152" s="13">
        <v>587</v>
      </c>
      <c r="E152" s="14">
        <f>IF(ISNUMBER(D152), (D152 - $B152) / $B152, "")</f>
        <v>-3.3955857385398981E-3</v>
      </c>
      <c r="F152" s="16">
        <f>IF(ISNUMBER(D152), $B172 * E152, "")</f>
        <v>-509.33786078098473</v>
      </c>
      <c r="G152" s="29">
        <v>580</v>
      </c>
      <c r="H152" s="14">
        <f>IF(ISNUMBER(G152), (G152 - $B152) / $B152, "")</f>
        <v>-1.5280135823429542E-2</v>
      </c>
      <c r="I152" s="90">
        <f>IF(ISNUMBER(G152), $B172 * H152, "")</f>
        <v>-2292.0203735144314</v>
      </c>
      <c r="J152" s="13">
        <v>588</v>
      </c>
      <c r="K152" s="14">
        <f>IF(ISNUMBER(J152), (J152 - $B152) / $B152, "")</f>
        <v>-1.697792869269949E-3</v>
      </c>
      <c r="L152" s="16">
        <f>IF(ISNUMBER(J152), $B172 * K152, "")</f>
        <v>-254.66893039049236</v>
      </c>
      <c r="M152" s="29">
        <v>592</v>
      </c>
      <c r="N152" s="14">
        <f>IF(ISNUMBER(M152), (M152 - $B152) / $B152, "")</f>
        <v>5.0933786078098476E-3</v>
      </c>
      <c r="O152" s="16">
        <f>IF(ISNUMBER(M152), $B172 * N152, "")</f>
        <v>764.00679117147718</v>
      </c>
      <c r="Q152" s="156"/>
      <c r="R152" s="156"/>
      <c r="S152" s="156"/>
    </row>
    <row r="153" spans="1:19" ht="17.25" thickBot="1">
      <c r="A153" s="109" t="s">
        <v>165</v>
      </c>
      <c r="B153" s="110">
        <v>894</v>
      </c>
      <c r="C153" s="70">
        <v>1.0169491500000001E-2</v>
      </c>
      <c r="D153" s="15">
        <v>891</v>
      </c>
      <c r="E153" s="32">
        <f t="shared" ref="E153:E156" si="78">IF(ISNUMBER(D153), (D153 - $B153) / $B153, "")</f>
        <v>-3.3557046979865771E-3</v>
      </c>
      <c r="F153" s="18">
        <f>IF(ISNUMBER(D153), $B172 * E153, "")</f>
        <v>-503.35570469798654</v>
      </c>
      <c r="G153" s="31">
        <v>880</v>
      </c>
      <c r="H153" s="32">
        <f t="shared" ref="H153:H156" si="79">IF(ISNUMBER(G153), (G153 - $B153) / $B153, "")</f>
        <v>-1.5659955257270694E-2</v>
      </c>
      <c r="I153" s="91">
        <f>IF(ISNUMBER(G153), $B172 * H153, "")</f>
        <v>-2348.9932885906042</v>
      </c>
      <c r="J153" s="15">
        <v>883</v>
      </c>
      <c r="K153" s="32">
        <f t="shared" ref="K153:K156" si="80">IF(ISNUMBER(J153), (J153 - $B153) / $B153, "")</f>
        <v>-1.2304250559284116E-2</v>
      </c>
      <c r="L153" s="18">
        <f>IF(ISNUMBER(J153), $B172 * K153, "")</f>
        <v>-1845.6375838926174</v>
      </c>
      <c r="M153" s="31">
        <v>892</v>
      </c>
      <c r="N153" s="32">
        <f t="shared" ref="N153:N156" si="81">IF(ISNUMBER(M153), (M153 - $B153) / $B153, "")</f>
        <v>-2.2371364653243847E-3</v>
      </c>
      <c r="O153" s="18">
        <f>IF(ISNUMBER(M153), $B172 * N153, "")</f>
        <v>-335.57046979865771</v>
      </c>
      <c r="Q153" s="156"/>
      <c r="R153" s="156"/>
      <c r="S153" s="156"/>
    </row>
    <row r="154" spans="1:19" ht="17.25" thickBot="1">
      <c r="A154" s="109" t="s">
        <v>345</v>
      </c>
      <c r="B154" s="110">
        <v>109</v>
      </c>
      <c r="C154" s="70">
        <v>9.2592592999999994E-3</v>
      </c>
      <c r="D154" s="15">
        <v>110</v>
      </c>
      <c r="E154" s="32">
        <f t="shared" si="78"/>
        <v>9.1743119266055051E-3</v>
      </c>
      <c r="F154" s="18">
        <f>IF(ISNUMBER(D154), $B172 * E154, "")</f>
        <v>1376.1467889908258</v>
      </c>
      <c r="G154" s="31">
        <v>108</v>
      </c>
      <c r="H154" s="32">
        <f t="shared" si="79"/>
        <v>-9.1743119266055051E-3</v>
      </c>
      <c r="I154" s="91">
        <f>IF(ISNUMBER(G154), $B172 * H154, "")</f>
        <v>-1376.1467889908258</v>
      </c>
      <c r="J154" s="15">
        <v>109</v>
      </c>
      <c r="K154" s="32">
        <f t="shared" si="80"/>
        <v>0</v>
      </c>
      <c r="L154" s="18">
        <f>IF(ISNUMBER(J154), $B172 * K154, "")</f>
        <v>0</v>
      </c>
      <c r="M154" s="31">
        <v>108</v>
      </c>
      <c r="N154" s="32">
        <f t="shared" si="81"/>
        <v>-9.1743119266055051E-3</v>
      </c>
      <c r="O154" s="18">
        <f>IF(ISNUMBER(M154), $B172 * N154, "")</f>
        <v>-1376.1467889908258</v>
      </c>
      <c r="Q154" s="146"/>
      <c r="R154" s="146"/>
      <c r="S154" s="146"/>
    </row>
    <row r="155" spans="1:19" ht="17.25" thickBot="1">
      <c r="A155" s="109" t="s">
        <v>169</v>
      </c>
      <c r="B155" s="110">
        <v>229</v>
      </c>
      <c r="C155" s="70">
        <v>8.8105726999999998E-3</v>
      </c>
      <c r="D155" s="15">
        <v>229</v>
      </c>
      <c r="E155" s="32">
        <f t="shared" si="78"/>
        <v>0</v>
      </c>
      <c r="F155" s="18">
        <f>IF(ISNUMBER(D155), $B172 * E155, "")</f>
        <v>0</v>
      </c>
      <c r="G155" s="31">
        <v>226</v>
      </c>
      <c r="H155" s="32">
        <f t="shared" si="79"/>
        <v>-1.3100436681222707E-2</v>
      </c>
      <c r="I155" s="91">
        <f>IF(ISNUMBER(G155), $B172 * H155, "")</f>
        <v>-1965.0655021834061</v>
      </c>
      <c r="J155" s="15">
        <v>230</v>
      </c>
      <c r="K155" s="32">
        <f t="shared" si="80"/>
        <v>4.3668122270742356E-3</v>
      </c>
      <c r="L155" s="18">
        <f>IF(ISNUMBER(J155), $B172 * K155, "")</f>
        <v>655.02183406113534</v>
      </c>
      <c r="M155" s="31">
        <v>228</v>
      </c>
      <c r="N155" s="32">
        <f t="shared" si="81"/>
        <v>-4.3668122270742356E-3</v>
      </c>
      <c r="O155" s="18">
        <f>IF(ISNUMBER(M155), $B172 * N155, "")</f>
        <v>-655.02183406113534</v>
      </c>
      <c r="Q155" s="146"/>
      <c r="R155" s="146"/>
      <c r="S155" s="146"/>
    </row>
    <row r="156" spans="1:19" ht="17.25" thickBot="1">
      <c r="A156" s="111" t="s">
        <v>215</v>
      </c>
      <c r="B156" s="112">
        <v>286</v>
      </c>
      <c r="C156" s="71">
        <v>7.0422534999999998E-3</v>
      </c>
      <c r="D156" s="20">
        <v>288</v>
      </c>
      <c r="E156" s="21">
        <f t="shared" si="78"/>
        <v>6.993006993006993E-3</v>
      </c>
      <c r="F156" s="22">
        <f>IF(ISNUMBER(D156), $B172 * E156, "")</f>
        <v>1048.951048951049</v>
      </c>
      <c r="G156" s="30">
        <v>283</v>
      </c>
      <c r="H156" s="21">
        <f t="shared" si="79"/>
        <v>-1.048951048951049E-2</v>
      </c>
      <c r="I156" s="95">
        <f>IF(ISNUMBER(G156), $B172 * H156, "")</f>
        <v>-1573.4265734265734</v>
      </c>
      <c r="J156" s="20">
        <v>287</v>
      </c>
      <c r="K156" s="21">
        <f t="shared" si="80"/>
        <v>3.4965034965034965E-3</v>
      </c>
      <c r="L156" s="22">
        <f>IF(ISNUMBER(J156), $B172 * K156, "")</f>
        <v>524.47552447552448</v>
      </c>
      <c r="M156" s="30">
        <v>287</v>
      </c>
      <c r="N156" s="21">
        <f t="shared" si="81"/>
        <v>3.4965034965034965E-3</v>
      </c>
      <c r="O156" s="22">
        <f>IF(ISNUMBER(M156), $B172 * N156, "")</f>
        <v>524.47552447552448</v>
      </c>
      <c r="Q156" s="146"/>
      <c r="R156" s="146"/>
      <c r="S156" s="146"/>
    </row>
    <row r="157" spans="1:19" ht="17.25" thickBot="1">
      <c r="A157" s="109" t="s">
        <v>187</v>
      </c>
      <c r="B157" s="113">
        <v>728</v>
      </c>
      <c r="C157" s="73">
        <v>6.9156293000000001E-3</v>
      </c>
      <c r="D157" s="96">
        <v>723</v>
      </c>
      <c r="E157" s="97">
        <f>IF(ISNUMBER(D157), (D157 - $B157) / $B157, "")</f>
        <v>-6.868131868131868E-3</v>
      </c>
      <c r="F157" s="98">
        <f>IF(ISNUMBER(D157), $B172 * E157, "")</f>
        <v>-1030.2197802197802</v>
      </c>
      <c r="G157" s="99">
        <v>713</v>
      </c>
      <c r="H157" s="97">
        <f>IF(ISNUMBER(G157), (G157 - $B157) / $B157, "")</f>
        <v>-2.0604395604395604E-2</v>
      </c>
      <c r="I157" s="100">
        <f>IF(ISNUMBER(G157), $B172 * H157, "")</f>
        <v>-3090.6593406593406</v>
      </c>
      <c r="J157" s="96">
        <v>721</v>
      </c>
      <c r="K157" s="97">
        <f>IF(ISNUMBER(J157), (J157 - $B157) / $B157, "")</f>
        <v>-9.6153846153846159E-3</v>
      </c>
      <c r="L157" s="98">
        <f>IF(ISNUMBER(J157), $B172 * K157, "")</f>
        <v>-1442.3076923076924</v>
      </c>
      <c r="M157" s="99">
        <v>720</v>
      </c>
      <c r="N157" s="97">
        <f>IF(ISNUMBER(M157), (M157 - $B157) / $B157, "")</f>
        <v>-1.098901098901099E-2</v>
      </c>
      <c r="O157" s="98">
        <f>IF(ISNUMBER(M157), $B172 * N157, "")</f>
        <v>-1648.3516483516485</v>
      </c>
      <c r="Q157" s="146"/>
      <c r="R157" s="146"/>
      <c r="S157" s="146"/>
    </row>
    <row r="158" spans="1:19" ht="17.25" thickBot="1">
      <c r="A158" s="109" t="s">
        <v>167</v>
      </c>
      <c r="B158" s="110">
        <v>160</v>
      </c>
      <c r="C158" s="70">
        <v>6.2893081999999996E-3</v>
      </c>
      <c r="D158" s="15">
        <v>161</v>
      </c>
      <c r="E158" s="32">
        <f t="shared" ref="E158:E161" si="82">IF(ISNUMBER(D158), (D158 - $B158) / $B158, "")</f>
        <v>6.2500000000000003E-3</v>
      </c>
      <c r="F158" s="18">
        <f>IF(ISNUMBER(D158), $B172 * E158, "")</f>
        <v>937.5</v>
      </c>
      <c r="G158" s="31">
        <v>159</v>
      </c>
      <c r="H158" s="32">
        <f t="shared" ref="H158:H161" si="83">IF(ISNUMBER(G158), (G158 - $B158) / $B158, "")</f>
        <v>-6.2500000000000003E-3</v>
      </c>
      <c r="I158" s="91">
        <f>IF(ISNUMBER(G158), $B172 * H158, "")</f>
        <v>-937.5</v>
      </c>
      <c r="J158" s="15">
        <v>161</v>
      </c>
      <c r="K158" s="32">
        <f t="shared" ref="K158:K161" si="84">IF(ISNUMBER(J158), (J158 - $B158) / $B158, "")</f>
        <v>6.2500000000000003E-3</v>
      </c>
      <c r="L158" s="18">
        <f>IF(ISNUMBER(J158), $B172 * K158, "")</f>
        <v>937.5</v>
      </c>
      <c r="M158" s="31">
        <v>162</v>
      </c>
      <c r="N158" s="32">
        <f t="shared" ref="N158:N161" si="85">IF(ISNUMBER(M158), (M158 - $B158) / $B158, "")</f>
        <v>1.2500000000000001E-2</v>
      </c>
      <c r="O158" s="18">
        <f>IF(ISNUMBER(M158), $B172 * N158, "")</f>
        <v>1875</v>
      </c>
      <c r="Q158" s="146"/>
      <c r="R158" s="146"/>
      <c r="S158" s="146"/>
    </row>
    <row r="159" spans="1:19" ht="17.25" thickBot="1">
      <c r="A159" s="109" t="s">
        <v>219</v>
      </c>
      <c r="B159" s="110">
        <v>349</v>
      </c>
      <c r="C159" s="70">
        <v>5.7636887999999997E-3</v>
      </c>
      <c r="D159" s="15">
        <v>347</v>
      </c>
      <c r="E159" s="32">
        <f t="shared" si="82"/>
        <v>-5.7306590257879654E-3</v>
      </c>
      <c r="F159" s="18">
        <f>IF(ISNUMBER(D159), $B172 * E159, "")</f>
        <v>-859.59885386819485</v>
      </c>
      <c r="G159" s="31">
        <v>340</v>
      </c>
      <c r="H159" s="32">
        <f t="shared" si="83"/>
        <v>-2.5787965616045846E-2</v>
      </c>
      <c r="I159" s="91">
        <f>IF(ISNUMBER(G159), $B172 * H159, "")</f>
        <v>-3868.1948424068769</v>
      </c>
      <c r="J159" s="15">
        <v>345</v>
      </c>
      <c r="K159" s="32">
        <f t="shared" si="84"/>
        <v>-1.1461318051575931E-2</v>
      </c>
      <c r="L159" s="18">
        <f>IF(ISNUMBER(J159), $B172 * K159, "")</f>
        <v>-1719.1977077363897</v>
      </c>
      <c r="M159" s="31">
        <v>344</v>
      </c>
      <c r="N159" s="32">
        <f t="shared" si="85"/>
        <v>-1.4326647564469915E-2</v>
      </c>
      <c r="O159" s="18">
        <f>IF(ISNUMBER(M159), $B172 * N159, "")</f>
        <v>-2148.9971346704874</v>
      </c>
      <c r="Q159" s="146"/>
      <c r="R159" s="146"/>
      <c r="S159" s="146"/>
    </row>
    <row r="160" spans="1:19" ht="17.25" thickBot="1">
      <c r="A160" s="109" t="s">
        <v>317</v>
      </c>
      <c r="B160" s="110">
        <v>571</v>
      </c>
      <c r="C160" s="70">
        <v>5.2816900999999999E-3</v>
      </c>
      <c r="D160" s="15">
        <v>566</v>
      </c>
      <c r="E160" s="32">
        <f t="shared" si="82"/>
        <v>-8.7565674255691769E-3</v>
      </c>
      <c r="F160" s="18">
        <f>IF(ISNUMBER(D160), $B172 * E160, "")</f>
        <v>-1313.4851138353765</v>
      </c>
      <c r="G160" s="31">
        <v>557</v>
      </c>
      <c r="H160" s="32">
        <f t="shared" si="83"/>
        <v>-2.4518388791593695E-2</v>
      </c>
      <c r="I160" s="91">
        <f>IF(ISNUMBER(G160), $B172 * H160, "")</f>
        <v>-3677.7583187390542</v>
      </c>
      <c r="J160" s="15">
        <v>562</v>
      </c>
      <c r="K160" s="32">
        <f t="shared" si="84"/>
        <v>-1.5761821366024518E-2</v>
      </c>
      <c r="L160" s="18">
        <f>IF(ISNUMBER(J160), $B172 * K160, "")</f>
        <v>-2364.2732049036777</v>
      </c>
      <c r="M160" s="31">
        <v>560</v>
      </c>
      <c r="N160" s="32">
        <f t="shared" si="85"/>
        <v>-1.9264448336252189E-2</v>
      </c>
      <c r="O160" s="18">
        <f>IF(ISNUMBER(M160), $B172 * N160, "")</f>
        <v>-2889.6672504378284</v>
      </c>
      <c r="Q160" s="33"/>
      <c r="R160" s="33"/>
    </row>
    <row r="161" spans="1:19" ht="17.25" thickBot="1">
      <c r="A161" s="114" t="s">
        <v>89</v>
      </c>
      <c r="B161" s="115">
        <v>442</v>
      </c>
      <c r="C161" s="72">
        <v>4.5454544999999997E-3</v>
      </c>
      <c r="D161" s="24">
        <v>445</v>
      </c>
      <c r="E161" s="25">
        <f t="shared" si="82"/>
        <v>6.7873303167420816E-3</v>
      </c>
      <c r="F161" s="94">
        <f>IF(ISNUMBER(D161), $B172 * E161, "")</f>
        <v>1018.0995475113123</v>
      </c>
      <c r="G161" s="92">
        <v>434</v>
      </c>
      <c r="H161" s="25">
        <f t="shared" si="83"/>
        <v>-1.8099547511312219E-2</v>
      </c>
      <c r="I161" s="93">
        <f>IF(ISNUMBER(G161), $B172 * H161, "")</f>
        <v>-2714.9321266968327</v>
      </c>
      <c r="J161" s="24">
        <v>437</v>
      </c>
      <c r="K161" s="25">
        <f t="shared" si="84"/>
        <v>-1.1312217194570135E-2</v>
      </c>
      <c r="L161" s="94">
        <f>IF(ISNUMBER(J161), $B172 * K161, "")</f>
        <v>-1696.8325791855202</v>
      </c>
      <c r="M161" s="92">
        <v>436</v>
      </c>
      <c r="N161" s="25">
        <f t="shared" si="85"/>
        <v>-1.3574660633484163E-2</v>
      </c>
      <c r="O161" s="94">
        <f>IF(ISNUMBER(M161), $B172 * N161, "")</f>
        <v>-2036.1990950226245</v>
      </c>
      <c r="Q161" s="147"/>
      <c r="R161" s="148"/>
      <c r="S161" s="149"/>
    </row>
    <row r="162" spans="1:19">
      <c r="A162" s="107" t="s">
        <v>231</v>
      </c>
      <c r="B162" s="108">
        <v>308</v>
      </c>
      <c r="C162" s="69">
        <v>3.2573290000000002E-3</v>
      </c>
      <c r="D162" s="13">
        <v>310</v>
      </c>
      <c r="E162" s="14">
        <f>IF(ISNUMBER(D162), (D162 - $B162) / $B162, "")</f>
        <v>6.4935064935064939E-3</v>
      </c>
      <c r="F162" s="16">
        <f>IF(ISNUMBER(D162), $B172 * E162, "")</f>
        <v>974.02597402597405</v>
      </c>
      <c r="G162" s="29">
        <v>303</v>
      </c>
      <c r="H162" s="14">
        <f>IF(ISNUMBER(G162), (G162 - $B162) / $B162, "")</f>
        <v>-1.6233766233766232E-2</v>
      </c>
      <c r="I162" s="90">
        <f>IF(ISNUMBER(G162), $B172 * H162, "")</f>
        <v>-2435.0649350649346</v>
      </c>
      <c r="J162" s="13">
        <v>306</v>
      </c>
      <c r="K162" s="14">
        <f>IF(ISNUMBER(J162), (J162 - $B162) / $B162, "")</f>
        <v>-6.4935064935064939E-3</v>
      </c>
      <c r="L162" s="16">
        <f>IF(ISNUMBER(J162), $B172 * K162, "")</f>
        <v>-974.02597402597405</v>
      </c>
      <c r="M162" s="29">
        <v>306</v>
      </c>
      <c r="N162" s="14">
        <f>IF(ISNUMBER(M162), (M162 - $B162) / $B162, "")</f>
        <v>-6.4935064935064939E-3</v>
      </c>
      <c r="O162" s="16">
        <f>IF(ISNUMBER(M162), $B172 * N162, "")</f>
        <v>-974.02597402597405</v>
      </c>
      <c r="Q162" s="150"/>
      <c r="R162" s="151"/>
      <c r="S162" s="152"/>
    </row>
    <row r="163" spans="1:19" ht="17.25" thickBot="1">
      <c r="A163" s="109" t="s">
        <v>239</v>
      </c>
      <c r="B163" s="110">
        <v>411</v>
      </c>
      <c r="C163" s="70">
        <v>2.4390243999999998E-3</v>
      </c>
      <c r="D163" s="15">
        <v>411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407</v>
      </c>
      <c r="H163" s="32">
        <f t="shared" ref="H163:H166" si="87">IF(ISNUMBER(G163), (G163 - $B163) / $B163, "")</f>
        <v>-9.7323600973236012E-3</v>
      </c>
      <c r="I163" s="91">
        <f>IF(ISNUMBER(G163), $B172 * H163, "")</f>
        <v>-1459.8540145985403</v>
      </c>
      <c r="J163" s="15">
        <v>412</v>
      </c>
      <c r="K163" s="32">
        <f t="shared" ref="K163:K166" si="88">IF(ISNUMBER(J163), (J163 - $B163) / $B163, "")</f>
        <v>2.4330900243309003E-3</v>
      </c>
      <c r="L163" s="18">
        <f>IF(ISNUMBER(J163), $B172 * K163, "")</f>
        <v>364.96350364963507</v>
      </c>
      <c r="M163" s="31">
        <v>411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153"/>
      <c r="R163" s="154"/>
      <c r="S163" s="155"/>
    </row>
    <row r="164" spans="1:19" ht="17.25" thickBot="1">
      <c r="A164" s="109" t="s">
        <v>211</v>
      </c>
      <c r="B164" s="110">
        <v>916</v>
      </c>
      <c r="C164" s="70">
        <v>1.0928962E-3</v>
      </c>
      <c r="D164" s="15">
        <v>922</v>
      </c>
      <c r="E164" s="32">
        <f t="shared" si="86"/>
        <v>6.5502183406113534E-3</v>
      </c>
      <c r="F164" s="18">
        <f>IF(ISNUMBER(D164), $B172 * E164, "")</f>
        <v>982.53275109170306</v>
      </c>
      <c r="G164" s="31">
        <v>911</v>
      </c>
      <c r="H164" s="32">
        <f t="shared" si="87"/>
        <v>-5.4585152838427945E-3</v>
      </c>
      <c r="I164" s="91">
        <f>IF(ISNUMBER(G164), $B172 * H164, "")</f>
        <v>-818.7772925764192</v>
      </c>
      <c r="J164" s="15">
        <v>916</v>
      </c>
      <c r="K164" s="32">
        <f t="shared" si="88"/>
        <v>0</v>
      </c>
      <c r="L164" s="18">
        <f>IF(ISNUMBER(J164), $B172 * K164, "")</f>
        <v>0</v>
      </c>
      <c r="M164" s="31">
        <v>938</v>
      </c>
      <c r="N164" s="32">
        <f t="shared" si="89"/>
        <v>2.4017467248908297E-2</v>
      </c>
      <c r="O164" s="18">
        <f>IF(ISNUMBER(M164), $B172 * N164, "")</f>
        <v>3602.6200873362445</v>
      </c>
      <c r="Q164" s="146"/>
      <c r="R164" s="146"/>
      <c r="S164" s="146"/>
    </row>
    <row r="165" spans="1:19" ht="17.25" thickBot="1">
      <c r="A165" s="109" t="s">
        <v>189</v>
      </c>
      <c r="B165" s="110">
        <v>929</v>
      </c>
      <c r="C165" s="70">
        <v>1.0775862E-3</v>
      </c>
      <c r="D165" s="15">
        <v>926</v>
      </c>
      <c r="E165" s="32">
        <f t="shared" si="86"/>
        <v>-3.2292787944025836E-3</v>
      </c>
      <c r="F165" s="18">
        <f>IF(ISNUMBER(D165), $B172 * E165, "")</f>
        <v>-484.39181916038751</v>
      </c>
      <c r="G165" s="31">
        <v>900</v>
      </c>
      <c r="H165" s="32">
        <f t="shared" si="87"/>
        <v>-3.1216361679224973E-2</v>
      </c>
      <c r="I165" s="91">
        <f>IF(ISNUMBER(G165), $B172 * H165, "")</f>
        <v>-4682.4542518837461</v>
      </c>
      <c r="J165" s="15">
        <v>911</v>
      </c>
      <c r="K165" s="32">
        <f t="shared" si="88"/>
        <v>-1.9375672766415501E-2</v>
      </c>
      <c r="L165" s="18">
        <f>IF(ISNUMBER(J165), $B172 * K165, "")</f>
        <v>-2906.3509149623251</v>
      </c>
      <c r="M165" s="31">
        <v>903</v>
      </c>
      <c r="N165" s="32">
        <f t="shared" si="89"/>
        <v>-2.7987082884822389E-2</v>
      </c>
      <c r="O165" s="18">
        <f>IF(ISNUMBER(M165), $B172 * N165, "")</f>
        <v>-4198.0624327233581</v>
      </c>
      <c r="Q165" s="156"/>
      <c r="R165" s="156"/>
      <c r="S165" s="156"/>
    </row>
    <row r="166" spans="1:19" ht="17.25" thickBot="1">
      <c r="A166" s="111" t="s">
        <v>183</v>
      </c>
      <c r="B166" s="112">
        <v>115</v>
      </c>
      <c r="C166" s="71">
        <v>0</v>
      </c>
      <c r="D166" s="20">
        <v>116</v>
      </c>
      <c r="E166" s="21">
        <f t="shared" si="86"/>
        <v>8.6956521739130436E-3</v>
      </c>
      <c r="F166" s="22">
        <f>IF(ISNUMBER(D166), $B172 * E166, "")</f>
        <v>1304.3478260869565</v>
      </c>
      <c r="G166" s="30">
        <v>113</v>
      </c>
      <c r="H166" s="21">
        <f t="shared" si="87"/>
        <v>-1.7391304347826087E-2</v>
      </c>
      <c r="I166" s="95">
        <f>IF(ISNUMBER(G166), $B172 * H166, "")</f>
        <v>-2608.695652173913</v>
      </c>
      <c r="J166" s="20">
        <v>115</v>
      </c>
      <c r="K166" s="21">
        <f t="shared" si="88"/>
        <v>0</v>
      </c>
      <c r="L166" s="22">
        <f>IF(ISNUMBER(J166), $B172 * K166, "")</f>
        <v>0</v>
      </c>
      <c r="M166" s="30">
        <v>116</v>
      </c>
      <c r="N166" s="21">
        <f t="shared" si="89"/>
        <v>8.6956521739130436E-3</v>
      </c>
      <c r="O166" s="22">
        <f>IF(ISNUMBER(M166), $B172 * N166, "")</f>
        <v>1304.3478260869565</v>
      </c>
      <c r="Q166" s="156"/>
      <c r="R166" s="156"/>
      <c r="S166" s="156"/>
    </row>
    <row r="167" spans="1:19" ht="17.25" thickBot="1">
      <c r="A167" s="109" t="s">
        <v>120</v>
      </c>
      <c r="B167" s="113">
        <v>101</v>
      </c>
      <c r="C167" s="73">
        <v>0</v>
      </c>
      <c r="D167" s="96">
        <v>101</v>
      </c>
      <c r="E167" s="97">
        <f>IF(ISNUMBER(D167), (D167 - $B167) / $B167, "")</f>
        <v>0</v>
      </c>
      <c r="F167" s="98">
        <f>IF(ISNUMBER(D167), $B172 * E167, "")</f>
        <v>0</v>
      </c>
      <c r="G167" s="99">
        <v>99.2</v>
      </c>
      <c r="H167" s="97">
        <f>IF(ISNUMBER(G167), (G167 - $B167) / $B167, "")</f>
        <v>-1.7821782178217793E-2</v>
      </c>
      <c r="I167" s="100">
        <f>IF(ISNUMBER(G167), $B172 * H167, "")</f>
        <v>-2673.2673267326691</v>
      </c>
      <c r="J167" s="96">
        <v>99.6</v>
      </c>
      <c r="K167" s="97">
        <f>IF(ISNUMBER(J167), (J167 - $B167) / $B167, "")</f>
        <v>-1.3861386138613917E-2</v>
      </c>
      <c r="L167" s="98">
        <f>IF(ISNUMBER(J167), $B172 * K167, "")</f>
        <v>-2079.2079207920874</v>
      </c>
      <c r="M167" s="99">
        <v>99.2</v>
      </c>
      <c r="N167" s="97">
        <f>IF(ISNUMBER(M167), (M167 - $B167) / $B167, "")</f>
        <v>-1.7821782178217793E-2</v>
      </c>
      <c r="O167" s="98">
        <f>IF(ISNUMBER(M167), $B172 * N167, "")</f>
        <v>-2673.2673267326691</v>
      </c>
      <c r="Q167" s="146"/>
      <c r="R167" s="146"/>
      <c r="S167" s="146"/>
    </row>
    <row r="168" spans="1:19" ht="17.25" thickBot="1">
      <c r="A168" s="109" t="s">
        <v>116</v>
      </c>
      <c r="B168" s="110">
        <v>919</v>
      </c>
      <c r="C168" s="70">
        <v>-1.0869565E-3</v>
      </c>
      <c r="D168" s="15">
        <v>915</v>
      </c>
      <c r="E168" s="32">
        <f t="shared" ref="E168:E171" si="90">IF(ISNUMBER(D168), (D168 - $B168) / $B168, "")</f>
        <v>-4.3525571273122961E-3</v>
      </c>
      <c r="F168" s="18">
        <f>IF(ISNUMBER(D168), $B172 * E168, "")</f>
        <v>-652.88356909684444</v>
      </c>
      <c r="G168" s="31">
        <v>905</v>
      </c>
      <c r="H168" s="32">
        <f t="shared" ref="H168:H171" si="91">IF(ISNUMBER(G168), (G168 - $B168) / $B168, "")</f>
        <v>-1.5233949945593036E-2</v>
      </c>
      <c r="I168" s="91">
        <f>IF(ISNUMBER(G168), $B172 * H168, "")</f>
        <v>-2285.0924918389555</v>
      </c>
      <c r="J168" s="15">
        <v>912</v>
      </c>
      <c r="K168" s="32">
        <f t="shared" ref="K168:K171" si="92">IF(ISNUMBER(J168), (J168 - $B168) / $B168, "")</f>
        <v>-7.6169749727965181E-3</v>
      </c>
      <c r="L168" s="18">
        <f>IF(ISNUMBER(J168), $B172 * K168, "")</f>
        <v>-1142.5462459194778</v>
      </c>
      <c r="M168" s="31">
        <v>909</v>
      </c>
      <c r="N168" s="32">
        <f t="shared" ref="N168:N171" si="93">IF(ISNUMBER(M168), (M168 - $B168) / $B168, "")</f>
        <v>-1.088139281828074E-2</v>
      </c>
      <c r="O168" s="18">
        <f>IF(ISNUMBER(M168), $B172 * N168, "")</f>
        <v>-1632.2089227421111</v>
      </c>
      <c r="Q168" s="146"/>
      <c r="R168" s="146"/>
      <c r="S168" s="146"/>
    </row>
    <row r="169" spans="1:19" ht="17.25" thickBot="1">
      <c r="A169" s="109" t="s">
        <v>319</v>
      </c>
      <c r="B169" s="110">
        <v>327</v>
      </c>
      <c r="C169" s="70">
        <v>-3.0487804999999998E-3</v>
      </c>
      <c r="D169" s="15">
        <v>331</v>
      </c>
      <c r="E169" s="32">
        <f t="shared" si="90"/>
        <v>1.2232415902140673E-2</v>
      </c>
      <c r="F169" s="18">
        <f>IF(ISNUMBER(D169), $B172 * E169, "")</f>
        <v>1834.8623853211009</v>
      </c>
      <c r="G169" s="31">
        <v>325</v>
      </c>
      <c r="H169" s="32">
        <f t="shared" si="91"/>
        <v>-6.1162079510703364E-3</v>
      </c>
      <c r="I169" s="91">
        <f>IF(ISNUMBER(G169), $B172 * H169, "")</f>
        <v>-917.43119266055044</v>
      </c>
      <c r="J169" s="15">
        <v>330</v>
      </c>
      <c r="K169" s="32">
        <f t="shared" si="92"/>
        <v>9.1743119266055051E-3</v>
      </c>
      <c r="L169" s="18">
        <f>IF(ISNUMBER(J169), $B172 * K169, "")</f>
        <v>1376.1467889908258</v>
      </c>
      <c r="M169" s="31">
        <v>325</v>
      </c>
      <c r="N169" s="32">
        <f t="shared" si="93"/>
        <v>-6.1162079510703364E-3</v>
      </c>
      <c r="O169" s="18">
        <f>IF(ISNUMBER(M169), $B172 * N169, "")</f>
        <v>-917.43119266055044</v>
      </c>
      <c r="Q169" s="146"/>
      <c r="R169" s="146"/>
      <c r="S169" s="146"/>
    </row>
    <row r="170" spans="1:19">
      <c r="A170" s="109" t="s">
        <v>341</v>
      </c>
      <c r="B170" s="110">
        <v>653</v>
      </c>
      <c r="C170" s="70">
        <v>-3.0534351000000002E-3</v>
      </c>
      <c r="D170" s="15">
        <v>650</v>
      </c>
      <c r="E170" s="32">
        <f t="shared" si="90"/>
        <v>-4.5941807044410417E-3</v>
      </c>
      <c r="F170" s="18">
        <f>IF(ISNUMBER(D170), $B172 * E170, "")</f>
        <v>-689.12710566615624</v>
      </c>
      <c r="G170" s="31">
        <v>631</v>
      </c>
      <c r="H170" s="32">
        <f t="shared" si="91"/>
        <v>-3.3690658499234305E-2</v>
      </c>
      <c r="I170" s="91">
        <f>IF(ISNUMBER(G170), $B172 * H170, "")</f>
        <v>-5053.5987748851458</v>
      </c>
      <c r="J170" s="15">
        <v>632</v>
      </c>
      <c r="K170" s="32">
        <f t="shared" si="92"/>
        <v>-3.2159264931087291E-2</v>
      </c>
      <c r="L170" s="18">
        <f>IF(ISNUMBER(J170), $B172 * K170, "")</f>
        <v>-4823.8897396630937</v>
      </c>
      <c r="M170" s="31">
        <v>632</v>
      </c>
      <c r="N170" s="32">
        <f t="shared" si="93"/>
        <v>-3.2159264931087291E-2</v>
      </c>
      <c r="O170" s="18">
        <f>IF(ISNUMBER(M170), $B172 * N170, "")</f>
        <v>-4823.8897396630937</v>
      </c>
      <c r="Q170" s="135"/>
      <c r="R170" s="136"/>
      <c r="S170" s="137"/>
    </row>
    <row r="171" spans="1:19" ht="17.25" thickBot="1">
      <c r="A171" s="114" t="s">
        <v>68</v>
      </c>
      <c r="B171" s="115">
        <v>267</v>
      </c>
      <c r="C171" s="72">
        <v>-3.7313432999999999E-3</v>
      </c>
      <c r="D171" s="24">
        <v>259</v>
      </c>
      <c r="E171" s="25">
        <f t="shared" si="90"/>
        <v>-2.9962546816479401E-2</v>
      </c>
      <c r="F171" s="94">
        <f>IF(ISNUMBER(D171), $B172 * E171, "")</f>
        <v>-4494.3820224719102</v>
      </c>
      <c r="G171" s="92">
        <v>253</v>
      </c>
      <c r="H171" s="25">
        <f t="shared" si="91"/>
        <v>-5.2434456928838954E-2</v>
      </c>
      <c r="I171" s="93">
        <f>IF(ISNUMBER(G171), $B172 * H171, "")</f>
        <v>-7865.1685393258431</v>
      </c>
      <c r="J171" s="24">
        <v>255</v>
      </c>
      <c r="K171" s="25">
        <f t="shared" si="92"/>
        <v>-4.49438202247191E-2</v>
      </c>
      <c r="L171" s="94">
        <f>IF(ISNUMBER(J171), $B172 * K171, "")</f>
        <v>-6741.5730337078649</v>
      </c>
      <c r="M171" s="92">
        <v>253</v>
      </c>
      <c r="N171" s="25">
        <f t="shared" si="93"/>
        <v>-5.2434456928838954E-2</v>
      </c>
      <c r="O171" s="94">
        <f>IF(ISNUMBER(M171), $B172 * N171, "")</f>
        <v>-7865.1685393258431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-3.5343850260623319E-4</v>
      </c>
      <c r="F172" s="28">
        <f>SUM(F152:F171)</f>
        <v>-1060.3155078187001</v>
      </c>
      <c r="G172" s="26" t="s">
        <v>258</v>
      </c>
      <c r="H172" s="27">
        <f>IF(COUNT(H152:H171), SUM(H152:H171) / COUNT(H152:H171), 0)</f>
        <v>-1.821470054231622E-2</v>
      </c>
      <c r="I172" s="28">
        <f>SUM(I152:I171)</f>
        <v>-54644.101626948664</v>
      </c>
      <c r="J172" s="26" t="s">
        <v>258</v>
      </c>
      <c r="K172" s="27">
        <f>IF(COUNT(K152:K171), SUM(K152:K171) / COUNT(K152:K171), 0)</f>
        <v>-8.0441346254366986E-3</v>
      </c>
      <c r="L172" s="28">
        <f>SUM(L152:L171)</f>
        <v>-24132.403876310094</v>
      </c>
      <c r="M172" s="26" t="s">
        <v>258</v>
      </c>
      <c r="N172" s="27">
        <f>IF(COUNT(N152:N171), SUM(N152:N171) / COUNT(N152:N171), 0)</f>
        <v>-8.7011860400455325E-3</v>
      </c>
      <c r="O172" s="28">
        <f>SUM(O152:O171)</f>
        <v>-26103.5581201366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21539000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1.0224474E-3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2023-01-05(목) 오전 00:00</v>
      </c>
      <c r="C177" s="198"/>
      <c r="D177" s="170" t="str">
        <f>TEXT($G$1, "[$-ko-KR]yyyy-mm-dd(ddd) ") &amp; "오후 14:00"</f>
        <v>2023-01-05(목) 오후 14:00</v>
      </c>
      <c r="E177" s="171"/>
      <c r="F177" s="172"/>
      <c r="G177" s="170" t="str">
        <f>TEXT($G$1, "[$-ko-KR]yyyy-mm-dd(ddd) ") &amp; "오후 19:00"</f>
        <v>2023-01-05(목) 오후 19:00</v>
      </c>
      <c r="H177" s="171"/>
      <c r="I177" s="172"/>
      <c r="J177" s="170" t="str">
        <f>TEXT($G$1, "[$-ko-KR]yyyy-mm-dd(ddd) ") &amp; "오후 21:00"</f>
        <v>2023-01-05(목) 오후 21:00</v>
      </c>
      <c r="K177" s="171"/>
      <c r="L177" s="172"/>
      <c r="M177" s="170" t="str">
        <f>TEXT($G$1+1, "[$-ko-KR]yyyy-mm-dd(ddd) ") &amp; "오전 00:00"</f>
        <v>2023-01-06(금)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233</v>
      </c>
      <c r="B179" s="108">
        <v>2745</v>
      </c>
      <c r="C179" s="69">
        <v>3.6563071000000002E-3</v>
      </c>
      <c r="D179" s="13">
        <v>2730</v>
      </c>
      <c r="E179" s="14">
        <f>IF(ISNUMBER(D179), (D179 - $B179) / $B179, "")</f>
        <v>-5.4644808743169399E-3</v>
      </c>
      <c r="F179" s="16">
        <f>IF(ISNUMBER(D179), $B199 * E179, "")</f>
        <v>-819.67213114754099</v>
      </c>
      <c r="G179" s="29">
        <v>2710</v>
      </c>
      <c r="H179" s="14">
        <f>IF(ISNUMBER(G179), (G179 - $B179) / $B179, "")</f>
        <v>-1.2750455373406194E-2</v>
      </c>
      <c r="I179" s="90">
        <f>IF(ISNUMBER(G179), $B199 * H179, "")</f>
        <v>-1912.5683060109291</v>
      </c>
      <c r="J179" s="13">
        <v>2730</v>
      </c>
      <c r="K179" s="14">
        <f>IF(ISNUMBER(J179), (J179 - $B179) / $B179, "")</f>
        <v>-5.4644808743169399E-3</v>
      </c>
      <c r="L179" s="16">
        <f>IF(ISNUMBER(J179), $B199 * K179, "")</f>
        <v>-819.67213114754099</v>
      </c>
      <c r="M179" s="29">
        <v>2745</v>
      </c>
      <c r="N179" s="14">
        <f>IF(ISNUMBER(M179), (M179 - $B179) / $B179, "")</f>
        <v>0</v>
      </c>
      <c r="O179" s="16">
        <f>IF(ISNUMBER(M179), $B199 * N179, "")</f>
        <v>0</v>
      </c>
      <c r="Q179" s="156"/>
      <c r="R179" s="156"/>
      <c r="S179" s="156"/>
    </row>
    <row r="180" spans="1:19" ht="17.25" thickBot="1">
      <c r="A180" s="109" t="s">
        <v>343</v>
      </c>
      <c r="B180" s="110">
        <v>17190</v>
      </c>
      <c r="C180" s="70">
        <v>3.5026269999999999E-3</v>
      </c>
      <c r="D180" s="15">
        <v>17060</v>
      </c>
      <c r="E180" s="32">
        <f t="shared" ref="E180:E183" si="94">IF(ISNUMBER(D180), (D180 - $B180) / $B180, "")</f>
        <v>-7.5625363583478765E-3</v>
      </c>
      <c r="F180" s="18">
        <f>IF(ISNUMBER(D180), $B199 * E180, "")</f>
        <v>-1134.3804537521814</v>
      </c>
      <c r="G180" s="31">
        <v>16630</v>
      </c>
      <c r="H180" s="32">
        <f t="shared" ref="H180:H183" si="95">IF(ISNUMBER(G180), (G180 - $B180) / $B180, "")</f>
        <v>-3.2577079697498547E-2</v>
      </c>
      <c r="I180" s="91">
        <f>IF(ISNUMBER(G180), $B199 * H180, "")</f>
        <v>-4886.5619546247817</v>
      </c>
      <c r="J180" s="15">
        <v>16910</v>
      </c>
      <c r="K180" s="32">
        <f t="shared" ref="K180:K183" si="96">IF(ISNUMBER(J180), (J180 - $B180) / $B180, "")</f>
        <v>-1.6288539848749273E-2</v>
      </c>
      <c r="L180" s="18">
        <f>IF(ISNUMBER(J180), $B199 * K180, "")</f>
        <v>-2443.2809773123909</v>
      </c>
      <c r="M180" s="31">
        <v>16830</v>
      </c>
      <c r="N180" s="32">
        <f t="shared" ref="N180:N183" si="97">IF(ISNUMBER(M180), (M180 - $B180) / $B180, "")</f>
        <v>-2.0942408376963352E-2</v>
      </c>
      <c r="O180" s="18">
        <f>IF(ISNUMBER(M180), $B199 * N180, "")</f>
        <v>-3141.3612565445028</v>
      </c>
      <c r="Q180" s="156"/>
      <c r="R180" s="156"/>
      <c r="S180" s="156"/>
    </row>
    <row r="181" spans="1:19" ht="17.25" thickBot="1">
      <c r="A181" s="109" t="s">
        <v>241</v>
      </c>
      <c r="B181" s="110">
        <v>86.1</v>
      </c>
      <c r="C181" s="70">
        <v>3.4965034999999999E-3</v>
      </c>
      <c r="D181" s="15">
        <v>86</v>
      </c>
      <c r="E181" s="32">
        <f t="shared" si="94"/>
        <v>-1.1614401858303638E-3</v>
      </c>
      <c r="F181" s="18">
        <f>IF(ISNUMBER(D181), $B199 * E181, "")</f>
        <v>-174.21602787455458</v>
      </c>
      <c r="G181" s="31">
        <v>84.6</v>
      </c>
      <c r="H181" s="32">
        <f t="shared" si="95"/>
        <v>-1.7421602787456449E-2</v>
      </c>
      <c r="I181" s="91">
        <f>IF(ISNUMBER(G181), $B199 * H181, "")</f>
        <v>-2613.2404181184675</v>
      </c>
      <c r="J181" s="15">
        <v>85.4</v>
      </c>
      <c r="K181" s="32">
        <f t="shared" si="96"/>
        <v>-8.1300813008128772E-3</v>
      </c>
      <c r="L181" s="18">
        <f>IF(ISNUMBER(J181), $B199 * K181, "")</f>
        <v>-1219.5121951219317</v>
      </c>
      <c r="M181" s="31">
        <v>85.3</v>
      </c>
      <c r="N181" s="32">
        <f t="shared" si="97"/>
        <v>-9.2915214866434049E-3</v>
      </c>
      <c r="O181" s="18">
        <f>IF(ISNUMBER(M181), $B199 * N181, "")</f>
        <v>-1393.7282229965108</v>
      </c>
      <c r="Q181" s="146"/>
      <c r="R181" s="146"/>
      <c r="S181" s="146"/>
    </row>
    <row r="182" spans="1:19" ht="17.25" thickBot="1">
      <c r="A182" s="109" t="s">
        <v>231</v>
      </c>
      <c r="B182" s="110">
        <v>308</v>
      </c>
      <c r="C182" s="70">
        <v>3.2573290000000002E-3</v>
      </c>
      <c r="D182" s="15">
        <v>310</v>
      </c>
      <c r="E182" s="32">
        <f t="shared" si="94"/>
        <v>6.4935064935064939E-3</v>
      </c>
      <c r="F182" s="18">
        <f>IF(ISNUMBER(D182), $B199 * E182, "")</f>
        <v>974.02597402597405</v>
      </c>
      <c r="G182" s="31">
        <v>303</v>
      </c>
      <c r="H182" s="32">
        <f t="shared" si="95"/>
        <v>-1.6233766233766232E-2</v>
      </c>
      <c r="I182" s="91">
        <f>IF(ISNUMBER(G182), $B199 * H182, "")</f>
        <v>-2435.0649350649346</v>
      </c>
      <c r="J182" s="15">
        <v>306</v>
      </c>
      <c r="K182" s="32">
        <f t="shared" si="96"/>
        <v>-6.4935064935064939E-3</v>
      </c>
      <c r="L182" s="18">
        <f>IF(ISNUMBER(J182), $B199 * K182, "")</f>
        <v>-974.02597402597405</v>
      </c>
      <c r="M182" s="31">
        <v>306</v>
      </c>
      <c r="N182" s="32">
        <f t="shared" si="97"/>
        <v>-6.4935064935064939E-3</v>
      </c>
      <c r="O182" s="18">
        <f>IF(ISNUMBER(M182), $B199 * N182, "")</f>
        <v>-974.02597402597405</v>
      </c>
      <c r="Q182" s="146"/>
      <c r="R182" s="146"/>
      <c r="S182" s="146"/>
    </row>
    <row r="183" spans="1:19" ht="17.25" thickBot="1">
      <c r="A183" s="111" t="s">
        <v>145</v>
      </c>
      <c r="B183" s="112">
        <v>70.400000000000006</v>
      </c>
      <c r="C183" s="71">
        <v>2.8490028000000001E-3</v>
      </c>
      <c r="D183" s="20">
        <v>69.900000000000006</v>
      </c>
      <c r="E183" s="21">
        <f t="shared" si="94"/>
        <v>-7.102272727272727E-3</v>
      </c>
      <c r="F183" s="22">
        <f>IF(ISNUMBER(D183), $B199 * E183, "")</f>
        <v>-1065.340909090909</v>
      </c>
      <c r="G183" s="30">
        <v>69.7</v>
      </c>
      <c r="H183" s="21">
        <f t="shared" si="95"/>
        <v>-9.9431818181818579E-3</v>
      </c>
      <c r="I183" s="95">
        <f>IF(ISNUMBER(G183), $B199 * H183, "")</f>
        <v>-1491.4772727272787</v>
      </c>
      <c r="J183" s="20">
        <v>69.8</v>
      </c>
      <c r="K183" s="21">
        <f t="shared" si="96"/>
        <v>-8.5227272727273935E-3</v>
      </c>
      <c r="L183" s="22">
        <f>IF(ISNUMBER(J183), $B199 * K183, "")</f>
        <v>-1278.409090909109</v>
      </c>
      <c r="M183" s="30">
        <v>69.400000000000006</v>
      </c>
      <c r="N183" s="21">
        <f t="shared" si="97"/>
        <v>-1.4204545454545454E-2</v>
      </c>
      <c r="O183" s="22">
        <f>IF(ISNUMBER(M183), $B199 * N183, "")</f>
        <v>-2130.681818181818</v>
      </c>
      <c r="Q183" s="146"/>
      <c r="R183" s="146"/>
      <c r="S183" s="146"/>
    </row>
    <row r="184" spans="1:19" ht="17.25" thickBot="1">
      <c r="A184" s="109" t="s">
        <v>209</v>
      </c>
      <c r="B184" s="113">
        <v>71.099999999999994</v>
      </c>
      <c r="C184" s="73">
        <v>2.8208744999999999E-3</v>
      </c>
      <c r="D184" s="96">
        <v>71.2</v>
      </c>
      <c r="E184" s="97">
        <f>IF(ISNUMBER(D184), (D184 - $B184) / $B184, "")</f>
        <v>1.4064697609002606E-3</v>
      </c>
      <c r="F184" s="98">
        <f>IF(ISNUMBER(D184), $B199 * E184, "")</f>
        <v>210.97046413503909</v>
      </c>
      <c r="G184" s="99">
        <v>69.8</v>
      </c>
      <c r="H184" s="97">
        <f>IF(ISNUMBER(G184), (G184 - $B184) / $B184, "")</f>
        <v>-1.828410689170179E-2</v>
      </c>
      <c r="I184" s="100">
        <f>IF(ISNUMBER(G184), $B199 * H184, "")</f>
        <v>-2742.6160337552687</v>
      </c>
      <c r="J184" s="96">
        <v>70.8</v>
      </c>
      <c r="K184" s="97">
        <f>IF(ISNUMBER(J184), (J184 - $B184) / $B184, "")</f>
        <v>-4.2194092827003826E-3</v>
      </c>
      <c r="L184" s="98">
        <f>IF(ISNUMBER(J184), $B199 * K184, "")</f>
        <v>-632.91139240505743</v>
      </c>
      <c r="M184" s="99">
        <v>70.5</v>
      </c>
      <c r="N184" s="97">
        <f>IF(ISNUMBER(M184), (M184 - $B184) / $B184, "")</f>
        <v>-8.4388185654007651E-3</v>
      </c>
      <c r="O184" s="98">
        <f>IF(ISNUMBER(M184), $B199 * N184, "")</f>
        <v>-1265.8227848101149</v>
      </c>
      <c r="Q184" s="146"/>
      <c r="R184" s="146"/>
      <c r="S184" s="146"/>
    </row>
    <row r="185" spans="1:19" ht="17.25" thickBot="1">
      <c r="A185" s="109" t="s">
        <v>239</v>
      </c>
      <c r="B185" s="110">
        <v>411</v>
      </c>
      <c r="C185" s="70">
        <v>2.4390243999999998E-3</v>
      </c>
      <c r="D185" s="15">
        <v>411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407</v>
      </c>
      <c r="H185" s="32">
        <f t="shared" ref="H185:H188" si="99">IF(ISNUMBER(G185), (G185 - $B185) / $B185, "")</f>
        <v>-9.7323600973236012E-3</v>
      </c>
      <c r="I185" s="91">
        <f>IF(ISNUMBER(G185), $B199 * H185, "")</f>
        <v>-1459.8540145985403</v>
      </c>
      <c r="J185" s="15">
        <v>412</v>
      </c>
      <c r="K185" s="32">
        <f t="shared" ref="K185:K188" si="100">IF(ISNUMBER(J185), (J185 - $B185) / $B185, "")</f>
        <v>2.4330900243309003E-3</v>
      </c>
      <c r="L185" s="18">
        <f>IF(ISNUMBER(J185), $B199 * K185, "")</f>
        <v>364.96350364963507</v>
      </c>
      <c r="M185" s="31">
        <v>411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46"/>
      <c r="R185" s="146"/>
      <c r="S185" s="146"/>
    </row>
    <row r="186" spans="1:19" ht="17.25" thickBot="1">
      <c r="A186" s="109" t="s">
        <v>329</v>
      </c>
      <c r="B186" s="110">
        <v>49.2</v>
      </c>
      <c r="C186" s="70">
        <v>2.0366599E-3</v>
      </c>
      <c r="D186" s="15">
        <v>49.3</v>
      </c>
      <c r="E186" s="32">
        <f t="shared" si="98"/>
        <v>2.0325203252031365E-3</v>
      </c>
      <c r="F186" s="18">
        <f>IF(ISNUMBER(D186), $B199 * E186, "")</f>
        <v>304.87804878047046</v>
      </c>
      <c r="G186" s="31">
        <v>48.5</v>
      </c>
      <c r="H186" s="32">
        <f t="shared" si="99"/>
        <v>-1.4227642276422821E-2</v>
      </c>
      <c r="I186" s="91">
        <f>IF(ISNUMBER(G186), $B199 * H186, "")</f>
        <v>-2134.1463414634231</v>
      </c>
      <c r="J186" s="15">
        <v>49</v>
      </c>
      <c r="K186" s="32">
        <f t="shared" si="100"/>
        <v>-4.0650406504065617E-3</v>
      </c>
      <c r="L186" s="18">
        <f>IF(ISNUMBER(J186), $B199 * K186, "")</f>
        <v>-609.75609756098424</v>
      </c>
      <c r="M186" s="31">
        <v>48.6</v>
      </c>
      <c r="N186" s="32">
        <f t="shared" si="101"/>
        <v>-1.219512195121954E-2</v>
      </c>
      <c r="O186" s="18">
        <f>IF(ISNUMBER(M186), $B199 * N186, "")</f>
        <v>-1829.2682926829311</v>
      </c>
      <c r="Q186" s="146"/>
      <c r="R186" s="146"/>
      <c r="S186" s="146"/>
    </row>
    <row r="187" spans="1:19" ht="17.25" thickBot="1">
      <c r="A187" s="109" t="s">
        <v>211</v>
      </c>
      <c r="B187" s="110">
        <v>916</v>
      </c>
      <c r="C187" s="70">
        <v>1.0928962E-3</v>
      </c>
      <c r="D187" s="15">
        <v>922</v>
      </c>
      <c r="E187" s="32">
        <f t="shared" si="98"/>
        <v>6.5502183406113534E-3</v>
      </c>
      <c r="F187" s="18">
        <f>IF(ISNUMBER(D187), $B199 * E187, "")</f>
        <v>982.53275109170306</v>
      </c>
      <c r="G187" s="31">
        <v>911</v>
      </c>
      <c r="H187" s="32">
        <f t="shared" si="99"/>
        <v>-5.4585152838427945E-3</v>
      </c>
      <c r="I187" s="91">
        <f>IF(ISNUMBER(G187), $B199 * H187, "")</f>
        <v>-818.7772925764192</v>
      </c>
      <c r="J187" s="15">
        <v>916</v>
      </c>
      <c r="K187" s="32">
        <f t="shared" si="100"/>
        <v>0</v>
      </c>
      <c r="L187" s="18">
        <f>IF(ISNUMBER(J187), $B199 * K187, "")</f>
        <v>0</v>
      </c>
      <c r="M187" s="31">
        <v>938</v>
      </c>
      <c r="N187" s="32">
        <f t="shared" si="101"/>
        <v>2.4017467248908297E-2</v>
      </c>
      <c r="O187" s="18">
        <f>IF(ISNUMBER(M187), $B199 * N187, "")</f>
        <v>3602.6200873362445</v>
      </c>
      <c r="Q187" s="33"/>
      <c r="R187" s="33"/>
    </row>
    <row r="188" spans="1:19" ht="17.25" thickBot="1">
      <c r="A188" s="114" t="s">
        <v>205</v>
      </c>
      <c r="B188" s="115">
        <v>92.3</v>
      </c>
      <c r="C188" s="72">
        <v>1.0845987E-3</v>
      </c>
      <c r="D188" s="24">
        <v>91.6</v>
      </c>
      <c r="E188" s="25">
        <f t="shared" si="98"/>
        <v>-7.5839653304442343E-3</v>
      </c>
      <c r="F188" s="94">
        <f>IF(ISNUMBER(D188), $B199 * E188, "")</f>
        <v>-1137.5947995666352</v>
      </c>
      <c r="G188" s="92">
        <v>90.1</v>
      </c>
      <c r="H188" s="25">
        <f t="shared" si="99"/>
        <v>-2.3835319609967529E-2</v>
      </c>
      <c r="I188" s="93">
        <f>IF(ISNUMBER(G188), $B199 * H188, "")</f>
        <v>-3575.2979414951292</v>
      </c>
      <c r="J188" s="24">
        <v>91.1</v>
      </c>
      <c r="K188" s="25">
        <f t="shared" si="100"/>
        <v>-1.3001083423618666E-2</v>
      </c>
      <c r="L188" s="94">
        <f>IF(ISNUMBER(J188), $B199 * K188, "")</f>
        <v>-1950.1625135427998</v>
      </c>
      <c r="M188" s="92">
        <v>90.7</v>
      </c>
      <c r="N188" s="25">
        <f t="shared" si="101"/>
        <v>-1.733477789815812E-2</v>
      </c>
      <c r="O188" s="94">
        <f>IF(ISNUMBER(M188), $B199 * N188, "")</f>
        <v>-2600.2166847237181</v>
      </c>
      <c r="Q188" s="147"/>
      <c r="R188" s="148"/>
      <c r="S188" s="149"/>
    </row>
    <row r="189" spans="1:19">
      <c r="A189" s="107" t="s">
        <v>189</v>
      </c>
      <c r="B189" s="108">
        <v>929</v>
      </c>
      <c r="C189" s="69">
        <v>1.0775862E-3</v>
      </c>
      <c r="D189" s="13">
        <v>926</v>
      </c>
      <c r="E189" s="14">
        <f>IF(ISNUMBER(D189), (D189 - $B189) / $B189, "")</f>
        <v>-3.2292787944025836E-3</v>
      </c>
      <c r="F189" s="16">
        <f>IF(ISNUMBER(D189), $B199 * E189, "")</f>
        <v>-484.39181916038751</v>
      </c>
      <c r="G189" s="29">
        <v>900</v>
      </c>
      <c r="H189" s="14">
        <f>IF(ISNUMBER(G189), (G189 - $B189) / $B189, "")</f>
        <v>-3.1216361679224973E-2</v>
      </c>
      <c r="I189" s="90">
        <f>IF(ISNUMBER(G189), $B199 * H189, "")</f>
        <v>-4682.4542518837461</v>
      </c>
      <c r="J189" s="13">
        <v>911</v>
      </c>
      <c r="K189" s="14">
        <f>IF(ISNUMBER(J189), (J189 - $B189) / $B189, "")</f>
        <v>-1.9375672766415501E-2</v>
      </c>
      <c r="L189" s="16">
        <f>IF(ISNUMBER(J189), $B199 * K189, "")</f>
        <v>-2906.3509149623251</v>
      </c>
      <c r="M189" s="29">
        <v>903</v>
      </c>
      <c r="N189" s="14">
        <f>IF(ISNUMBER(M189), (M189 - $B189) / $B189, "")</f>
        <v>-2.7987082884822389E-2</v>
      </c>
      <c r="O189" s="16">
        <f>IF(ISNUMBER(M189), $B199 * N189, "")</f>
        <v>-4198.0624327233581</v>
      </c>
      <c r="Q189" s="150"/>
      <c r="R189" s="151"/>
      <c r="S189" s="152"/>
    </row>
    <row r="190" spans="1:19" ht="17.25" thickBot="1">
      <c r="A190" s="109" t="s">
        <v>71</v>
      </c>
      <c r="B190" s="110">
        <v>9.7899999999999991</v>
      </c>
      <c r="C190" s="70">
        <v>1.0224949E-3</v>
      </c>
      <c r="D190" s="15">
        <v>9.75</v>
      </c>
      <c r="E190" s="32">
        <f t="shared" ref="E190:E193" si="102">IF(ISNUMBER(D190), (D190 - $B190) / $B190, "")</f>
        <v>-4.0858018386107408E-3</v>
      </c>
      <c r="F190" s="18">
        <f>IF(ISNUMBER(D190), $B199 * E190, "")</f>
        <v>-612.87027579161111</v>
      </c>
      <c r="G190" s="31">
        <v>9.56</v>
      </c>
      <c r="H190" s="32">
        <f t="shared" ref="H190:H193" si="103">IF(ISNUMBER(G190), (G190 - $B190) / $B190, "")</f>
        <v>-2.3493360572012123E-2</v>
      </c>
      <c r="I190" s="91">
        <f>IF(ISNUMBER(G190), $B199 * H190, "")</f>
        <v>-3524.0040858018183</v>
      </c>
      <c r="J190" s="15">
        <v>9.64</v>
      </c>
      <c r="K190" s="32">
        <f t="shared" ref="K190:K193" si="104">IF(ISNUMBER(J190), (J190 - $B190) / $B190, "")</f>
        <v>-1.5321756894790459E-2</v>
      </c>
      <c r="L190" s="18">
        <f>IF(ISNUMBER(J190), $B199 * K190, "")</f>
        <v>-2298.263534218569</v>
      </c>
      <c r="M190" s="31">
        <v>9.6300000000000008</v>
      </c>
      <c r="N190" s="32">
        <f t="shared" ref="N190:N193" si="105">IF(ISNUMBER(M190), (M190 - $B190) / $B190, "")</f>
        <v>-1.6343207354443143E-2</v>
      </c>
      <c r="O190" s="18">
        <f>IF(ISNUMBER(M190), $B199 * N190, "")</f>
        <v>-2451.4811031664717</v>
      </c>
      <c r="Q190" s="153"/>
      <c r="R190" s="154"/>
      <c r="S190" s="155"/>
    </row>
    <row r="191" spans="1:19" ht="17.25" thickBot="1">
      <c r="A191" s="109" t="s">
        <v>183</v>
      </c>
      <c r="B191" s="110">
        <v>115</v>
      </c>
      <c r="C191" s="70">
        <v>0</v>
      </c>
      <c r="D191" s="15">
        <v>116</v>
      </c>
      <c r="E191" s="32">
        <f t="shared" si="102"/>
        <v>8.6956521739130436E-3</v>
      </c>
      <c r="F191" s="18">
        <f>IF(ISNUMBER(D191), $B199 * E191, "")</f>
        <v>1304.3478260869565</v>
      </c>
      <c r="G191" s="31">
        <v>113</v>
      </c>
      <c r="H191" s="32">
        <f t="shared" si="103"/>
        <v>-1.7391304347826087E-2</v>
      </c>
      <c r="I191" s="91">
        <f>IF(ISNUMBER(G191), $B199 * H191, "")</f>
        <v>-2608.695652173913</v>
      </c>
      <c r="J191" s="15">
        <v>115</v>
      </c>
      <c r="K191" s="32">
        <f t="shared" si="104"/>
        <v>0</v>
      </c>
      <c r="L191" s="18">
        <f>IF(ISNUMBER(J191), $B199 * K191, "")</f>
        <v>0</v>
      </c>
      <c r="M191" s="31">
        <v>116</v>
      </c>
      <c r="N191" s="32">
        <f t="shared" si="105"/>
        <v>8.6956521739130436E-3</v>
      </c>
      <c r="O191" s="18">
        <f>IF(ISNUMBER(M191), $B199 * N191, "")</f>
        <v>1304.3478260869565</v>
      </c>
      <c r="Q191" s="146"/>
      <c r="R191" s="146"/>
      <c r="S191" s="146"/>
    </row>
    <row r="192" spans="1:19" ht="17.25" thickBot="1">
      <c r="A192" s="109" t="s">
        <v>120</v>
      </c>
      <c r="B192" s="110">
        <v>101</v>
      </c>
      <c r="C192" s="70">
        <v>0</v>
      </c>
      <c r="D192" s="15">
        <v>101</v>
      </c>
      <c r="E192" s="32">
        <f t="shared" si="102"/>
        <v>0</v>
      </c>
      <c r="F192" s="18">
        <f>IF(ISNUMBER(D192), $B199 * E192, "")</f>
        <v>0</v>
      </c>
      <c r="G192" s="31">
        <v>99.2</v>
      </c>
      <c r="H192" s="32">
        <f t="shared" si="103"/>
        <v>-1.7821782178217793E-2</v>
      </c>
      <c r="I192" s="91">
        <f>IF(ISNUMBER(G192), $B199 * H192, "")</f>
        <v>-2673.2673267326691</v>
      </c>
      <c r="J192" s="15">
        <v>99.6</v>
      </c>
      <c r="K192" s="32">
        <f t="shared" si="104"/>
        <v>-1.3861386138613917E-2</v>
      </c>
      <c r="L192" s="18">
        <f>IF(ISNUMBER(J192), $B199 * K192, "")</f>
        <v>-2079.2079207920874</v>
      </c>
      <c r="M192" s="31">
        <v>99.2</v>
      </c>
      <c r="N192" s="32">
        <f t="shared" si="105"/>
        <v>-1.7821782178217793E-2</v>
      </c>
      <c r="O192" s="18">
        <f>IF(ISNUMBER(M192), $B199 * N192, "")</f>
        <v>-2673.2673267326691</v>
      </c>
      <c r="Q192" s="156"/>
      <c r="R192" s="156"/>
      <c r="S192" s="156"/>
    </row>
    <row r="193" spans="1:19" ht="17.25" thickBot="1">
      <c r="A193" s="111" t="s">
        <v>113</v>
      </c>
      <c r="B193" s="112">
        <v>1115</v>
      </c>
      <c r="C193" s="71">
        <v>0</v>
      </c>
      <c r="D193" s="20">
        <v>1110</v>
      </c>
      <c r="E193" s="21">
        <f t="shared" si="102"/>
        <v>-4.4843049327354259E-3</v>
      </c>
      <c r="F193" s="22">
        <f>IF(ISNUMBER(D193), $B199 * E193, "")</f>
        <v>-672.64573991031386</v>
      </c>
      <c r="G193" s="30">
        <v>1100</v>
      </c>
      <c r="H193" s="21">
        <f t="shared" si="103"/>
        <v>-1.3452914798206279E-2</v>
      </c>
      <c r="I193" s="95">
        <f>IF(ISNUMBER(G193), $B199 * H193, "")</f>
        <v>-2017.9372197309417</v>
      </c>
      <c r="J193" s="20">
        <v>1100</v>
      </c>
      <c r="K193" s="21">
        <f t="shared" si="104"/>
        <v>-1.3452914798206279E-2</v>
      </c>
      <c r="L193" s="22">
        <f>IF(ISNUMBER(J193), $B199 * K193, "")</f>
        <v>-2017.9372197309417</v>
      </c>
      <c r="M193" s="30">
        <v>1100</v>
      </c>
      <c r="N193" s="21">
        <f t="shared" si="105"/>
        <v>-1.3452914798206279E-2</v>
      </c>
      <c r="O193" s="22">
        <f>IF(ISNUMBER(M193), $B199 * N193, "")</f>
        <v>-2017.9372197309417</v>
      </c>
      <c r="Q193" s="156"/>
      <c r="R193" s="156"/>
      <c r="S193" s="156"/>
    </row>
    <row r="194" spans="1:19" ht="17.25" thickBot="1">
      <c r="A194" s="109" t="s">
        <v>116</v>
      </c>
      <c r="B194" s="113">
        <v>919</v>
      </c>
      <c r="C194" s="73">
        <v>-1.0869565E-3</v>
      </c>
      <c r="D194" s="96">
        <v>915</v>
      </c>
      <c r="E194" s="97">
        <f>IF(ISNUMBER(D194), (D194 - $B194) / $B194, "")</f>
        <v>-4.3525571273122961E-3</v>
      </c>
      <c r="F194" s="98">
        <f>IF(ISNUMBER(D194), $B199 * E194, "")</f>
        <v>-652.88356909684444</v>
      </c>
      <c r="G194" s="99">
        <v>905</v>
      </c>
      <c r="H194" s="97">
        <f>IF(ISNUMBER(G194), (G194 - $B194) / $B194, "")</f>
        <v>-1.5233949945593036E-2</v>
      </c>
      <c r="I194" s="100">
        <f>IF(ISNUMBER(G194), $B199 * H194, "")</f>
        <v>-2285.0924918389555</v>
      </c>
      <c r="J194" s="96">
        <v>912</v>
      </c>
      <c r="K194" s="97">
        <f>IF(ISNUMBER(J194), (J194 - $B194) / $B194, "")</f>
        <v>-7.6169749727965181E-3</v>
      </c>
      <c r="L194" s="98">
        <f>IF(ISNUMBER(J194), $B199 * K194, "")</f>
        <v>-1142.5462459194778</v>
      </c>
      <c r="M194" s="99">
        <v>909</v>
      </c>
      <c r="N194" s="97">
        <f>IF(ISNUMBER(M194), (M194 - $B194) / $B194, "")</f>
        <v>-1.088139281828074E-2</v>
      </c>
      <c r="O194" s="98">
        <f>IF(ISNUMBER(M194), $B199 * N194, "")</f>
        <v>-1632.2089227421111</v>
      </c>
      <c r="Q194" s="146"/>
      <c r="R194" s="146"/>
      <c r="S194" s="146"/>
    </row>
    <row r="195" spans="1:19" ht="17.25" thickBot="1">
      <c r="A195" s="109" t="s">
        <v>319</v>
      </c>
      <c r="B195" s="110">
        <v>327</v>
      </c>
      <c r="C195" s="70">
        <v>-3.0487804999999998E-3</v>
      </c>
      <c r="D195" s="15">
        <v>331</v>
      </c>
      <c r="E195" s="32">
        <f t="shared" ref="E195:E198" si="106">IF(ISNUMBER(D195), (D195 - $B195) / $B195, "")</f>
        <v>1.2232415902140673E-2</v>
      </c>
      <c r="F195" s="18">
        <f>IF(ISNUMBER(D195), $B199 * E195, "")</f>
        <v>1834.8623853211009</v>
      </c>
      <c r="G195" s="31">
        <v>325</v>
      </c>
      <c r="H195" s="32">
        <f t="shared" ref="H195:H198" si="107">IF(ISNUMBER(G195), (G195 - $B195) / $B195, "")</f>
        <v>-6.1162079510703364E-3</v>
      </c>
      <c r="I195" s="91">
        <f>IF(ISNUMBER(G195), $B199 * H195, "")</f>
        <v>-917.43119266055044</v>
      </c>
      <c r="J195" s="15">
        <v>330</v>
      </c>
      <c r="K195" s="32">
        <f t="shared" ref="K195:K198" si="108">IF(ISNUMBER(J195), (J195 - $B195) / $B195, "")</f>
        <v>9.1743119266055051E-3</v>
      </c>
      <c r="L195" s="18">
        <f>IF(ISNUMBER(J195), $B199 * K195, "")</f>
        <v>1376.1467889908258</v>
      </c>
      <c r="M195" s="31">
        <v>325</v>
      </c>
      <c r="N195" s="32">
        <f t="shared" ref="N195:N198" si="109">IF(ISNUMBER(M195), (M195 - $B195) / $B195, "")</f>
        <v>-6.1162079510703364E-3</v>
      </c>
      <c r="O195" s="18">
        <f>IF(ISNUMBER(M195), $B199 * N195, "")</f>
        <v>-917.43119266055044</v>
      </c>
      <c r="Q195" s="146"/>
      <c r="R195" s="146"/>
      <c r="S195" s="146"/>
    </row>
    <row r="196" spans="1:19" ht="17.25" thickBot="1">
      <c r="A196" s="109" t="s">
        <v>341</v>
      </c>
      <c r="B196" s="110">
        <v>653</v>
      </c>
      <c r="C196" s="70">
        <v>-3.0534351000000002E-3</v>
      </c>
      <c r="D196" s="15">
        <v>650</v>
      </c>
      <c r="E196" s="32">
        <f t="shared" si="106"/>
        <v>-4.5941807044410417E-3</v>
      </c>
      <c r="F196" s="18">
        <f>IF(ISNUMBER(D196), $B199 * E196, "")</f>
        <v>-689.12710566615624</v>
      </c>
      <c r="G196" s="31">
        <v>631</v>
      </c>
      <c r="H196" s="32">
        <f t="shared" si="107"/>
        <v>-3.3690658499234305E-2</v>
      </c>
      <c r="I196" s="91">
        <f>IF(ISNUMBER(G196), $B199 * H196, "")</f>
        <v>-5053.5987748851458</v>
      </c>
      <c r="J196" s="15">
        <v>632</v>
      </c>
      <c r="K196" s="32">
        <f t="shared" si="108"/>
        <v>-3.2159264931087291E-2</v>
      </c>
      <c r="L196" s="18">
        <f>IF(ISNUMBER(J196), $B199 * K196, "")</f>
        <v>-4823.8897396630937</v>
      </c>
      <c r="M196" s="31">
        <v>632</v>
      </c>
      <c r="N196" s="32">
        <f t="shared" si="109"/>
        <v>-3.2159264931087291E-2</v>
      </c>
      <c r="O196" s="18">
        <f>IF(ISNUMBER(M196), $B199 * N196, "")</f>
        <v>-4823.8897396630937</v>
      </c>
      <c r="Q196" s="146"/>
      <c r="R196" s="146"/>
      <c r="S196" s="146"/>
    </row>
    <row r="197" spans="1:19">
      <c r="A197" s="109" t="s">
        <v>68</v>
      </c>
      <c r="B197" s="110">
        <v>267</v>
      </c>
      <c r="C197" s="70">
        <v>-3.7313432999999999E-3</v>
      </c>
      <c r="D197" s="15">
        <v>259</v>
      </c>
      <c r="E197" s="32">
        <f t="shared" si="106"/>
        <v>-2.9962546816479401E-2</v>
      </c>
      <c r="F197" s="18">
        <f>IF(ISNUMBER(D197), $B199 * E197, "")</f>
        <v>-4494.3820224719102</v>
      </c>
      <c r="G197" s="31">
        <v>253</v>
      </c>
      <c r="H197" s="32">
        <f t="shared" si="107"/>
        <v>-5.2434456928838954E-2</v>
      </c>
      <c r="I197" s="91">
        <f>IF(ISNUMBER(G197), $B199 * H197, "")</f>
        <v>-7865.1685393258431</v>
      </c>
      <c r="J197" s="15">
        <v>255</v>
      </c>
      <c r="K197" s="32">
        <f t="shared" si="108"/>
        <v>-4.49438202247191E-2</v>
      </c>
      <c r="L197" s="18">
        <f>IF(ISNUMBER(J197), $B199 * K197, "")</f>
        <v>-6741.5730337078649</v>
      </c>
      <c r="M197" s="31">
        <v>253</v>
      </c>
      <c r="N197" s="32">
        <f t="shared" si="109"/>
        <v>-5.2434456928838954E-2</v>
      </c>
      <c r="O197" s="18">
        <f>IF(ISNUMBER(M197), $B199 * N197, "")</f>
        <v>-7865.1685393258431</v>
      </c>
      <c r="Q197" s="135"/>
      <c r="R197" s="136"/>
      <c r="S197" s="137"/>
    </row>
    <row r="198" spans="1:19" ht="17.25" thickBot="1">
      <c r="A198" s="114" t="s">
        <v>191</v>
      </c>
      <c r="B198" s="115">
        <v>51</v>
      </c>
      <c r="C198" s="72">
        <v>-1.35396518E-2</v>
      </c>
      <c r="D198" s="24">
        <v>50.6</v>
      </c>
      <c r="E198" s="25">
        <f t="shared" si="106"/>
        <v>-7.8431372549019329E-3</v>
      </c>
      <c r="F198" s="94">
        <f>IF(ISNUMBER(D198), $B199 * E198, "")</f>
        <v>-1176.4705882352901</v>
      </c>
      <c r="G198" s="92">
        <v>50.1</v>
      </c>
      <c r="H198" s="25">
        <f t="shared" si="107"/>
        <v>-1.7647058823529384E-2</v>
      </c>
      <c r="I198" s="93">
        <f>IF(ISNUMBER(G198), $B199 * H198, "")</f>
        <v>-2647.0588235294076</v>
      </c>
      <c r="J198" s="24">
        <v>50.7</v>
      </c>
      <c r="K198" s="25">
        <f t="shared" si="108"/>
        <v>-5.882352941176415E-3</v>
      </c>
      <c r="L198" s="94">
        <f>IF(ISNUMBER(J198), $B199 * K198, "")</f>
        <v>-882.3529411764622</v>
      </c>
      <c r="M198" s="92">
        <v>50.3</v>
      </c>
      <c r="N198" s="25">
        <f t="shared" si="109"/>
        <v>-1.3725490196078487E-2</v>
      </c>
      <c r="O198" s="94">
        <f>IF(ISNUMBER(M198), $B199 * N198, "")</f>
        <v>-2058.8235294117731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-2.5007859974410301E-3</v>
      </c>
      <c r="F199" s="28">
        <f>SUM(F179:F198)</f>
        <v>-7502.3579923230909</v>
      </c>
      <c r="G199" s="26" t="s">
        <v>258</v>
      </c>
      <c r="H199" s="27">
        <f>IF(COUNT(H179:H198), SUM(H179:H198) / COUNT(H179:H198), 0)</f>
        <v>-1.9448104289666056E-2</v>
      </c>
      <c r="I199" s="28">
        <f>SUM(I179:I198)</f>
        <v>-58344.312868998168</v>
      </c>
      <c r="J199" s="26" t="s">
        <v>258</v>
      </c>
      <c r="K199" s="27">
        <f>IF(COUNT(K179:K198), SUM(K179:K198) / COUNT(K179:K198), 0)</f>
        <v>-1.0359580543185382E-2</v>
      </c>
      <c r="L199" s="28">
        <f>SUM(L179:L198)</f>
        <v>-31078.741629556149</v>
      </c>
      <c r="M199" s="26" t="s">
        <v>258</v>
      </c>
      <c r="N199" s="27">
        <f>IF(COUNT(N179:N198), SUM(N179:N198) / COUNT(N179:N198), 0)</f>
        <v>-1.2355469042233062E-2</v>
      </c>
      <c r="O199" s="28">
        <f>SUM(O179:O198)</f>
        <v>-37066.407126699181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A7E78-AD93-43C7-A425-0BBEBEC7DA0B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44932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-107,815 KRW (-3.59%)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-75,770 KRW (-2.53%)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-58,445 KRW (-1.95%)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-57,930 KRW (-1.93%)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21539000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1.0224474E-3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2023-01-06(금) 오전 00:00</v>
      </c>
      <c r="C15" s="196"/>
      <c r="D15" s="170" t="str">
        <f>TEXT($G$1, "[$-ko-KR]yyyy-mm-dd(ddd) ") &amp; "오후 14:00"</f>
        <v>2023-01-06(금) 오후 14:00</v>
      </c>
      <c r="E15" s="171"/>
      <c r="F15" s="172"/>
      <c r="G15" s="170" t="str">
        <f>TEXT($G$1, "[$-ko-KR]yyyy-mm-dd(ddd) ") &amp; "오후 19:00"</f>
        <v>2023-01-06(금) 오후 19:00</v>
      </c>
      <c r="H15" s="171"/>
      <c r="I15" s="172"/>
      <c r="J15" s="170" t="str">
        <f>TEXT($G$1, "[$-ko-KR]yyyy-mm-dd(ddd) ") &amp; "오후 21:00"</f>
        <v>2023-01-06(금) 오후 21:00</v>
      </c>
      <c r="K15" s="171"/>
      <c r="L15" s="172"/>
      <c r="M15" s="170" t="str">
        <f>TEXT($G$1+1, "[$-ko-KR]yyyy-mm-dd(ddd) ") &amp; "오전 00:00"</f>
        <v>2023-01-07(토)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21539000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1.0224474E-3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2023-01-06(금) 오전 00:00</v>
      </c>
      <c r="C42" s="198"/>
      <c r="D42" s="170" t="str">
        <f>TEXT($G$1, "[$-ko-KR]yyyy-mm-dd(ddd) ") &amp; "오후 14:00"</f>
        <v>2023-01-06(금) 오후 14:00</v>
      </c>
      <c r="E42" s="171"/>
      <c r="F42" s="172"/>
      <c r="G42" s="170" t="str">
        <f>TEXT($G$1, "[$-ko-KR]yyyy-mm-dd(ddd) ") &amp; "오후 19:00"</f>
        <v>2023-01-06(금) 오후 19:00</v>
      </c>
      <c r="H42" s="171"/>
      <c r="I42" s="172"/>
      <c r="J42" s="170" t="str">
        <f>TEXT($G$1, "[$-ko-KR]yyyy-mm-dd(ddd) ") &amp; "오후 21:00"</f>
        <v>2023-01-06(금) 오후 21:00</v>
      </c>
      <c r="K42" s="171"/>
      <c r="L42" s="172"/>
      <c r="M42" s="170" t="str">
        <f>TEXT($G$1+1, "[$-ko-KR]yyyy-mm-dd(ddd) ") &amp; "오전 00:00"</f>
        <v>2023-01-07(토)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323</v>
      </c>
      <c r="B44" s="108">
        <v>3.1300000000000001E-2</v>
      </c>
      <c r="C44" s="69">
        <v>3.64238411E-2</v>
      </c>
      <c r="D44" s="13">
        <v>3.04E-2</v>
      </c>
      <c r="E44" s="14">
        <f>IF(ISNUMBER(D44), (D44 - $B44) / $B44, "")</f>
        <v>-2.875399361022369E-2</v>
      </c>
      <c r="F44" s="16">
        <f>IF(ISNUMBER(D44), $B64 * E44, "")</f>
        <v>-4313.0990415335536</v>
      </c>
      <c r="G44" s="29">
        <v>3.0099999999999998E-2</v>
      </c>
      <c r="H44" s="14">
        <f>IF(ISNUMBER(G44), (G44 - $B44) / $B44, "")</f>
        <v>-3.8338658146964952E-2</v>
      </c>
      <c r="I44" s="90">
        <f>IF(ISNUMBER(G44), $B64 * H44, "")</f>
        <v>-5750.798722044743</v>
      </c>
      <c r="J44" s="13">
        <v>0.03</v>
      </c>
      <c r="K44" s="14">
        <f>IF(ISNUMBER(J44), (J44 - $B44) / $B44, "")</f>
        <v>-4.1533546325878676E-2</v>
      </c>
      <c r="L44" s="16">
        <f>IF(ISNUMBER(J44), $B64 * K44, "")</f>
        <v>-6230.0319488818013</v>
      </c>
      <c r="M44" s="29">
        <v>3.0300000000000001E-2</v>
      </c>
      <c r="N44" s="14">
        <f>IF(ISNUMBER(M44), (M44 - $B44) / $B44, "")</f>
        <v>-3.1948881789137407E-2</v>
      </c>
      <c r="O44" s="16">
        <f>IF(ISNUMBER(M44), $B64 * N44, "")</f>
        <v>-4792.332268370611</v>
      </c>
      <c r="Q44" s="156"/>
      <c r="R44" s="156"/>
      <c r="S44" s="156"/>
    </row>
    <row r="45" spans="1:19" ht="17.25" customHeight="1" thickBot="1">
      <c r="A45" s="109" t="s">
        <v>227</v>
      </c>
      <c r="B45" s="110">
        <v>35</v>
      </c>
      <c r="C45" s="70">
        <v>1.74418605E-2</v>
      </c>
      <c r="D45" s="15">
        <v>34</v>
      </c>
      <c r="E45" s="32">
        <f t="shared" ref="E45:E48" si="14">IF(ISNUMBER(D45), (D45 - $B45) / $B45, "")</f>
        <v>-2.8571428571428571E-2</v>
      </c>
      <c r="F45" s="18">
        <f>IF(ISNUMBER(D45), $B64 * E45, "")</f>
        <v>-4285.7142857142853</v>
      </c>
      <c r="G45" s="31">
        <v>34.4</v>
      </c>
      <c r="H45" s="32">
        <f t="shared" ref="H45:H48" si="15">IF(ISNUMBER(G45), (G45 - $B45) / $B45, "")</f>
        <v>-1.7142857142857182E-2</v>
      </c>
      <c r="I45" s="91">
        <f>IF(ISNUMBER(G45), $B64 * H45, "")</f>
        <v>-2571.4285714285775</v>
      </c>
      <c r="J45" s="15">
        <v>34.299999999999997</v>
      </c>
      <c r="K45" s="32">
        <f t="shared" ref="K45:K48" si="16">IF(ISNUMBER(J45), (J45 - $B45) / $B45, "")</f>
        <v>-2.000000000000008E-2</v>
      </c>
      <c r="L45" s="18">
        <f>IF(ISNUMBER(J45), $B64 * K45, "")</f>
        <v>-3000.0000000000118</v>
      </c>
      <c r="M45" s="31">
        <v>34.299999999999997</v>
      </c>
      <c r="N45" s="32">
        <f t="shared" ref="N45:N48" si="17">IF(ISNUMBER(M45), (M45 - $B45) / $B45, "")</f>
        <v>-2.000000000000008E-2</v>
      </c>
      <c r="O45" s="18">
        <f>IF(ISNUMBER(M45), $B64 * N45, "")</f>
        <v>-3000.0000000000118</v>
      </c>
      <c r="Q45" s="156"/>
      <c r="R45" s="156"/>
      <c r="S45" s="156"/>
    </row>
    <row r="46" spans="1:19" ht="17.25" customHeight="1" thickBot="1">
      <c r="A46" s="109" t="s">
        <v>333</v>
      </c>
      <c r="B46" s="110">
        <v>4.07</v>
      </c>
      <c r="C46" s="70">
        <v>9.9255582999999998E-3</v>
      </c>
      <c r="D46" s="15">
        <v>4</v>
      </c>
      <c r="E46" s="32">
        <f t="shared" si="14"/>
        <v>-1.7199017199017268E-2</v>
      </c>
      <c r="F46" s="18">
        <f>IF(ISNUMBER(D46), $B64 * E46, "")</f>
        <v>-2579.8525798525902</v>
      </c>
      <c r="G46" s="31">
        <v>4.0199999999999996</v>
      </c>
      <c r="H46" s="32">
        <f t="shared" si="15"/>
        <v>-1.2285012285012459E-2</v>
      </c>
      <c r="I46" s="91">
        <f>IF(ISNUMBER(G46), $B64 * H46, "")</f>
        <v>-1842.7518427518689</v>
      </c>
      <c r="J46" s="15">
        <v>3.97</v>
      </c>
      <c r="K46" s="32">
        <f t="shared" si="16"/>
        <v>-2.4570024570024589E-2</v>
      </c>
      <c r="L46" s="18">
        <f>IF(ISNUMBER(J46), $B64 * K46, "")</f>
        <v>-3685.5036855036883</v>
      </c>
      <c r="M46" s="31">
        <v>3.96</v>
      </c>
      <c r="N46" s="32">
        <f t="shared" si="17"/>
        <v>-2.7027027027027105E-2</v>
      </c>
      <c r="O46" s="18">
        <f>IF(ISNUMBER(M46), $B64 * N46, "")</f>
        <v>-4054.0540540540655</v>
      </c>
      <c r="Q46" s="146"/>
      <c r="R46" s="146"/>
      <c r="S46" s="146"/>
    </row>
    <row r="47" spans="1:19" ht="17.25" customHeight="1" thickBot="1">
      <c r="A47" s="109" t="s">
        <v>217</v>
      </c>
      <c r="B47" s="110">
        <v>55.9</v>
      </c>
      <c r="C47" s="70">
        <v>1.7921147000000001E-3</v>
      </c>
      <c r="D47" s="15">
        <v>55</v>
      </c>
      <c r="E47" s="32">
        <f t="shared" si="14"/>
        <v>-1.6100178890876539E-2</v>
      </c>
      <c r="F47" s="18">
        <f>IF(ISNUMBER(D47), $B64 * E47, "")</f>
        <v>-2415.0268336314807</v>
      </c>
      <c r="G47" s="31">
        <v>54.5</v>
      </c>
      <c r="H47" s="32">
        <f t="shared" si="15"/>
        <v>-2.50447227191413E-2</v>
      </c>
      <c r="I47" s="91">
        <f>IF(ISNUMBER(G47), $B64 * H47, "")</f>
        <v>-3756.708407871195</v>
      </c>
      <c r="J47" s="15">
        <v>54.4</v>
      </c>
      <c r="K47" s="32">
        <f t="shared" si="16"/>
        <v>-2.6833631484794278E-2</v>
      </c>
      <c r="L47" s="18">
        <f>IF(ISNUMBER(J47), $B64 * K47, "")</f>
        <v>-4025.0447227191416</v>
      </c>
      <c r="M47" s="31">
        <v>54.4</v>
      </c>
      <c r="N47" s="32">
        <f t="shared" si="17"/>
        <v>-2.6833631484794278E-2</v>
      </c>
      <c r="O47" s="18">
        <f>IF(ISNUMBER(M47), $B64 * N47, "")</f>
        <v>-4025.0447227191416</v>
      </c>
      <c r="Q47" s="146"/>
      <c r="R47" s="146"/>
      <c r="S47" s="146"/>
    </row>
    <row r="48" spans="1:19" ht="17.25" customHeight="1" thickBot="1">
      <c r="A48" s="111" t="s">
        <v>97</v>
      </c>
      <c r="B48" s="112">
        <v>8.9999999999999998E-4</v>
      </c>
      <c r="C48" s="71">
        <v>0</v>
      </c>
      <c r="D48" s="20">
        <v>8.0000000000000004E-4</v>
      </c>
      <c r="E48" s="21">
        <f t="shared" si="14"/>
        <v>-0.11111111111111105</v>
      </c>
      <c r="F48" s="22">
        <f>IF(ISNUMBER(D48), $B64 * E48, "")</f>
        <v>-16666.666666666657</v>
      </c>
      <c r="G48" s="30">
        <v>6.9999999999999999E-4</v>
      </c>
      <c r="H48" s="21">
        <f t="shared" si="15"/>
        <v>-0.22222222222222221</v>
      </c>
      <c r="I48" s="95">
        <f>IF(ISNUMBER(G48), $B64 * H48, "")</f>
        <v>-33333.333333333328</v>
      </c>
      <c r="J48" s="20">
        <v>8.0000000000000004E-4</v>
      </c>
      <c r="K48" s="21">
        <f t="shared" si="16"/>
        <v>-0.11111111111111105</v>
      </c>
      <c r="L48" s="22">
        <f>IF(ISNUMBER(J48), $B64 * K48, "")</f>
        <v>-16666.666666666657</v>
      </c>
      <c r="M48" s="30">
        <v>6.9999999999999999E-4</v>
      </c>
      <c r="N48" s="21">
        <f t="shared" si="17"/>
        <v>-0.22222222222222221</v>
      </c>
      <c r="O48" s="22">
        <f>IF(ISNUMBER(M48), $B64 * N48, "")</f>
        <v>-33333.333333333328</v>
      </c>
      <c r="Q48" s="146"/>
      <c r="R48" s="146"/>
      <c r="S48" s="146"/>
    </row>
    <row r="49" spans="1:19" ht="17.25" customHeight="1" thickBot="1">
      <c r="A49" s="109" t="s">
        <v>107</v>
      </c>
      <c r="B49" s="113">
        <v>34.299999999999997</v>
      </c>
      <c r="C49" s="73">
        <v>0</v>
      </c>
      <c r="D49" s="96">
        <v>35.6</v>
      </c>
      <c r="E49" s="97">
        <f>IF(ISNUMBER(D49), (D49 - $B49) / $B49, "")</f>
        <v>3.790087463556864E-2</v>
      </c>
      <c r="F49" s="98">
        <f>IF(ISNUMBER(D49), $B64 * E49, "")</f>
        <v>5685.1311953352961</v>
      </c>
      <c r="G49" s="99">
        <v>37</v>
      </c>
      <c r="H49" s="97">
        <f>IF(ISNUMBER(G49), (G49 - $B49) / $B49, "")</f>
        <v>7.8717201166180847E-2</v>
      </c>
      <c r="I49" s="100">
        <f>IF(ISNUMBER(G49), $B64 * H49, "")</f>
        <v>11807.580174927127</v>
      </c>
      <c r="J49" s="96">
        <v>37.5</v>
      </c>
      <c r="K49" s="97">
        <f>IF(ISNUMBER(J49), (J49 - $B49) / $B49, "")</f>
        <v>9.3294460641399513E-2</v>
      </c>
      <c r="L49" s="98">
        <f>IF(ISNUMBER(J49), $B64 * K49, "")</f>
        <v>13994.169096209927</v>
      </c>
      <c r="M49" s="99">
        <v>36</v>
      </c>
      <c r="N49" s="97">
        <f>IF(ISNUMBER(M49), (M49 - $B49) / $B49, "")</f>
        <v>4.9562682215743524E-2</v>
      </c>
      <c r="O49" s="98">
        <f>IF(ISNUMBER(M49), $B64 * N49, "")</f>
        <v>7434.4023323615284</v>
      </c>
      <c r="Q49" s="146"/>
      <c r="R49" s="146"/>
      <c r="S49" s="146"/>
    </row>
    <row r="50" spans="1:19" ht="17.25" customHeight="1" thickBot="1">
      <c r="A50" s="109" t="s">
        <v>124</v>
      </c>
      <c r="B50" s="110">
        <v>27.5</v>
      </c>
      <c r="C50" s="70">
        <v>0</v>
      </c>
      <c r="D50" s="15">
        <v>27.3</v>
      </c>
      <c r="E50" s="32">
        <f t="shared" ref="E50:E53" si="18">IF(ISNUMBER(D50), (D50 - $B50) / $B50, "")</f>
        <v>-7.2727272727272467E-3</v>
      </c>
      <c r="F50" s="18">
        <f>IF(ISNUMBER(D50), $B64 * E50, "")</f>
        <v>-1090.9090909090869</v>
      </c>
      <c r="G50" s="31">
        <v>27.3</v>
      </c>
      <c r="H50" s="32">
        <f t="shared" ref="H50:H53" si="19">IF(ISNUMBER(G50), (G50 - $B50) / $B50, "")</f>
        <v>-7.2727272727272467E-3</v>
      </c>
      <c r="I50" s="91">
        <f>IF(ISNUMBER(G50), $B64 * H50, "")</f>
        <v>-1090.9090909090869</v>
      </c>
      <c r="J50" s="15">
        <v>27.1</v>
      </c>
      <c r="K50" s="32">
        <f t="shared" ref="K50:K53" si="20">IF(ISNUMBER(J50), (J50 - $B50) / $B50, "")</f>
        <v>-1.4545454545454493E-2</v>
      </c>
      <c r="L50" s="18">
        <f>IF(ISNUMBER(J50), $B64 * K50, "")</f>
        <v>-2181.8181818181738</v>
      </c>
      <c r="M50" s="31">
        <v>27.1</v>
      </c>
      <c r="N50" s="32">
        <f t="shared" ref="N50:N53" si="21">IF(ISNUMBER(M50), (M50 - $B50) / $B50, "")</f>
        <v>-1.4545454545454493E-2</v>
      </c>
      <c r="O50" s="18">
        <f>IF(ISNUMBER(M50), $B64 * N50, "")</f>
        <v>-2181.8181818181738</v>
      </c>
      <c r="Q50" s="146"/>
      <c r="R50" s="146"/>
      <c r="S50" s="146"/>
    </row>
    <row r="51" spans="1:19" ht="17.25" customHeight="1" thickBot="1">
      <c r="A51" s="109" t="s">
        <v>221</v>
      </c>
      <c r="B51" s="110">
        <v>17.8</v>
      </c>
      <c r="C51" s="70">
        <v>0</v>
      </c>
      <c r="D51" s="15">
        <v>17.5</v>
      </c>
      <c r="E51" s="32">
        <f t="shared" si="18"/>
        <v>-1.6853932584269701E-2</v>
      </c>
      <c r="F51" s="18">
        <f>IF(ISNUMBER(D51), $B64 * E51, "")</f>
        <v>-2528.0898876404549</v>
      </c>
      <c r="G51" s="31">
        <v>17.2</v>
      </c>
      <c r="H51" s="32">
        <f t="shared" si="19"/>
        <v>-3.3707865168539401E-2</v>
      </c>
      <c r="I51" s="91">
        <f>IF(ISNUMBER(G51), $B64 * H51, "")</f>
        <v>-5056.1797752809098</v>
      </c>
      <c r="J51" s="15">
        <v>17.2</v>
      </c>
      <c r="K51" s="32">
        <f t="shared" si="20"/>
        <v>-3.3707865168539401E-2</v>
      </c>
      <c r="L51" s="18">
        <f>IF(ISNUMBER(J51), $B64 * K51, "")</f>
        <v>-5056.1797752809098</v>
      </c>
      <c r="M51" s="31">
        <v>17.399999999999999</v>
      </c>
      <c r="N51" s="32">
        <f t="shared" si="21"/>
        <v>-2.2471910112359668E-2</v>
      </c>
      <c r="O51" s="18">
        <f>IF(ISNUMBER(M51), $B64 * N51, "")</f>
        <v>-3370.7865168539502</v>
      </c>
      <c r="Q51" s="146"/>
      <c r="R51" s="146"/>
      <c r="S51" s="146"/>
    </row>
    <row r="52" spans="1:19" ht="17.25" customHeight="1" thickBot="1">
      <c r="A52" s="109" t="s">
        <v>195</v>
      </c>
      <c r="B52" s="110">
        <v>5.57</v>
      </c>
      <c r="C52" s="70">
        <v>-1.7921147000000001E-3</v>
      </c>
      <c r="D52" s="15">
        <v>5.6</v>
      </c>
      <c r="E52" s="32">
        <f t="shared" si="18"/>
        <v>5.3859964093356119E-3</v>
      </c>
      <c r="F52" s="18">
        <f>IF(ISNUMBER(D52), $B64 * E52, "")</f>
        <v>807.89946140034181</v>
      </c>
      <c r="G52" s="31">
        <v>5.6</v>
      </c>
      <c r="H52" s="32">
        <f t="shared" si="19"/>
        <v>5.3859964093356119E-3</v>
      </c>
      <c r="I52" s="91">
        <f>IF(ISNUMBER(G52), $B64 * H52, "")</f>
        <v>807.89946140034181</v>
      </c>
      <c r="J52" s="15">
        <v>5.57</v>
      </c>
      <c r="K52" s="32">
        <f t="shared" si="20"/>
        <v>0</v>
      </c>
      <c r="L52" s="18">
        <f>IF(ISNUMBER(J52), $B64 * K52, "")</f>
        <v>0</v>
      </c>
      <c r="M52" s="31">
        <v>5.58</v>
      </c>
      <c r="N52" s="32">
        <f t="shared" si="21"/>
        <v>1.7953321364452041E-3</v>
      </c>
      <c r="O52" s="18">
        <f>IF(ISNUMBER(M52), $B64 * N52, "")</f>
        <v>269.2998204667806</v>
      </c>
      <c r="Q52" s="33"/>
      <c r="R52" s="33"/>
    </row>
    <row r="53" spans="1:19" ht="17.25" customHeight="1" thickBot="1">
      <c r="A53" s="114" t="s">
        <v>185</v>
      </c>
      <c r="B53" s="115">
        <v>23.3</v>
      </c>
      <c r="C53" s="72">
        <v>-4.2735042999999997E-3</v>
      </c>
      <c r="D53" s="24">
        <v>23.2</v>
      </c>
      <c r="E53" s="25">
        <f t="shared" si="18"/>
        <v>-4.2918454935622925E-3</v>
      </c>
      <c r="F53" s="94">
        <f>IF(ISNUMBER(D53), $B64 * E53, "")</f>
        <v>-643.77682403434392</v>
      </c>
      <c r="G53" s="92">
        <v>22.8</v>
      </c>
      <c r="H53" s="25">
        <f t="shared" si="19"/>
        <v>-2.1459227467811159E-2</v>
      </c>
      <c r="I53" s="93">
        <f>IF(ISNUMBER(G53), $B64 * H53, "")</f>
        <v>-3218.8841201716737</v>
      </c>
      <c r="J53" s="24">
        <v>22.6</v>
      </c>
      <c r="K53" s="25">
        <f t="shared" si="20"/>
        <v>-3.0042918454935591E-2</v>
      </c>
      <c r="L53" s="94">
        <f>IF(ISNUMBER(J53), $B64 * K53, "")</f>
        <v>-4506.4377682403383</v>
      </c>
      <c r="M53" s="92">
        <v>22.9</v>
      </c>
      <c r="N53" s="25">
        <f t="shared" si="21"/>
        <v>-1.7167381974249017E-2</v>
      </c>
      <c r="O53" s="94">
        <f>IF(ISNUMBER(M53), $B64 * N53, "")</f>
        <v>-2575.1072961373525</v>
      </c>
      <c r="Q53" s="147"/>
      <c r="R53" s="148"/>
      <c r="S53" s="149"/>
    </row>
    <row r="54" spans="1:19" ht="17.25" customHeight="1">
      <c r="A54" s="107" t="s">
        <v>181</v>
      </c>
      <c r="B54" s="108">
        <v>3.9</v>
      </c>
      <c r="C54" s="69">
        <v>-5.1020407999999998E-3</v>
      </c>
      <c r="D54" s="13">
        <v>3.85</v>
      </c>
      <c r="E54" s="14">
        <f>IF(ISNUMBER(D54), (D54 - $B54) / $B54, "")</f>
        <v>-1.2820512820512775E-2</v>
      </c>
      <c r="F54" s="16">
        <f>IF(ISNUMBER(D54), $B64 * E54, "")</f>
        <v>-1923.0769230769163</v>
      </c>
      <c r="G54" s="29">
        <v>3.86</v>
      </c>
      <c r="H54" s="14">
        <f>IF(ISNUMBER(G54), (G54 - $B54) / $B54, "")</f>
        <v>-1.0256410256410265E-2</v>
      </c>
      <c r="I54" s="90">
        <f>IF(ISNUMBER(G54), $B64 * H54, "")</f>
        <v>-1538.4615384615397</v>
      </c>
      <c r="J54" s="13">
        <v>3.81</v>
      </c>
      <c r="K54" s="14">
        <f>IF(ISNUMBER(J54), (J54 - $B54) / $B54, "")</f>
        <v>-2.307692307692304E-2</v>
      </c>
      <c r="L54" s="16">
        <f>IF(ISNUMBER(J54), $B64 * K54, "")</f>
        <v>-3461.538461538456</v>
      </c>
      <c r="M54" s="29">
        <v>3.83</v>
      </c>
      <c r="N54" s="14">
        <f>IF(ISNUMBER(M54), (M54 - $B54) / $B54, "")</f>
        <v>-1.7948717948717909E-2</v>
      </c>
      <c r="O54" s="16">
        <f>IF(ISNUMBER(M54), $B64 * N54, "")</f>
        <v>-2692.3076923076865</v>
      </c>
      <c r="Q54" s="150"/>
      <c r="R54" s="151"/>
      <c r="S54" s="152"/>
    </row>
    <row r="55" spans="1:19" ht="17.25" customHeight="1" thickBot="1">
      <c r="A55" s="109" t="s">
        <v>141</v>
      </c>
      <c r="B55" s="110">
        <v>2.97</v>
      </c>
      <c r="C55" s="70">
        <v>-6.6889632000000001E-3</v>
      </c>
      <c r="D55" s="15">
        <v>2.94</v>
      </c>
      <c r="E55" s="32">
        <f t="shared" ref="E55:E58" si="22">IF(ISNUMBER(D55), (D55 - $B55) / $B55, "")</f>
        <v>-1.0101010101010183E-2</v>
      </c>
      <c r="F55" s="18">
        <f>IF(ISNUMBER(D55), $B64 * E55, "")</f>
        <v>-1515.1515151515275</v>
      </c>
      <c r="G55" s="31">
        <v>2.94</v>
      </c>
      <c r="H55" s="32">
        <f t="shared" ref="H55:H58" si="23">IF(ISNUMBER(G55), (G55 - $B55) / $B55, "")</f>
        <v>-1.0101010101010183E-2</v>
      </c>
      <c r="I55" s="91">
        <f>IF(ISNUMBER(G55), $B64 * H55, "")</f>
        <v>-1515.1515151515275</v>
      </c>
      <c r="J55" s="15">
        <v>2.91</v>
      </c>
      <c r="K55" s="32">
        <f t="shared" ref="K55:K58" si="24">IF(ISNUMBER(J55), (J55 - $B55) / $B55, "")</f>
        <v>-2.0202020202020218E-2</v>
      </c>
      <c r="L55" s="18">
        <f>IF(ISNUMBER(J55), $B64 * K55, "")</f>
        <v>-3030.3030303030328</v>
      </c>
      <c r="M55" s="31">
        <v>2.92</v>
      </c>
      <c r="N55" s="32">
        <f t="shared" ref="N55:N58" si="25">IF(ISNUMBER(M55), (M55 - $B55) / $B55, "")</f>
        <v>-1.6835016835016925E-2</v>
      </c>
      <c r="O55" s="18">
        <f>IF(ISNUMBER(M55), $B64 * N55, "")</f>
        <v>-2525.2525252525388</v>
      </c>
      <c r="Q55" s="153"/>
      <c r="R55" s="154"/>
      <c r="S55" s="155"/>
    </row>
    <row r="56" spans="1:19" ht="17.25" customHeight="1" thickBot="1">
      <c r="A56" s="109" t="s">
        <v>197</v>
      </c>
      <c r="B56" s="110">
        <v>5.61</v>
      </c>
      <c r="C56" s="70">
        <v>-7.0796460000000002E-3</v>
      </c>
      <c r="D56" s="15">
        <v>5.56</v>
      </c>
      <c r="E56" s="32">
        <f t="shared" si="22"/>
        <v>-8.9126559714796279E-3</v>
      </c>
      <c r="F56" s="18">
        <f>IF(ISNUMBER(D56), $B64 * E56, "")</f>
        <v>-1336.8983957219441</v>
      </c>
      <c r="G56" s="31">
        <v>5.54</v>
      </c>
      <c r="H56" s="32">
        <f t="shared" si="23"/>
        <v>-1.2477718360071352E-2</v>
      </c>
      <c r="I56" s="91">
        <f>IF(ISNUMBER(G56), $B64 * H56, "")</f>
        <v>-1871.6577540107028</v>
      </c>
      <c r="J56" s="15">
        <v>5.49</v>
      </c>
      <c r="K56" s="32">
        <f t="shared" si="24"/>
        <v>-2.1390374331550818E-2</v>
      </c>
      <c r="L56" s="18">
        <f>IF(ISNUMBER(J56), $B64 * K56, "")</f>
        <v>-3208.5561497326225</v>
      </c>
      <c r="M56" s="31">
        <v>5.52</v>
      </c>
      <c r="N56" s="32">
        <f t="shared" si="25"/>
        <v>-1.6042780748663235E-2</v>
      </c>
      <c r="O56" s="18">
        <f>IF(ISNUMBER(M56), $B64 * N56, "")</f>
        <v>-2406.4171122994853</v>
      </c>
      <c r="Q56" s="146"/>
      <c r="R56" s="146"/>
      <c r="S56" s="146"/>
    </row>
    <row r="57" spans="1:19" ht="17.25" customHeight="1" thickBot="1">
      <c r="A57" s="109" t="s">
        <v>237</v>
      </c>
      <c r="B57" s="110">
        <v>25.8</v>
      </c>
      <c r="C57" s="70">
        <v>-7.6923076999999996E-3</v>
      </c>
      <c r="D57" s="15">
        <v>25.1</v>
      </c>
      <c r="E57" s="32">
        <f t="shared" si="22"/>
        <v>-2.7131782945736406E-2</v>
      </c>
      <c r="F57" s="18">
        <f>IF(ISNUMBER(D57), $B64 * E57, "")</f>
        <v>-4069.7674418604611</v>
      </c>
      <c r="G57" s="31">
        <v>25</v>
      </c>
      <c r="H57" s="32">
        <f t="shared" si="23"/>
        <v>-3.1007751937984523E-2</v>
      </c>
      <c r="I57" s="91">
        <f>IF(ISNUMBER(G57), $B64 * H57, "")</f>
        <v>-4651.1627906976782</v>
      </c>
      <c r="J57" s="15">
        <v>24.9</v>
      </c>
      <c r="K57" s="32">
        <f t="shared" si="24"/>
        <v>-3.4883720930232641E-2</v>
      </c>
      <c r="L57" s="18">
        <f>IF(ISNUMBER(J57), $B64 * K57, "")</f>
        <v>-5232.5581395348963</v>
      </c>
      <c r="M57" s="31">
        <v>25.1</v>
      </c>
      <c r="N57" s="32">
        <f t="shared" si="25"/>
        <v>-2.7131782945736406E-2</v>
      </c>
      <c r="O57" s="18">
        <f>IF(ISNUMBER(M57), $B64 * N57, "")</f>
        <v>-4069.7674418604611</v>
      </c>
      <c r="Q57" s="156"/>
      <c r="R57" s="156"/>
      <c r="S57" s="156"/>
    </row>
    <row r="58" spans="1:19" ht="17.25" customHeight="1" thickBot="1">
      <c r="A58" s="111" t="s">
        <v>155</v>
      </c>
      <c r="B58" s="112">
        <v>24.8</v>
      </c>
      <c r="C58" s="71">
        <v>-8.0000000000000002E-3</v>
      </c>
      <c r="D58" s="20">
        <v>24.4</v>
      </c>
      <c r="E58" s="21">
        <f t="shared" si="22"/>
        <v>-1.6129032258064602E-2</v>
      </c>
      <c r="F58" s="22">
        <f>IF(ISNUMBER(D58), $B64 * E58, "")</f>
        <v>-2419.3548387096903</v>
      </c>
      <c r="G58" s="30">
        <v>24.5</v>
      </c>
      <c r="H58" s="21">
        <f t="shared" si="23"/>
        <v>-1.2096774193548416E-2</v>
      </c>
      <c r="I58" s="95">
        <f>IF(ISNUMBER(G58), $B64 * H58, "")</f>
        <v>-1814.5161290322624</v>
      </c>
      <c r="J58" s="20">
        <v>24.1</v>
      </c>
      <c r="K58" s="21">
        <f t="shared" si="24"/>
        <v>-2.8225806451612875E-2</v>
      </c>
      <c r="L58" s="22">
        <f>IF(ISNUMBER(J58), $B64 * K58, "")</f>
        <v>-4233.8709677419311</v>
      </c>
      <c r="M58" s="30">
        <v>24.5</v>
      </c>
      <c r="N58" s="21">
        <f t="shared" si="25"/>
        <v>-1.2096774193548416E-2</v>
      </c>
      <c r="O58" s="22">
        <f>IF(ISNUMBER(M58), $B64 * N58, "")</f>
        <v>-1814.5161290322624</v>
      </c>
      <c r="Q58" s="156"/>
      <c r="R58" s="156"/>
      <c r="S58" s="156"/>
    </row>
    <row r="59" spans="1:19" ht="17.25" customHeight="1" thickBot="1">
      <c r="A59" s="109" t="s">
        <v>207</v>
      </c>
      <c r="B59" s="113">
        <v>59.3</v>
      </c>
      <c r="C59" s="73">
        <v>-8.3612040000000006E-3</v>
      </c>
      <c r="D59" s="96">
        <v>59.6</v>
      </c>
      <c r="E59" s="97">
        <f>IF(ISNUMBER(D59), (D59 - $B59) / $B59, "")</f>
        <v>5.0590219224284022E-3</v>
      </c>
      <c r="F59" s="98">
        <f>IF(ISNUMBER(D59), $B64 * E59, "")</f>
        <v>758.85328836426038</v>
      </c>
      <c r="G59" s="99">
        <v>59.3</v>
      </c>
      <c r="H59" s="97">
        <f>IF(ISNUMBER(G59), (G59 - $B59) / $B59, "")</f>
        <v>0</v>
      </c>
      <c r="I59" s="100">
        <f>IF(ISNUMBER(G59), $B64 * H59, "")</f>
        <v>0</v>
      </c>
      <c r="J59" s="96">
        <v>59</v>
      </c>
      <c r="K59" s="97">
        <f>IF(ISNUMBER(J59), (J59 - $B59) / $B59, "")</f>
        <v>-5.0590219224282825E-3</v>
      </c>
      <c r="L59" s="98">
        <f>IF(ISNUMBER(J59), $B64 * K59, "")</f>
        <v>-758.85328836424242</v>
      </c>
      <c r="M59" s="99">
        <v>59</v>
      </c>
      <c r="N59" s="97">
        <f>IF(ISNUMBER(M59), (M59 - $B59) / $B59, "")</f>
        <v>-5.0590219224282825E-3</v>
      </c>
      <c r="O59" s="98">
        <f>IF(ISNUMBER(M59), $B64 * N59, "")</f>
        <v>-758.85328836424242</v>
      </c>
      <c r="Q59" s="146"/>
      <c r="R59" s="146"/>
      <c r="S59" s="146"/>
    </row>
    <row r="60" spans="1:19" ht="17.25" customHeight="1" thickBot="1">
      <c r="A60" s="109" t="s">
        <v>64</v>
      </c>
      <c r="B60" s="110">
        <v>9.07</v>
      </c>
      <c r="C60" s="70">
        <v>-8.7431694000000004E-3</v>
      </c>
      <c r="D60" s="15">
        <v>8.9499999999999993</v>
      </c>
      <c r="E60" s="32">
        <f t="shared" ref="E60:E63" si="26">IF(ISNUMBER(D60), (D60 - $B60) / $B60, "")</f>
        <v>-1.3230429988974751E-2</v>
      </c>
      <c r="F60" s="18">
        <f>IF(ISNUMBER(D60), $B64 * E60, "")</f>
        <v>-1984.5644983462128</v>
      </c>
      <c r="G60" s="31">
        <v>8.92</v>
      </c>
      <c r="H60" s="32">
        <f t="shared" ref="H60:H63" si="27">IF(ISNUMBER(G60), (G60 - $B60) / $B60, "")</f>
        <v>-1.6538037486218342E-2</v>
      </c>
      <c r="I60" s="91">
        <f>IF(ISNUMBER(G60), $B64 * H60, "")</f>
        <v>-2480.7056229327513</v>
      </c>
      <c r="J60" s="15">
        <v>8.9</v>
      </c>
      <c r="K60" s="32">
        <f t="shared" ref="K60:K63" si="28">IF(ISNUMBER(J60), (J60 - $B60) / $B60, "")</f>
        <v>-1.8743109151047401E-2</v>
      </c>
      <c r="L60" s="18">
        <f>IF(ISNUMBER(J60), $B64 * K60, "")</f>
        <v>-2811.4663726571102</v>
      </c>
      <c r="M60" s="31">
        <v>8.9499999999999993</v>
      </c>
      <c r="N60" s="32">
        <f t="shared" ref="N60:N63" si="29">IF(ISNUMBER(M60), (M60 - $B60) / $B60, "")</f>
        <v>-1.3230429988974751E-2</v>
      </c>
      <c r="O60" s="18">
        <f>IF(ISNUMBER(M60), $B64 * N60, "")</f>
        <v>-1984.5644983462128</v>
      </c>
      <c r="Q60" s="146"/>
      <c r="R60" s="146"/>
      <c r="S60" s="146"/>
    </row>
    <row r="61" spans="1:19" ht="17.25" customHeight="1" thickBot="1">
      <c r="A61" s="109" t="s">
        <v>143</v>
      </c>
      <c r="B61" s="110">
        <v>3.37</v>
      </c>
      <c r="C61" s="70">
        <v>-8.8235294000000002E-3</v>
      </c>
      <c r="D61" s="15">
        <v>3.33</v>
      </c>
      <c r="E61" s="32">
        <f t="shared" si="26"/>
        <v>-1.1869436201780426E-2</v>
      </c>
      <c r="F61" s="18">
        <f>IF(ISNUMBER(D61), $B64 * E61, "")</f>
        <v>-1780.415430267064</v>
      </c>
      <c r="G61" s="31">
        <v>3.38</v>
      </c>
      <c r="H61" s="32">
        <f t="shared" si="27"/>
        <v>2.9673590504450406E-3</v>
      </c>
      <c r="I61" s="91">
        <f>IF(ISNUMBER(G61), $B64 * H61, "")</f>
        <v>445.10385756675612</v>
      </c>
      <c r="J61" s="15">
        <v>3.34</v>
      </c>
      <c r="K61" s="32">
        <f t="shared" si="28"/>
        <v>-8.9020771513353848E-3</v>
      </c>
      <c r="L61" s="18">
        <f>IF(ISNUMBER(J61), $B64 * K61, "")</f>
        <v>-1335.3115727003078</v>
      </c>
      <c r="M61" s="31">
        <v>3.32</v>
      </c>
      <c r="N61" s="32">
        <f t="shared" si="29"/>
        <v>-1.4836795252225598E-2</v>
      </c>
      <c r="O61" s="18">
        <f>IF(ISNUMBER(M61), $B64 * N61, "")</f>
        <v>-2225.5192878338398</v>
      </c>
      <c r="Q61" s="146"/>
      <c r="R61" s="146"/>
      <c r="S61" s="146"/>
    </row>
    <row r="62" spans="1:19" ht="17.25" customHeight="1">
      <c r="A62" s="109" t="s">
        <v>349</v>
      </c>
      <c r="B62" s="110">
        <v>20.7</v>
      </c>
      <c r="C62" s="70">
        <v>-9.5693779999999999E-3</v>
      </c>
      <c r="D62" s="15">
        <v>20.399999999999999</v>
      </c>
      <c r="E62" s="32">
        <f t="shared" si="26"/>
        <v>-1.4492753623188441E-2</v>
      </c>
      <c r="F62" s="18">
        <f>IF(ISNUMBER(D62), $B64 * E62, "")</f>
        <v>-2173.913043478266</v>
      </c>
      <c r="G62" s="31">
        <v>20.3</v>
      </c>
      <c r="H62" s="32">
        <f t="shared" si="27"/>
        <v>-1.9323671497584474E-2</v>
      </c>
      <c r="I62" s="91">
        <f>IF(ISNUMBER(G62), $B64 * H62, "")</f>
        <v>-2898.550724637671</v>
      </c>
      <c r="J62" s="15">
        <v>20.2</v>
      </c>
      <c r="K62" s="32">
        <f t="shared" si="28"/>
        <v>-2.4154589371980676E-2</v>
      </c>
      <c r="L62" s="18">
        <f>IF(ISNUMBER(J62), $B64 * K62, "")</f>
        <v>-3623.1884057971015</v>
      </c>
      <c r="M62" s="31">
        <v>20.2</v>
      </c>
      <c r="N62" s="32">
        <f t="shared" si="29"/>
        <v>-2.4154589371980676E-2</v>
      </c>
      <c r="O62" s="18">
        <f>IF(ISNUMBER(M62), $B64 * N62, "")</f>
        <v>-3623.1884057971015</v>
      </c>
      <c r="Q62" s="135"/>
      <c r="R62" s="136"/>
      <c r="S62" s="137"/>
    </row>
    <row r="63" spans="1:19" ht="17.25" customHeight="1" thickBot="1">
      <c r="A63" s="114" t="s">
        <v>253</v>
      </c>
      <c r="B63" s="115">
        <v>92.8</v>
      </c>
      <c r="C63" s="72">
        <v>-9.6051226999999996E-3</v>
      </c>
      <c r="D63" s="24">
        <v>90.6</v>
      </c>
      <c r="E63" s="25">
        <f t="shared" si="26"/>
        <v>-2.3706896551724168E-2</v>
      </c>
      <c r="F63" s="94">
        <f>IF(ISNUMBER(D63), $B64 * E63, "")</f>
        <v>-3556.034482758625</v>
      </c>
      <c r="G63" s="92">
        <v>90.5</v>
      </c>
      <c r="H63" s="25">
        <f t="shared" si="27"/>
        <v>-2.4784482758620659E-2</v>
      </c>
      <c r="I63" s="93">
        <f>IF(ISNUMBER(G63), $B64 * H63, "")</f>
        <v>-3717.6724137930987</v>
      </c>
      <c r="J63" s="24">
        <v>89.8</v>
      </c>
      <c r="K63" s="25">
        <f t="shared" si="28"/>
        <v>-3.2327586206896554E-2</v>
      </c>
      <c r="L63" s="94">
        <f>IF(ISNUMBER(J63), $B64 * K63, "")</f>
        <v>-4849.1379310344828</v>
      </c>
      <c r="M63" s="92">
        <v>90.3</v>
      </c>
      <c r="N63" s="25">
        <f t="shared" si="29"/>
        <v>-2.6939655172413795E-2</v>
      </c>
      <c r="O63" s="94">
        <f>IF(ISNUMBER(M63), $B64 * N63, "")</f>
        <v>-4040.9482758620693</v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-1.6010142611417751E-2</v>
      </c>
      <c r="F64" s="28">
        <f>SUM(F44:F63)</f>
        <v>-48030.427834253249</v>
      </c>
      <c r="G64" s="26" t="s">
        <v>258</v>
      </c>
      <c r="H64" s="27">
        <f>IF(COUNT(H44:H63), SUM(H44:H63) / COUNT(H44:H63), 0)</f>
        <v>-2.1349429619538125E-2</v>
      </c>
      <c r="I64" s="28">
        <f>SUM(I44:I63)</f>
        <v>-64048.288858614396</v>
      </c>
      <c r="J64" s="26" t="s">
        <v>258</v>
      </c>
      <c r="K64" s="27">
        <f>IF(COUNT(K44:K63), SUM(K44:K63) / COUNT(K44:K63), 0)</f>
        <v>-2.1300765990768328E-2</v>
      </c>
      <c r="L64" s="28">
        <f>SUM(L44:L63)</f>
        <v>-63902.297972304972</v>
      </c>
      <c r="M64" s="26" t="s">
        <v>258</v>
      </c>
      <c r="N64" s="27">
        <f>IF(COUNT(N44:N63), SUM(N44:N63) / COUNT(N44:N63), 0)</f>
        <v>-2.5256702959138077E-2</v>
      </c>
      <c r="O64" s="28">
        <f>SUM(O44:O63)</f>
        <v>-75770.108877414241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21539000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1.0224474E-3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2023-01-06(금) 오전 00:00</v>
      </c>
      <c r="C69" s="198"/>
      <c r="D69" s="170" t="str">
        <f>TEXT($G$1, "[$-ko-KR]yyyy-mm-dd(ddd) ") &amp; "오후 14:00"</f>
        <v>2023-01-06(금) 오후 14:00</v>
      </c>
      <c r="E69" s="171"/>
      <c r="F69" s="172"/>
      <c r="G69" s="170" t="str">
        <f>TEXT($G$1, "[$-ko-KR]yyyy-mm-dd(ddd) ") &amp; "오후 19:00"</f>
        <v>2023-01-06(금) 오후 19:00</v>
      </c>
      <c r="H69" s="171"/>
      <c r="I69" s="172"/>
      <c r="J69" s="170" t="str">
        <f>TEXT($G$1, "[$-ko-KR]yyyy-mm-dd(ddd) ") &amp; "오후 21:00"</f>
        <v>2023-01-06(금) 오후 21:00</v>
      </c>
      <c r="K69" s="171"/>
      <c r="L69" s="172"/>
      <c r="M69" s="170" t="str">
        <f>TEXT($G$1+1, "[$-ko-KR]yyyy-mm-dd(ddd) ") &amp; "오전 00:00"</f>
        <v>2023-01-07(토)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85</v>
      </c>
      <c r="B71" s="108">
        <v>141</v>
      </c>
      <c r="C71" s="69">
        <v>5.2238805999999999E-2</v>
      </c>
      <c r="D71" s="13">
        <v>138</v>
      </c>
      <c r="E71" s="14">
        <f>IF(ISNUMBER(D71), (D71 - $B71) / $B71, "")</f>
        <v>-2.1276595744680851E-2</v>
      </c>
      <c r="F71" s="16">
        <f>IF(ISNUMBER(D71), $B91 * E71, "")</f>
        <v>-3191.4893617021276</v>
      </c>
      <c r="G71" s="29">
        <v>137</v>
      </c>
      <c r="H71" s="14">
        <f>IF(ISNUMBER(G71), (G71 - $B71) / $B71, "")</f>
        <v>-2.8368794326241134E-2</v>
      </c>
      <c r="I71" s="90">
        <f>IF(ISNUMBER(G71), $B91 * H71, "")</f>
        <v>-4255.3191489361698</v>
      </c>
      <c r="J71" s="13">
        <v>135</v>
      </c>
      <c r="K71" s="14">
        <f>IF(ISNUMBER(J71), (J71 - $B71) / $B71, "")</f>
        <v>-4.2553191489361701E-2</v>
      </c>
      <c r="L71" s="16">
        <f>IF(ISNUMBER(J71), $B91 * K71, "")</f>
        <v>-6382.9787234042551</v>
      </c>
      <c r="M71" s="29">
        <v>136</v>
      </c>
      <c r="N71" s="14">
        <f>IF(ISNUMBER(M71), (M71 - $B71) / $B71, "")</f>
        <v>-3.5460992907801421E-2</v>
      </c>
      <c r="O71" s="16">
        <f>IF(ISNUMBER(M71), $B91 * N71, "")</f>
        <v>-5319.1489361702133</v>
      </c>
      <c r="Q71" s="156"/>
      <c r="R71" s="156"/>
      <c r="S71" s="156"/>
    </row>
    <row r="72" spans="1:19" ht="17.25" thickBot="1">
      <c r="A72" s="109" t="s">
        <v>211</v>
      </c>
      <c r="B72" s="110">
        <v>938</v>
      </c>
      <c r="C72" s="70">
        <v>1.62513543E-2</v>
      </c>
      <c r="D72" s="15">
        <v>911</v>
      </c>
      <c r="E72" s="32">
        <f t="shared" ref="E72:E75" si="30">IF(ISNUMBER(D72), (D72 - $B72) / $B72, "")</f>
        <v>-2.8784648187633263E-2</v>
      </c>
      <c r="F72" s="18">
        <f>IF(ISNUMBER(D72), $B91 * E72, "")</f>
        <v>-4317.6972281449898</v>
      </c>
      <c r="G72" s="31">
        <v>905</v>
      </c>
      <c r="H72" s="32">
        <f t="shared" ref="H72:H75" si="31">IF(ISNUMBER(G72), (G72 - $B72) / $B72, "")</f>
        <v>-3.5181236673773986E-2</v>
      </c>
      <c r="I72" s="91">
        <f>IF(ISNUMBER(G72), $B91 * H72, "")</f>
        <v>-5277.1855010660975</v>
      </c>
      <c r="J72" s="15">
        <v>904</v>
      </c>
      <c r="K72" s="32">
        <f t="shared" ref="K72:K75" si="32">IF(ISNUMBER(J72), (J72 - $B72) / $B72, "")</f>
        <v>-3.6247334754797439E-2</v>
      </c>
      <c r="L72" s="18">
        <f>IF(ISNUMBER(J72), $B91 * K72, "")</f>
        <v>-5437.1002132196154</v>
      </c>
      <c r="M72" s="31">
        <v>903</v>
      </c>
      <c r="N72" s="32">
        <f t="shared" ref="N72:N75" si="33">IF(ISNUMBER(M72), (M72 - $B72) / $B72, "")</f>
        <v>-3.7313432835820892E-2</v>
      </c>
      <c r="O72" s="18">
        <f>IF(ISNUMBER(M72), $B91 * N72, "")</f>
        <v>-5597.0149253731342</v>
      </c>
      <c r="Q72" s="156"/>
      <c r="R72" s="156"/>
      <c r="S72" s="156"/>
    </row>
    <row r="73" spans="1:19" ht="17.25" thickBot="1">
      <c r="A73" s="109" t="s">
        <v>235</v>
      </c>
      <c r="B73" s="110">
        <v>521</v>
      </c>
      <c r="C73" s="70">
        <v>7.7369439000000003E-3</v>
      </c>
      <c r="D73" s="15">
        <v>508</v>
      </c>
      <c r="E73" s="32">
        <f t="shared" si="30"/>
        <v>-2.4952015355086371E-2</v>
      </c>
      <c r="F73" s="18">
        <f>IF(ISNUMBER(D73), $B91 * E73, "")</f>
        <v>-3742.8023032629558</v>
      </c>
      <c r="G73" s="31">
        <v>507</v>
      </c>
      <c r="H73" s="32">
        <f t="shared" si="31"/>
        <v>-2.6871401151631478E-2</v>
      </c>
      <c r="I73" s="91">
        <f>IF(ISNUMBER(G73), $B91 * H73, "")</f>
        <v>-4030.7101727447216</v>
      </c>
      <c r="J73" s="15">
        <v>502</v>
      </c>
      <c r="K73" s="32">
        <f t="shared" si="32"/>
        <v>-3.6468330134357005E-2</v>
      </c>
      <c r="L73" s="18">
        <f>IF(ISNUMBER(J73), $B91 * K73, "")</f>
        <v>-5470.2495201535503</v>
      </c>
      <c r="M73" s="31">
        <v>506</v>
      </c>
      <c r="N73" s="32">
        <f t="shared" si="33"/>
        <v>-2.8790786948176585E-2</v>
      </c>
      <c r="O73" s="18">
        <f>IF(ISNUMBER(M73), $B91 * N73, "")</f>
        <v>-4318.6180422264879</v>
      </c>
      <c r="Q73" s="146"/>
      <c r="R73" s="146"/>
      <c r="S73" s="146"/>
    </row>
    <row r="74" spans="1:19" ht="17.25" thickBot="1">
      <c r="A74" s="109" t="s">
        <v>321</v>
      </c>
      <c r="B74" s="110">
        <v>158</v>
      </c>
      <c r="C74" s="70">
        <v>6.3694268000000004E-3</v>
      </c>
      <c r="D74" s="15">
        <v>155</v>
      </c>
      <c r="E74" s="32">
        <f t="shared" si="30"/>
        <v>-1.8987341772151899E-2</v>
      </c>
      <c r="F74" s="18">
        <f>IF(ISNUMBER(D74), $B91 * E74, "")</f>
        <v>-2848.1012658227851</v>
      </c>
      <c r="G74" s="31">
        <v>154</v>
      </c>
      <c r="H74" s="32">
        <f t="shared" si="31"/>
        <v>-2.5316455696202531E-2</v>
      </c>
      <c r="I74" s="91">
        <f>IF(ISNUMBER(G74), $B91 * H74, "")</f>
        <v>-3797.4683544303798</v>
      </c>
      <c r="J74" s="15">
        <v>152</v>
      </c>
      <c r="K74" s="32">
        <f t="shared" si="32"/>
        <v>-3.7974683544303799E-2</v>
      </c>
      <c r="L74" s="18">
        <f>IF(ISNUMBER(J74), $B91 * K74, "")</f>
        <v>-5696.2025316455702</v>
      </c>
      <c r="M74" s="31">
        <v>153</v>
      </c>
      <c r="N74" s="32">
        <f t="shared" si="33"/>
        <v>-3.1645569620253167E-2</v>
      </c>
      <c r="O74" s="18">
        <f>IF(ISNUMBER(M74), $B91 * N74, "")</f>
        <v>-4746.835443037975</v>
      </c>
      <c r="Q74" s="146"/>
      <c r="R74" s="146"/>
      <c r="S74" s="146"/>
    </row>
    <row r="75" spans="1:19" ht="17.25" thickBot="1">
      <c r="A75" s="111" t="s">
        <v>330</v>
      </c>
      <c r="B75" s="112">
        <v>266</v>
      </c>
      <c r="C75" s="71">
        <v>3.7735848999999998E-3</v>
      </c>
      <c r="D75" s="20">
        <v>264</v>
      </c>
      <c r="E75" s="21">
        <f t="shared" si="30"/>
        <v>-7.5187969924812026E-3</v>
      </c>
      <c r="F75" s="22">
        <f>IF(ISNUMBER(D75), $B91 * E75, "")</f>
        <v>-1127.8195488721803</v>
      </c>
      <c r="G75" s="30">
        <v>262</v>
      </c>
      <c r="H75" s="21">
        <f t="shared" si="31"/>
        <v>-1.5037593984962405E-2</v>
      </c>
      <c r="I75" s="95">
        <f>IF(ISNUMBER(G75), $B91 * H75, "")</f>
        <v>-2255.6390977443607</v>
      </c>
      <c r="J75" s="20">
        <v>261</v>
      </c>
      <c r="K75" s="21">
        <f t="shared" si="32"/>
        <v>-1.8796992481203006E-2</v>
      </c>
      <c r="L75" s="22">
        <f>IF(ISNUMBER(J75), $B91 * K75, "")</f>
        <v>-2819.5488721804509</v>
      </c>
      <c r="M75" s="30">
        <v>262</v>
      </c>
      <c r="N75" s="21">
        <f t="shared" si="33"/>
        <v>-1.5037593984962405E-2</v>
      </c>
      <c r="O75" s="22">
        <f>IF(ISNUMBER(M75), $B91 * N75, "")</f>
        <v>-2255.6390977443607</v>
      </c>
      <c r="Q75" s="146"/>
      <c r="R75" s="146"/>
      <c r="S75" s="146"/>
    </row>
    <row r="76" spans="1:19" ht="17.25" thickBot="1">
      <c r="A76" s="109" t="s">
        <v>109</v>
      </c>
      <c r="B76" s="113">
        <v>967</v>
      </c>
      <c r="C76" s="73">
        <v>2.0725388999999999E-3</v>
      </c>
      <c r="D76" s="96">
        <v>942</v>
      </c>
      <c r="E76" s="97">
        <f>IF(ISNUMBER(D76), (D76 - $B76) / $B76, "")</f>
        <v>-2.5853154084798345E-2</v>
      </c>
      <c r="F76" s="98">
        <f>IF(ISNUMBER(D76), $B91 * E76, "")</f>
        <v>-3877.973112719752</v>
      </c>
      <c r="G76" s="99">
        <v>944</v>
      </c>
      <c r="H76" s="97">
        <f>IF(ISNUMBER(G76), (G76 - $B76) / $B76, "")</f>
        <v>-2.3784901758014478E-2</v>
      </c>
      <c r="I76" s="100">
        <f>IF(ISNUMBER(G76), $B91 * H76, "")</f>
        <v>-3567.7352637021718</v>
      </c>
      <c r="J76" s="96">
        <v>941</v>
      </c>
      <c r="K76" s="97">
        <f>IF(ISNUMBER(J76), (J76 - $B76) / $B76, "")</f>
        <v>-2.688728024819028E-2</v>
      </c>
      <c r="L76" s="98">
        <f>IF(ISNUMBER(J76), $B91 * K76, "")</f>
        <v>-4033.0920372285423</v>
      </c>
      <c r="M76" s="99">
        <v>945</v>
      </c>
      <c r="N76" s="97">
        <f>IF(ISNUMBER(M76), (M76 - $B76) / $B76, "")</f>
        <v>-2.2750775594622543E-2</v>
      </c>
      <c r="O76" s="98">
        <f>IF(ISNUMBER(M76), $B91 * N76, "")</f>
        <v>-3412.6163391933815</v>
      </c>
      <c r="Q76" s="146"/>
      <c r="R76" s="146"/>
      <c r="S76" s="146"/>
    </row>
    <row r="77" spans="1:19" ht="17.25" thickBot="1">
      <c r="A77" s="109" t="s">
        <v>66</v>
      </c>
      <c r="B77" s="110">
        <v>592</v>
      </c>
      <c r="C77" s="70">
        <v>1.6920474E-3</v>
      </c>
      <c r="D77" s="15">
        <v>601</v>
      </c>
      <c r="E77" s="32">
        <f t="shared" ref="E77:E80" si="34">IF(ISNUMBER(D77), (D77 - $B77) / $B77, "")</f>
        <v>1.5202702702702704E-2</v>
      </c>
      <c r="F77" s="18">
        <f>IF(ISNUMBER(D77), $B91 * E77, "")</f>
        <v>2280.4054054054054</v>
      </c>
      <c r="G77" s="31">
        <v>611</v>
      </c>
      <c r="H77" s="32">
        <f t="shared" ref="H77:H80" si="35">IF(ISNUMBER(G77), (G77 - $B77) / $B77, "")</f>
        <v>3.2094594594594593E-2</v>
      </c>
      <c r="I77" s="91">
        <f>IF(ISNUMBER(G77), $B91 * H77, "")</f>
        <v>4814.1891891891892</v>
      </c>
      <c r="J77" s="15">
        <v>607</v>
      </c>
      <c r="K77" s="32">
        <f t="shared" ref="K77:K80" si="36">IF(ISNUMBER(J77), (J77 - $B77) / $B77, "")</f>
        <v>2.5337837837837839E-2</v>
      </c>
      <c r="L77" s="18">
        <f>IF(ISNUMBER(J77), $B91 * K77, "")</f>
        <v>3800.6756756756758</v>
      </c>
      <c r="M77" s="31">
        <v>604</v>
      </c>
      <c r="N77" s="32">
        <f t="shared" ref="N77:N80" si="37">IF(ISNUMBER(M77), (M77 - $B77) / $B77, "")</f>
        <v>2.0270270270270271E-2</v>
      </c>
      <c r="O77" s="18">
        <f>IF(ISNUMBER(M77), $B91 * N77, "")</f>
        <v>3040.5405405405409</v>
      </c>
      <c r="Q77" s="146"/>
      <c r="R77" s="146"/>
      <c r="S77" s="146"/>
    </row>
    <row r="78" spans="1:19" ht="17.25" thickBot="1">
      <c r="A78" s="109" t="s">
        <v>183</v>
      </c>
      <c r="B78" s="110">
        <v>116</v>
      </c>
      <c r="C78" s="70">
        <v>0</v>
      </c>
      <c r="D78" s="15">
        <v>113</v>
      </c>
      <c r="E78" s="32">
        <f t="shared" si="34"/>
        <v>-2.5862068965517241E-2</v>
      </c>
      <c r="F78" s="18">
        <f>IF(ISNUMBER(D78), $B91 * E78, "")</f>
        <v>-3879.3103448275861</v>
      </c>
      <c r="G78" s="31">
        <v>112</v>
      </c>
      <c r="H78" s="32">
        <f t="shared" si="35"/>
        <v>-3.4482758620689655E-2</v>
      </c>
      <c r="I78" s="91">
        <f>IF(ISNUMBER(G78), $B91 * H78, "")</f>
        <v>-5172.4137931034484</v>
      </c>
      <c r="J78" s="15">
        <v>112</v>
      </c>
      <c r="K78" s="32">
        <f t="shared" si="36"/>
        <v>-3.4482758620689655E-2</v>
      </c>
      <c r="L78" s="18">
        <f>IF(ISNUMBER(J78), $B91 * K78, "")</f>
        <v>-5172.4137931034484</v>
      </c>
      <c r="M78" s="31">
        <v>112</v>
      </c>
      <c r="N78" s="32">
        <f t="shared" si="37"/>
        <v>-3.4482758620689655E-2</v>
      </c>
      <c r="O78" s="18">
        <f>IF(ISNUMBER(M78), $B91 * N78, "")</f>
        <v>-5172.4137931034484</v>
      </c>
      <c r="Q78" s="146"/>
      <c r="R78" s="146"/>
      <c r="S78" s="146"/>
    </row>
    <row r="79" spans="1:19" ht="17.25" thickBot="1">
      <c r="A79" s="109" t="s">
        <v>167</v>
      </c>
      <c r="B79" s="110">
        <v>162</v>
      </c>
      <c r="C79" s="70">
        <v>0</v>
      </c>
      <c r="D79" s="15">
        <v>161</v>
      </c>
      <c r="E79" s="32">
        <f t="shared" si="34"/>
        <v>-6.1728395061728392E-3</v>
      </c>
      <c r="F79" s="18">
        <f>IF(ISNUMBER(D79), $B91 * E79, "")</f>
        <v>-925.92592592592587</v>
      </c>
      <c r="G79" s="31">
        <v>158</v>
      </c>
      <c r="H79" s="32">
        <f t="shared" si="35"/>
        <v>-2.4691358024691357E-2</v>
      </c>
      <c r="I79" s="91">
        <f>IF(ISNUMBER(G79), $B91 * H79, "")</f>
        <v>-3703.7037037037035</v>
      </c>
      <c r="J79" s="15">
        <v>157</v>
      </c>
      <c r="K79" s="32">
        <f t="shared" si="36"/>
        <v>-3.0864197530864196E-2</v>
      </c>
      <c r="L79" s="18">
        <f>IF(ISNUMBER(J79), $B91 * K79, "")</f>
        <v>-4629.6296296296296</v>
      </c>
      <c r="M79" s="31">
        <v>159</v>
      </c>
      <c r="N79" s="32">
        <f t="shared" si="37"/>
        <v>-1.8518518518518517E-2</v>
      </c>
      <c r="O79" s="18">
        <f>IF(ISNUMBER(M79), $B91 * N79, "")</f>
        <v>-2777.7777777777778</v>
      </c>
      <c r="Q79" s="33"/>
      <c r="R79" s="33"/>
    </row>
    <row r="80" spans="1:19" ht="17.25" thickBot="1">
      <c r="A80" s="114" t="s">
        <v>223</v>
      </c>
      <c r="B80" s="115">
        <v>191</v>
      </c>
      <c r="C80" s="72">
        <v>0</v>
      </c>
      <c r="D80" s="24">
        <v>190</v>
      </c>
      <c r="E80" s="25">
        <f t="shared" si="34"/>
        <v>-5.235602094240838E-3</v>
      </c>
      <c r="F80" s="94">
        <f>IF(ISNUMBER(D80), $B91 * E80, "")</f>
        <v>-785.3403141361257</v>
      </c>
      <c r="G80" s="92">
        <v>190</v>
      </c>
      <c r="H80" s="25">
        <f t="shared" si="35"/>
        <v>-5.235602094240838E-3</v>
      </c>
      <c r="I80" s="93">
        <f>IF(ISNUMBER(G80), $B91 * H80, "")</f>
        <v>-785.3403141361257</v>
      </c>
      <c r="J80" s="24">
        <v>188</v>
      </c>
      <c r="K80" s="25">
        <f t="shared" si="36"/>
        <v>-1.5706806282722512E-2</v>
      </c>
      <c r="L80" s="94">
        <f>IF(ISNUMBER(J80), $B91 * K80, "")</f>
        <v>-2356.0209424083769</v>
      </c>
      <c r="M80" s="92">
        <v>189</v>
      </c>
      <c r="N80" s="25">
        <f t="shared" si="37"/>
        <v>-1.0471204188481676E-2</v>
      </c>
      <c r="O80" s="94">
        <f>IF(ISNUMBER(M80), $B91 * N80, "")</f>
        <v>-1570.6806282722514</v>
      </c>
      <c r="Q80" s="147"/>
      <c r="R80" s="148"/>
      <c r="S80" s="149"/>
    </row>
    <row r="81" spans="1:19">
      <c r="A81" s="107" t="s">
        <v>213</v>
      </c>
      <c r="B81" s="108">
        <v>414</v>
      </c>
      <c r="C81" s="69">
        <v>-2.4096386000000002E-3</v>
      </c>
      <c r="D81" s="13">
        <v>406</v>
      </c>
      <c r="E81" s="14">
        <f>IF(ISNUMBER(D81), (D81 - $B81) / $B81, "")</f>
        <v>-1.932367149758454E-2</v>
      </c>
      <c r="F81" s="16">
        <f>IF(ISNUMBER(D81), $B91 * E81, "")</f>
        <v>-2898.550724637681</v>
      </c>
      <c r="G81" s="29">
        <v>403</v>
      </c>
      <c r="H81" s="14">
        <f>IF(ISNUMBER(G81), (G81 - $B81) / $B81, "")</f>
        <v>-2.6570048309178744E-2</v>
      </c>
      <c r="I81" s="90">
        <f>IF(ISNUMBER(G81), $B91 * H81, "")</f>
        <v>-3985.5072463768115</v>
      </c>
      <c r="J81" s="13">
        <v>401</v>
      </c>
      <c r="K81" s="14">
        <f>IF(ISNUMBER(J81), (J81 - $B81) / $B81, "")</f>
        <v>-3.140096618357488E-2</v>
      </c>
      <c r="L81" s="16">
        <f>IF(ISNUMBER(J81), $B91 * K81, "")</f>
        <v>-4710.144927536232</v>
      </c>
      <c r="M81" s="29">
        <v>402</v>
      </c>
      <c r="N81" s="14">
        <f>IF(ISNUMBER(M81), (M81 - $B81) / $B81, "")</f>
        <v>-2.8985507246376812E-2</v>
      </c>
      <c r="O81" s="16">
        <f>IF(ISNUMBER(M81), $B91 * N81, "")</f>
        <v>-4347.826086956522</v>
      </c>
      <c r="Q81" s="150"/>
      <c r="R81" s="151"/>
      <c r="S81" s="152"/>
    </row>
    <row r="82" spans="1:19" ht="17.25" thickBot="1">
      <c r="A82" s="109" t="s">
        <v>199</v>
      </c>
      <c r="B82" s="110">
        <v>270</v>
      </c>
      <c r="C82" s="70">
        <v>-3.6900369000000001E-3</v>
      </c>
      <c r="D82" s="15">
        <v>266</v>
      </c>
      <c r="E82" s="32">
        <f t="shared" ref="E82:E85" si="38">IF(ISNUMBER(D82), (D82 - $B82) / $B82, "")</f>
        <v>-1.4814814814814815E-2</v>
      </c>
      <c r="F82" s="18">
        <f>IF(ISNUMBER(D82), $B91 * E82, "")</f>
        <v>-2222.2222222222222</v>
      </c>
      <c r="G82" s="31">
        <v>263</v>
      </c>
      <c r="H82" s="32">
        <f t="shared" ref="H82:H85" si="39">IF(ISNUMBER(G82), (G82 - $B82) / $B82, "")</f>
        <v>-2.5925925925925925E-2</v>
      </c>
      <c r="I82" s="91">
        <f>IF(ISNUMBER(G82), $B91 * H82, "")</f>
        <v>-3888.8888888888887</v>
      </c>
      <c r="J82" s="15">
        <v>262</v>
      </c>
      <c r="K82" s="32">
        <f t="shared" ref="K82:K85" si="40">IF(ISNUMBER(J82), (J82 - $B82) / $B82, "")</f>
        <v>-2.9629629629629631E-2</v>
      </c>
      <c r="L82" s="18">
        <f>IF(ISNUMBER(J82), $B91 * K82, "")</f>
        <v>-4444.4444444444443</v>
      </c>
      <c r="M82" s="31">
        <v>262</v>
      </c>
      <c r="N82" s="32">
        <f t="shared" ref="N82:N85" si="41">IF(ISNUMBER(M82), (M82 - $B82) / $B82, "")</f>
        <v>-2.9629629629629631E-2</v>
      </c>
      <c r="O82" s="18">
        <f>IF(ISNUMBER(M82), $B91 * N82, "")</f>
        <v>-4444.4444444444443</v>
      </c>
      <c r="Q82" s="153"/>
      <c r="R82" s="154"/>
      <c r="S82" s="155"/>
    </row>
    <row r="83" spans="1:19" ht="17.25" thickBot="1">
      <c r="A83" s="109" t="s">
        <v>81</v>
      </c>
      <c r="B83" s="110">
        <v>340</v>
      </c>
      <c r="C83" s="70">
        <v>-5.8479532000000004E-3</v>
      </c>
      <c r="D83" s="15">
        <v>346</v>
      </c>
      <c r="E83" s="32">
        <f t="shared" si="38"/>
        <v>1.7647058823529412E-2</v>
      </c>
      <c r="F83" s="18">
        <f>IF(ISNUMBER(D83), $B91 * E83, "")</f>
        <v>2647.0588235294117</v>
      </c>
      <c r="G83" s="31">
        <v>347</v>
      </c>
      <c r="H83" s="32">
        <f t="shared" si="39"/>
        <v>2.0588235294117647E-2</v>
      </c>
      <c r="I83" s="91">
        <f>IF(ISNUMBER(G83), $B91 * H83, "")</f>
        <v>3088.2352941176468</v>
      </c>
      <c r="J83" s="15">
        <v>345</v>
      </c>
      <c r="K83" s="32">
        <f t="shared" si="40"/>
        <v>1.4705882352941176E-2</v>
      </c>
      <c r="L83" s="18">
        <f>IF(ISNUMBER(J83), $B91 * K83, "")</f>
        <v>2205.8823529411766</v>
      </c>
      <c r="M83" s="31">
        <v>343</v>
      </c>
      <c r="N83" s="32">
        <f t="shared" si="41"/>
        <v>8.8235294117647058E-3</v>
      </c>
      <c r="O83" s="18">
        <f>IF(ISNUMBER(M83), $B91 * N83, "")</f>
        <v>1323.5294117647059</v>
      </c>
      <c r="Q83" s="146"/>
      <c r="R83" s="146"/>
      <c r="S83" s="146"/>
    </row>
    <row r="84" spans="1:19" ht="17.25" thickBot="1">
      <c r="A84" s="109" t="s">
        <v>165</v>
      </c>
      <c r="B84" s="110">
        <v>892</v>
      </c>
      <c r="C84" s="70">
        <v>-6.6815145000000001E-3</v>
      </c>
      <c r="D84" s="15">
        <v>881</v>
      </c>
      <c r="E84" s="32">
        <f t="shared" si="38"/>
        <v>-1.2331838565022421E-2</v>
      </c>
      <c r="F84" s="18">
        <f>IF(ISNUMBER(D84), $B91 * E84, "")</f>
        <v>-1849.775784753363</v>
      </c>
      <c r="G84" s="31">
        <v>869</v>
      </c>
      <c r="H84" s="32">
        <f t="shared" si="39"/>
        <v>-2.5784753363228701E-2</v>
      </c>
      <c r="I84" s="91">
        <f>IF(ISNUMBER(G84), $B91 * H84, "")</f>
        <v>-3867.7130044843052</v>
      </c>
      <c r="J84" s="15">
        <v>868</v>
      </c>
      <c r="K84" s="32">
        <f t="shared" si="40"/>
        <v>-2.6905829596412557E-2</v>
      </c>
      <c r="L84" s="18">
        <f>IF(ISNUMBER(J84), $B91 * K84, "")</f>
        <v>-4035.8744394618834</v>
      </c>
      <c r="M84" s="31">
        <v>873</v>
      </c>
      <c r="N84" s="32">
        <f t="shared" si="41"/>
        <v>-2.1300448430493273E-2</v>
      </c>
      <c r="O84" s="18">
        <f>IF(ISNUMBER(M84), $B91 * N84, "")</f>
        <v>-3195.067264573991</v>
      </c>
      <c r="Q84" s="156"/>
      <c r="R84" s="156"/>
      <c r="S84" s="156"/>
    </row>
    <row r="85" spans="1:19" ht="17.25" thickBot="1">
      <c r="A85" s="111" t="s">
        <v>215</v>
      </c>
      <c r="B85" s="112">
        <v>287</v>
      </c>
      <c r="C85" s="71">
        <v>-6.9204152000000001E-3</v>
      </c>
      <c r="D85" s="20">
        <v>283</v>
      </c>
      <c r="E85" s="21">
        <f t="shared" si="38"/>
        <v>-1.3937282229965157E-2</v>
      </c>
      <c r="F85" s="22">
        <f>IF(ISNUMBER(D85), $B91 * E85, "")</f>
        <v>-2090.5923344947737</v>
      </c>
      <c r="G85" s="30">
        <v>281</v>
      </c>
      <c r="H85" s="21">
        <f t="shared" si="39"/>
        <v>-2.0905923344947737E-2</v>
      </c>
      <c r="I85" s="95">
        <f>IF(ISNUMBER(G85), $B91 * H85, "")</f>
        <v>-3135.8885017421603</v>
      </c>
      <c r="J85" s="20">
        <v>280</v>
      </c>
      <c r="K85" s="21">
        <f t="shared" si="40"/>
        <v>-2.4390243902439025E-2</v>
      </c>
      <c r="L85" s="22">
        <f>IF(ISNUMBER(J85), $B91 * K85, "")</f>
        <v>-3658.5365853658536</v>
      </c>
      <c r="M85" s="30">
        <v>281</v>
      </c>
      <c r="N85" s="21">
        <f t="shared" si="41"/>
        <v>-2.0905923344947737E-2</v>
      </c>
      <c r="O85" s="22">
        <f>IF(ISNUMBER(M85), $B91 * N85, "")</f>
        <v>-3135.8885017421603</v>
      </c>
      <c r="Q85" s="156"/>
      <c r="R85" s="156"/>
      <c r="S85" s="156"/>
    </row>
    <row r="86" spans="1:19" ht="17.25" thickBot="1">
      <c r="A86" s="109" t="s">
        <v>239</v>
      </c>
      <c r="B86" s="113">
        <v>411</v>
      </c>
      <c r="C86" s="73">
        <v>-7.2463768E-3</v>
      </c>
      <c r="D86" s="96">
        <v>409</v>
      </c>
      <c r="E86" s="97">
        <f>IF(ISNUMBER(D86), (D86 - $B86) / $B86, "")</f>
        <v>-4.8661800486618006E-3</v>
      </c>
      <c r="F86" s="98">
        <f>IF(ISNUMBER(D86), $B91 * E86, "")</f>
        <v>-729.92700729927014</v>
      </c>
      <c r="G86" s="99">
        <v>407</v>
      </c>
      <c r="H86" s="97">
        <f>IF(ISNUMBER(G86), (G86 - $B86) / $B86, "")</f>
        <v>-9.7323600973236012E-3</v>
      </c>
      <c r="I86" s="100">
        <f>IF(ISNUMBER(G86), $B91 * H86, "")</f>
        <v>-1459.8540145985403</v>
      </c>
      <c r="J86" s="96">
        <v>407</v>
      </c>
      <c r="K86" s="97">
        <f>IF(ISNUMBER(J86), (J86 - $B86) / $B86, "")</f>
        <v>-9.7323600973236012E-3</v>
      </c>
      <c r="L86" s="98">
        <f>IF(ISNUMBER(J86), $B91 * K86, "")</f>
        <v>-1459.8540145985403</v>
      </c>
      <c r="M86" s="99">
        <v>406</v>
      </c>
      <c r="N86" s="97">
        <f>IF(ISNUMBER(M86), (M86 - $B86) / $B86, "")</f>
        <v>-1.2165450121654502E-2</v>
      </c>
      <c r="O86" s="98">
        <f>IF(ISNUMBER(M86), $B91 * N86, "")</f>
        <v>-1824.8175182481752</v>
      </c>
      <c r="Q86" s="146"/>
      <c r="R86" s="146"/>
      <c r="S86" s="146"/>
    </row>
    <row r="87" spans="1:19" ht="17.25" thickBot="1">
      <c r="A87" s="109" t="s">
        <v>60</v>
      </c>
      <c r="B87" s="110">
        <v>410</v>
      </c>
      <c r="C87" s="70">
        <v>-7.2639224999999997E-3</v>
      </c>
      <c r="D87" s="15">
        <v>403</v>
      </c>
      <c r="E87" s="32">
        <f t="shared" ref="E87:E90" si="42">IF(ISNUMBER(D87), (D87 - $B87) / $B87, "")</f>
        <v>-1.7073170731707318E-2</v>
      </c>
      <c r="F87" s="18">
        <f>IF(ISNUMBER(D87), $B91 * E87, "")</f>
        <v>-2560.9756097560976</v>
      </c>
      <c r="G87" s="31">
        <v>400</v>
      </c>
      <c r="H87" s="32">
        <f t="shared" ref="H87:H90" si="43">IF(ISNUMBER(G87), (G87 - $B87) / $B87, "")</f>
        <v>-2.4390243902439025E-2</v>
      </c>
      <c r="I87" s="91">
        <f>IF(ISNUMBER(G87), $B91 * H87, "")</f>
        <v>-3658.5365853658536</v>
      </c>
      <c r="J87" s="15">
        <v>399</v>
      </c>
      <c r="K87" s="32">
        <f t="shared" ref="K87:K90" si="44">IF(ISNUMBER(J87), (J87 - $B87) / $B87, "")</f>
        <v>-2.6829268292682926E-2</v>
      </c>
      <c r="L87" s="18">
        <f>IF(ISNUMBER(J87), $B91 * K87, "")</f>
        <v>-4024.3902439024391</v>
      </c>
      <c r="M87" s="31">
        <v>404</v>
      </c>
      <c r="N87" s="32">
        <f t="shared" ref="N87:N90" si="45">IF(ISNUMBER(M87), (M87 - $B87) / $B87, "")</f>
        <v>-1.4634146341463415E-2</v>
      </c>
      <c r="O87" s="18">
        <f>IF(ISNUMBER(M87), $B91 * N87, "")</f>
        <v>-2195.1219512195125</v>
      </c>
      <c r="Q87" s="146"/>
      <c r="R87" s="146"/>
      <c r="S87" s="146"/>
    </row>
    <row r="88" spans="1:19" ht="17.25" thickBot="1">
      <c r="A88" s="109" t="s">
        <v>229</v>
      </c>
      <c r="B88" s="110">
        <v>234</v>
      </c>
      <c r="C88" s="70">
        <v>-8.4745762999999998E-3</v>
      </c>
      <c r="D88" s="15">
        <v>232</v>
      </c>
      <c r="E88" s="32">
        <f t="shared" si="42"/>
        <v>-8.5470085470085479E-3</v>
      </c>
      <c r="F88" s="18">
        <f>IF(ISNUMBER(D88), $B91 * E88, "")</f>
        <v>-1282.0512820512822</v>
      </c>
      <c r="G88" s="31">
        <v>231</v>
      </c>
      <c r="H88" s="32">
        <f t="shared" si="43"/>
        <v>-1.282051282051282E-2</v>
      </c>
      <c r="I88" s="91">
        <f>IF(ISNUMBER(G88), $B91 * H88, "")</f>
        <v>-1923.0769230769231</v>
      </c>
      <c r="J88" s="15">
        <v>229</v>
      </c>
      <c r="K88" s="32">
        <f t="shared" si="44"/>
        <v>-2.1367521367521368E-2</v>
      </c>
      <c r="L88" s="18">
        <f>IF(ISNUMBER(J88), $B91 * K88, "")</f>
        <v>-3205.1282051282051</v>
      </c>
      <c r="M88" s="31">
        <v>230</v>
      </c>
      <c r="N88" s="32">
        <f t="shared" si="45"/>
        <v>-1.7094017094017096E-2</v>
      </c>
      <c r="O88" s="18">
        <f>IF(ISNUMBER(M88), $B91 * N88, "")</f>
        <v>-2564.1025641025644</v>
      </c>
      <c r="Q88" s="146"/>
      <c r="R88" s="146"/>
      <c r="S88" s="146"/>
    </row>
    <row r="89" spans="1:19">
      <c r="A89" s="109" t="s">
        <v>169</v>
      </c>
      <c r="B89" s="110">
        <v>228</v>
      </c>
      <c r="C89" s="70">
        <v>-8.6956522000000008E-3</v>
      </c>
      <c r="D89" s="15">
        <v>227</v>
      </c>
      <c r="E89" s="32">
        <f t="shared" si="42"/>
        <v>-4.3859649122807015E-3</v>
      </c>
      <c r="F89" s="18">
        <f>IF(ISNUMBER(D89), $B91 * E89, "")</f>
        <v>-657.8947368421052</v>
      </c>
      <c r="G89" s="31">
        <v>225</v>
      </c>
      <c r="H89" s="32">
        <f t="shared" si="43"/>
        <v>-1.3157894736842105E-2</v>
      </c>
      <c r="I89" s="91">
        <f>IF(ISNUMBER(G89), $B91 * H89, "")</f>
        <v>-1973.6842105263156</v>
      </c>
      <c r="J89" s="15">
        <v>223</v>
      </c>
      <c r="K89" s="32">
        <f t="shared" si="44"/>
        <v>-2.1929824561403508E-2</v>
      </c>
      <c r="L89" s="18">
        <f>IF(ISNUMBER(J89), $B91 * K89, "")</f>
        <v>-3289.4736842105262</v>
      </c>
      <c r="M89" s="31">
        <v>226</v>
      </c>
      <c r="N89" s="32">
        <f t="shared" si="45"/>
        <v>-8.771929824561403E-3</v>
      </c>
      <c r="O89" s="18">
        <f>IF(ISNUMBER(M89), $B91 * N89, "")</f>
        <v>-1315.7894736842104</v>
      </c>
      <c r="Q89" s="135"/>
      <c r="R89" s="136"/>
      <c r="S89" s="137"/>
    </row>
    <row r="90" spans="1:19" ht="17.25" thickBot="1">
      <c r="A90" s="114" t="s">
        <v>319</v>
      </c>
      <c r="B90" s="115">
        <v>325</v>
      </c>
      <c r="C90" s="72">
        <v>-9.1463415000000003E-3</v>
      </c>
      <c r="D90" s="24">
        <v>320</v>
      </c>
      <c r="E90" s="25">
        <f t="shared" si="42"/>
        <v>-1.5384615384615385E-2</v>
      </c>
      <c r="F90" s="94">
        <f>IF(ISNUMBER(D90), $B91 * E90, "")</f>
        <v>-2307.6923076923076</v>
      </c>
      <c r="G90" s="92">
        <v>316</v>
      </c>
      <c r="H90" s="25">
        <f t="shared" si="43"/>
        <v>-2.7692307692307693E-2</v>
      </c>
      <c r="I90" s="93">
        <f>IF(ISNUMBER(G90), $B91 * H90, "")</f>
        <v>-4153.8461538461543</v>
      </c>
      <c r="J90" s="24">
        <v>315</v>
      </c>
      <c r="K90" s="25">
        <f t="shared" si="44"/>
        <v>-3.0769230769230771E-2</v>
      </c>
      <c r="L90" s="94">
        <f>IF(ISNUMBER(J90), $B91 * K90, "")</f>
        <v>-4615.3846153846152</v>
      </c>
      <c r="M90" s="92">
        <v>315</v>
      </c>
      <c r="N90" s="25">
        <f t="shared" si="45"/>
        <v>-3.0769230769230771E-2</v>
      </c>
      <c r="O90" s="94">
        <f>IF(ISNUMBER(M90), $B91 * N90, "")</f>
        <v>-4615.3846153846152</v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-1.2122892395409571E-2</v>
      </c>
      <c r="F91" s="28">
        <f>SUM(F71:F90)</f>
        <v>-36368.677186228713</v>
      </c>
      <c r="G91" s="26" t="s">
        <v>258</v>
      </c>
      <c r="H91" s="27">
        <f>IF(COUNT(H71:H90), SUM(H71:H90) / COUNT(H71:H90), 0)</f>
        <v>-1.76633621317221E-2</v>
      </c>
      <c r="I91" s="28">
        <f>SUM(I71:I90)</f>
        <v>-52990.086395166305</v>
      </c>
      <c r="J91" s="26" t="s">
        <v>258</v>
      </c>
      <c r="K91" s="27">
        <f>IF(COUNT(K71:K90), SUM(K71:K90) / COUNT(K71:K90), 0)</f>
        <v>-2.3144636464796444E-2</v>
      </c>
      <c r="L91" s="28">
        <f>SUM(L71:L90)</f>
        <v>-69433.909394389324</v>
      </c>
      <c r="M91" s="26" t="s">
        <v>258</v>
      </c>
      <c r="N91" s="27">
        <f>IF(COUNT(N71:N90), SUM(N71:N90) / COUNT(N71:N90), 0)</f>
        <v>-1.9481705816983323E-2</v>
      </c>
      <c r="O91" s="28">
        <f>SUM(O71:O90)</f>
        <v>-58445.117450949976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21539000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1.0224474E-3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2023-01-06(금) 오전 00:00</v>
      </c>
      <c r="C96" s="198"/>
      <c r="D96" s="170" t="str">
        <f>TEXT($G$1, "[$-ko-KR]yyyy-mm-dd(ddd) ") &amp; "오후 14:00"</f>
        <v>2023-01-06(금) 오후 14:00</v>
      </c>
      <c r="E96" s="171"/>
      <c r="F96" s="172"/>
      <c r="G96" s="170" t="str">
        <f>TEXT($G$1, "[$-ko-KR]yyyy-mm-dd(ddd) ") &amp; "오후 19:00"</f>
        <v>2023-01-06(금) 오후 19:00</v>
      </c>
      <c r="H96" s="171"/>
      <c r="I96" s="172"/>
      <c r="J96" s="170" t="str">
        <f>TEXT($G$1, "[$-ko-KR]yyyy-mm-dd(ddd) ") &amp; "오후 21:00"</f>
        <v>2023-01-06(금) 오후 21:00</v>
      </c>
      <c r="K96" s="171"/>
      <c r="L96" s="172"/>
      <c r="M96" s="170" t="str">
        <f>TEXT($G$1+1, "[$-ko-KR]yyyy-mm-dd(ddd) ") &amp; "오전 00:00"</f>
        <v>2023-01-07(토)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174</v>
      </c>
      <c r="B98" s="108">
        <v>13250</v>
      </c>
      <c r="C98" s="69">
        <v>0.105087573</v>
      </c>
      <c r="D98" s="13">
        <v>11910</v>
      </c>
      <c r="E98" s="14">
        <f>IF(ISNUMBER(D98), (D98 - $B98) / $B98, "")</f>
        <v>-0.10113207547169811</v>
      </c>
      <c r="F98" s="16">
        <f>IF(ISNUMBER(D98), $B118 * E98, "")</f>
        <v>-15169.811320754718</v>
      </c>
      <c r="G98" s="29">
        <v>11940</v>
      </c>
      <c r="H98" s="14">
        <f>IF(ISNUMBER(G98), (G98 - $B98) / $B98, "")</f>
        <v>-9.8867924528301884E-2</v>
      </c>
      <c r="I98" s="90">
        <f>IF(ISNUMBER(G98), $B118 * H98, "")</f>
        <v>-14830.188679245282</v>
      </c>
      <c r="J98" s="13">
        <v>11800</v>
      </c>
      <c r="K98" s="14">
        <f>IF(ISNUMBER(J98), (J98 - $B98) / $B98, "")</f>
        <v>-0.10943396226415095</v>
      </c>
      <c r="L98" s="16">
        <f>IF(ISNUMBER(J98), $B118 * K98, "")</f>
        <v>-16415.094339622643</v>
      </c>
      <c r="M98" s="29">
        <v>11740</v>
      </c>
      <c r="N98" s="14">
        <f>IF(ISNUMBER(M98), (M98 - $B98) / $B98, "")</f>
        <v>-0.11396226415094339</v>
      </c>
      <c r="O98" s="16">
        <f>IF(ISNUMBER(M98), $B118 * N98, "")</f>
        <v>-17094.33962264151</v>
      </c>
      <c r="Q98" s="156"/>
      <c r="R98" s="156"/>
      <c r="S98" s="156"/>
    </row>
    <row r="99" spans="1:19" ht="17.25" thickBot="1">
      <c r="A99" s="109" t="s">
        <v>85</v>
      </c>
      <c r="B99" s="110">
        <v>141</v>
      </c>
      <c r="C99" s="70">
        <v>5.2238805999999999E-2</v>
      </c>
      <c r="D99" s="15">
        <v>138</v>
      </c>
      <c r="E99" s="32">
        <f t="shared" ref="E99:E102" si="46">IF(ISNUMBER(D99), (D99 - $B99) / $B99, "")</f>
        <v>-2.1276595744680851E-2</v>
      </c>
      <c r="F99" s="18">
        <f>IF(ISNUMBER(D99), $B118 * E99, "")</f>
        <v>-3191.4893617021276</v>
      </c>
      <c r="G99" s="31">
        <v>137</v>
      </c>
      <c r="H99" s="32">
        <f t="shared" ref="H99:H102" si="47">IF(ISNUMBER(G99), (G99 - $B99) / $B99, "")</f>
        <v>-2.8368794326241134E-2</v>
      </c>
      <c r="I99" s="91">
        <f>IF(ISNUMBER(G99), $B118 * H99, "")</f>
        <v>-4255.3191489361698</v>
      </c>
      <c r="J99" s="15">
        <v>135</v>
      </c>
      <c r="K99" s="32">
        <f t="shared" ref="K99:K102" si="48">IF(ISNUMBER(J99), (J99 - $B99) / $B99, "")</f>
        <v>-4.2553191489361701E-2</v>
      </c>
      <c r="L99" s="18">
        <f>IF(ISNUMBER(J99), $B118 * K99, "")</f>
        <v>-6382.9787234042551</v>
      </c>
      <c r="M99" s="31">
        <v>136</v>
      </c>
      <c r="N99" s="32">
        <f t="shared" ref="N99:N102" si="49">IF(ISNUMBER(M99), (M99 - $B99) / $B99, "")</f>
        <v>-3.5460992907801421E-2</v>
      </c>
      <c r="O99" s="18">
        <f>IF(ISNUMBER(M99), $B118 * N99, "")</f>
        <v>-5319.1489361702133</v>
      </c>
      <c r="Q99" s="156"/>
      <c r="R99" s="156"/>
      <c r="S99" s="156"/>
    </row>
    <row r="100" spans="1:19" ht="17.25" thickBot="1">
      <c r="A100" s="109" t="s">
        <v>91</v>
      </c>
      <c r="B100" s="110">
        <v>17320</v>
      </c>
      <c r="C100" s="70">
        <v>3.8992201599999998E-2</v>
      </c>
      <c r="D100" s="15">
        <v>16760</v>
      </c>
      <c r="E100" s="32">
        <f t="shared" si="46"/>
        <v>-3.2332563510392612E-2</v>
      </c>
      <c r="F100" s="18">
        <f>IF(ISNUMBER(D100), $B118 * E100, "")</f>
        <v>-4849.8845265588916</v>
      </c>
      <c r="G100" s="31">
        <v>16580</v>
      </c>
      <c r="H100" s="32">
        <f t="shared" si="47"/>
        <v>-4.2725173210161664E-2</v>
      </c>
      <c r="I100" s="91">
        <f>IF(ISNUMBER(G100), $B118 * H100, "")</f>
        <v>-6408.7759815242498</v>
      </c>
      <c r="J100" s="15">
        <v>16430</v>
      </c>
      <c r="K100" s="32">
        <f t="shared" si="48"/>
        <v>-5.1385681293302538E-2</v>
      </c>
      <c r="L100" s="18">
        <f>IF(ISNUMBER(J100), $B118 * K100, "")</f>
        <v>-7707.8521939953807</v>
      </c>
      <c r="M100" s="31">
        <v>16470</v>
      </c>
      <c r="N100" s="32">
        <f t="shared" si="49"/>
        <v>-4.9076212471131642E-2</v>
      </c>
      <c r="O100" s="18">
        <f>IF(ISNUMBER(M100), $B118 * N100, "")</f>
        <v>-7361.4318706697459</v>
      </c>
      <c r="Q100" s="146"/>
      <c r="R100" s="146"/>
      <c r="S100" s="146"/>
    </row>
    <row r="101" spans="1:19" ht="17.25" thickBot="1">
      <c r="A101" s="109" t="s">
        <v>323</v>
      </c>
      <c r="B101" s="110">
        <v>3.1300000000000001E-2</v>
      </c>
      <c r="C101" s="70">
        <v>3.64238411E-2</v>
      </c>
      <c r="D101" s="15">
        <v>3.04E-2</v>
      </c>
      <c r="E101" s="32">
        <f t="shared" si="46"/>
        <v>-2.875399361022369E-2</v>
      </c>
      <c r="F101" s="18">
        <f>IF(ISNUMBER(D101), $B118 * E101, "")</f>
        <v>-4313.0990415335536</v>
      </c>
      <c r="G101" s="31">
        <v>3.0099999999999998E-2</v>
      </c>
      <c r="H101" s="32">
        <f t="shared" si="47"/>
        <v>-3.8338658146964952E-2</v>
      </c>
      <c r="I101" s="91">
        <f>IF(ISNUMBER(G101), $B118 * H101, "")</f>
        <v>-5750.798722044743</v>
      </c>
      <c r="J101" s="15">
        <v>0.03</v>
      </c>
      <c r="K101" s="32">
        <f t="shared" si="48"/>
        <v>-4.1533546325878676E-2</v>
      </c>
      <c r="L101" s="18">
        <f>IF(ISNUMBER(J101), $B118 * K101, "")</f>
        <v>-6230.0319488818013</v>
      </c>
      <c r="M101" s="31">
        <v>3.0300000000000001E-2</v>
      </c>
      <c r="N101" s="32">
        <f t="shared" si="49"/>
        <v>-3.1948881789137407E-2</v>
      </c>
      <c r="O101" s="18">
        <f>IF(ISNUMBER(M101), $B118 * N101, "")</f>
        <v>-4792.332268370611</v>
      </c>
      <c r="Q101" s="146"/>
      <c r="R101" s="146"/>
      <c r="S101" s="146"/>
    </row>
    <row r="102" spans="1:19" ht="17.25" thickBot="1">
      <c r="A102" s="111" t="s">
        <v>227</v>
      </c>
      <c r="B102" s="112">
        <v>35</v>
      </c>
      <c r="C102" s="71">
        <v>1.74418605E-2</v>
      </c>
      <c r="D102" s="20">
        <v>34</v>
      </c>
      <c r="E102" s="21">
        <f t="shared" si="46"/>
        <v>-2.8571428571428571E-2</v>
      </c>
      <c r="F102" s="22">
        <f>IF(ISNUMBER(D102), $B118 * E102, "")</f>
        <v>-4285.7142857142853</v>
      </c>
      <c r="G102" s="30">
        <v>34.4</v>
      </c>
      <c r="H102" s="21">
        <f t="shared" si="47"/>
        <v>-1.7142857142857182E-2</v>
      </c>
      <c r="I102" s="95">
        <f>IF(ISNUMBER(G102), $B118 * H102, "")</f>
        <v>-2571.4285714285775</v>
      </c>
      <c r="J102" s="20">
        <v>34.299999999999997</v>
      </c>
      <c r="K102" s="21">
        <f t="shared" si="48"/>
        <v>-2.000000000000008E-2</v>
      </c>
      <c r="L102" s="22">
        <f>IF(ISNUMBER(J102), $B118 * K102, "")</f>
        <v>-3000.0000000000118</v>
      </c>
      <c r="M102" s="30">
        <v>34.299999999999997</v>
      </c>
      <c r="N102" s="21">
        <f t="shared" si="49"/>
        <v>-2.000000000000008E-2</v>
      </c>
      <c r="O102" s="22">
        <f>IF(ISNUMBER(M102), $B118 * N102, "")</f>
        <v>-3000.0000000000118</v>
      </c>
      <c r="Q102" s="146"/>
      <c r="R102" s="146"/>
      <c r="S102" s="146"/>
    </row>
    <row r="103" spans="1:19" ht="17.25" thickBot="1">
      <c r="A103" s="109" t="s">
        <v>211</v>
      </c>
      <c r="B103" s="113">
        <v>938</v>
      </c>
      <c r="C103" s="73">
        <v>1.62513543E-2</v>
      </c>
      <c r="D103" s="96">
        <v>911</v>
      </c>
      <c r="E103" s="97">
        <f>IF(ISNUMBER(D103), (D103 - $B103) / $B103, "")</f>
        <v>-2.8784648187633263E-2</v>
      </c>
      <c r="F103" s="98">
        <f>IF(ISNUMBER(D103), $B118 * E103, "")</f>
        <v>-4317.6972281449898</v>
      </c>
      <c r="G103" s="99">
        <v>905</v>
      </c>
      <c r="H103" s="97">
        <f>IF(ISNUMBER(G103), (G103 - $B103) / $B103, "")</f>
        <v>-3.5181236673773986E-2</v>
      </c>
      <c r="I103" s="100">
        <f>IF(ISNUMBER(G103), $B118 * H103, "")</f>
        <v>-5277.1855010660975</v>
      </c>
      <c r="J103" s="96">
        <v>904</v>
      </c>
      <c r="K103" s="97">
        <f>IF(ISNUMBER(J103), (J103 - $B103) / $B103, "")</f>
        <v>-3.6247334754797439E-2</v>
      </c>
      <c r="L103" s="98">
        <f>IF(ISNUMBER(J103), $B118 * K103, "")</f>
        <v>-5437.1002132196154</v>
      </c>
      <c r="M103" s="99">
        <v>903</v>
      </c>
      <c r="N103" s="97">
        <f>IF(ISNUMBER(M103), (M103 - $B103) / $B103, "")</f>
        <v>-3.7313432835820892E-2</v>
      </c>
      <c r="O103" s="98">
        <f>IF(ISNUMBER(M103), $B118 * N103, "")</f>
        <v>-5597.0149253731342</v>
      </c>
      <c r="Q103" s="146"/>
      <c r="R103" s="146"/>
      <c r="S103" s="146"/>
    </row>
    <row r="104" spans="1:19" ht="17.25" thickBot="1">
      <c r="A104" s="109" t="s">
        <v>333</v>
      </c>
      <c r="B104" s="110">
        <v>4.07</v>
      </c>
      <c r="C104" s="70">
        <v>9.9255582999999998E-3</v>
      </c>
      <c r="D104" s="15">
        <v>4</v>
      </c>
      <c r="E104" s="32">
        <f t="shared" ref="E104:E107" si="50">IF(ISNUMBER(D104), (D104 - $B104) / $B104, "")</f>
        <v>-1.7199017199017268E-2</v>
      </c>
      <c r="F104" s="18">
        <f>IF(ISNUMBER(D104), $B118 * E104, "")</f>
        <v>-2579.8525798525902</v>
      </c>
      <c r="G104" s="31">
        <v>4.0199999999999996</v>
      </c>
      <c r="H104" s="32">
        <f t="shared" ref="H104:H107" si="51">IF(ISNUMBER(G104), (G104 - $B104) / $B104, "")</f>
        <v>-1.2285012285012459E-2</v>
      </c>
      <c r="I104" s="91">
        <f>IF(ISNUMBER(G104), $B118 * H104, "")</f>
        <v>-1842.7518427518689</v>
      </c>
      <c r="J104" s="15">
        <v>3.97</v>
      </c>
      <c r="K104" s="32">
        <f t="shared" ref="K104:K107" si="52">IF(ISNUMBER(J104), (J104 - $B104) / $B104, "")</f>
        <v>-2.4570024570024589E-2</v>
      </c>
      <c r="L104" s="18">
        <f>IF(ISNUMBER(J104), $B118 * K104, "")</f>
        <v>-3685.5036855036883</v>
      </c>
      <c r="M104" s="31">
        <v>3.96</v>
      </c>
      <c r="N104" s="32">
        <f t="shared" ref="N104:N107" si="53">IF(ISNUMBER(M104), (M104 - $B104) / $B104, "")</f>
        <v>-2.7027027027027105E-2</v>
      </c>
      <c r="O104" s="18">
        <f>IF(ISNUMBER(M104), $B118 * N104, "")</f>
        <v>-4054.0540540540655</v>
      </c>
      <c r="Q104" s="146"/>
      <c r="R104" s="146"/>
      <c r="S104" s="146"/>
    </row>
    <row r="105" spans="1:19" ht="17.25" thickBot="1">
      <c r="A105" s="109" t="s">
        <v>163</v>
      </c>
      <c r="B105" s="110">
        <v>5615</v>
      </c>
      <c r="C105" s="70">
        <v>9.8920863000000001E-3</v>
      </c>
      <c r="D105" s="15">
        <v>5465</v>
      </c>
      <c r="E105" s="32">
        <f t="shared" si="50"/>
        <v>-2.6714158504007122E-2</v>
      </c>
      <c r="F105" s="18">
        <f>IF(ISNUMBER(D105), $B118 * E105, "")</f>
        <v>-4007.1237756010682</v>
      </c>
      <c r="G105" s="31">
        <v>5440</v>
      </c>
      <c r="H105" s="32">
        <f t="shared" si="51"/>
        <v>-3.1166518254674976E-2</v>
      </c>
      <c r="I105" s="91">
        <f>IF(ISNUMBER(G105), $B118 * H105, "")</f>
        <v>-4674.9777382012462</v>
      </c>
      <c r="J105" s="15">
        <v>5415</v>
      </c>
      <c r="K105" s="32">
        <f t="shared" si="52"/>
        <v>-3.561887800534283E-2</v>
      </c>
      <c r="L105" s="18">
        <f>IF(ISNUMBER(J105), $B118 * K105, "")</f>
        <v>-5342.8317008014246</v>
      </c>
      <c r="M105" s="31">
        <v>5410</v>
      </c>
      <c r="N105" s="32">
        <f t="shared" si="53"/>
        <v>-3.6509349955476403E-2</v>
      </c>
      <c r="O105" s="18">
        <f>IF(ISNUMBER(M105), $B118 * N105, "")</f>
        <v>-5476.4024933214605</v>
      </c>
      <c r="Q105" s="146"/>
      <c r="R105" s="146"/>
      <c r="S105" s="146"/>
    </row>
    <row r="106" spans="1:19" ht="17.25" thickBot="1">
      <c r="A106" s="109" t="s">
        <v>235</v>
      </c>
      <c r="B106" s="110">
        <v>521</v>
      </c>
      <c r="C106" s="70">
        <v>7.7369439000000003E-3</v>
      </c>
      <c r="D106" s="15">
        <v>508</v>
      </c>
      <c r="E106" s="32">
        <f t="shared" si="50"/>
        <v>-2.4952015355086371E-2</v>
      </c>
      <c r="F106" s="18">
        <f>IF(ISNUMBER(D106), $B118 * E106, "")</f>
        <v>-3742.8023032629558</v>
      </c>
      <c r="G106" s="31">
        <v>507</v>
      </c>
      <c r="H106" s="32">
        <f t="shared" si="51"/>
        <v>-2.6871401151631478E-2</v>
      </c>
      <c r="I106" s="91">
        <f>IF(ISNUMBER(G106), $B118 * H106, "")</f>
        <v>-4030.7101727447216</v>
      </c>
      <c r="J106" s="15">
        <v>502</v>
      </c>
      <c r="K106" s="32">
        <f t="shared" si="52"/>
        <v>-3.6468330134357005E-2</v>
      </c>
      <c r="L106" s="18">
        <f>IF(ISNUMBER(J106), $B118 * K106, "")</f>
        <v>-5470.2495201535503</v>
      </c>
      <c r="M106" s="31">
        <v>506</v>
      </c>
      <c r="N106" s="32">
        <f t="shared" si="53"/>
        <v>-2.8790786948176585E-2</v>
      </c>
      <c r="O106" s="18">
        <f>IF(ISNUMBER(M106), $B118 * N106, "")</f>
        <v>-4318.6180422264879</v>
      </c>
      <c r="Q106" s="33"/>
      <c r="R106" s="33"/>
    </row>
    <row r="107" spans="1:19" ht="17.25" thickBot="1">
      <c r="A107" s="114" t="s">
        <v>321</v>
      </c>
      <c r="B107" s="115">
        <v>158</v>
      </c>
      <c r="C107" s="72">
        <v>6.3694268000000004E-3</v>
      </c>
      <c r="D107" s="24">
        <v>155</v>
      </c>
      <c r="E107" s="25">
        <f t="shared" si="50"/>
        <v>-1.8987341772151899E-2</v>
      </c>
      <c r="F107" s="94">
        <f>IF(ISNUMBER(D107), $B118 * E107, "")</f>
        <v>-2848.1012658227851</v>
      </c>
      <c r="G107" s="92">
        <v>154</v>
      </c>
      <c r="H107" s="25">
        <f t="shared" si="51"/>
        <v>-2.5316455696202531E-2</v>
      </c>
      <c r="I107" s="93">
        <f>IF(ISNUMBER(G107), $B118 * H107, "")</f>
        <v>-3797.4683544303798</v>
      </c>
      <c r="J107" s="24">
        <v>152</v>
      </c>
      <c r="K107" s="25">
        <f t="shared" si="52"/>
        <v>-3.7974683544303799E-2</v>
      </c>
      <c r="L107" s="94">
        <f>IF(ISNUMBER(J107), $B118 * K107, "")</f>
        <v>-5696.2025316455702</v>
      </c>
      <c r="M107" s="92">
        <v>153</v>
      </c>
      <c r="N107" s="25">
        <f t="shared" si="53"/>
        <v>-3.1645569620253167E-2</v>
      </c>
      <c r="O107" s="94">
        <f>IF(ISNUMBER(M107), $B118 * N107, "")</f>
        <v>-4746.835443037975</v>
      </c>
      <c r="Q107" s="147"/>
      <c r="R107" s="148"/>
      <c r="S107" s="149"/>
    </row>
    <row r="108" spans="1:19">
      <c r="A108" s="107" t="s">
        <v>330</v>
      </c>
      <c r="B108" s="108">
        <v>266</v>
      </c>
      <c r="C108" s="69">
        <v>3.7735848999999998E-3</v>
      </c>
      <c r="D108" s="13">
        <v>264</v>
      </c>
      <c r="E108" s="14">
        <f>IF(ISNUMBER(D108), (D108 - $B108) / $B108, "")</f>
        <v>-7.5187969924812026E-3</v>
      </c>
      <c r="F108" s="16">
        <f>IF(ISNUMBER(D108), $B118 * E108, "")</f>
        <v>-1127.8195488721803</v>
      </c>
      <c r="G108" s="29">
        <v>262</v>
      </c>
      <c r="H108" s="14">
        <f>IF(ISNUMBER(G108), (G108 - $B108) / $B108, "")</f>
        <v>-1.5037593984962405E-2</v>
      </c>
      <c r="I108" s="90">
        <f>IF(ISNUMBER(G108), $B118 * H108, "")</f>
        <v>-2255.6390977443607</v>
      </c>
      <c r="J108" s="13">
        <v>261</v>
      </c>
      <c r="K108" s="14">
        <f>IF(ISNUMBER(J108), (J108 - $B108) / $B108, "")</f>
        <v>-1.8796992481203006E-2</v>
      </c>
      <c r="L108" s="16">
        <f>IF(ISNUMBER(J108), $B118 * K108, "")</f>
        <v>-2819.5488721804509</v>
      </c>
      <c r="M108" s="29">
        <v>262</v>
      </c>
      <c r="N108" s="14">
        <f>IF(ISNUMBER(M108), (M108 - $B108) / $B108, "")</f>
        <v>-1.5037593984962405E-2</v>
      </c>
      <c r="O108" s="16">
        <f>IF(ISNUMBER(M108), $B118 * N108, "")</f>
        <v>-2255.6390977443607</v>
      </c>
      <c r="Q108" s="150"/>
      <c r="R108" s="151"/>
      <c r="S108" s="152"/>
    </row>
    <row r="109" spans="1:19" ht="17.25" thickBot="1">
      <c r="A109" s="109" t="s">
        <v>109</v>
      </c>
      <c r="B109" s="110">
        <v>967</v>
      </c>
      <c r="C109" s="70">
        <v>2.0725388999999999E-3</v>
      </c>
      <c r="D109" s="15">
        <v>942</v>
      </c>
      <c r="E109" s="32">
        <f t="shared" ref="E109:E112" si="54">IF(ISNUMBER(D109), (D109 - $B109) / $B109, "")</f>
        <v>-2.5853154084798345E-2</v>
      </c>
      <c r="F109" s="18">
        <f>IF(ISNUMBER(D109), $B118 * E109, "")</f>
        <v>-3877.973112719752</v>
      </c>
      <c r="G109" s="31">
        <v>944</v>
      </c>
      <c r="H109" s="32">
        <f t="shared" ref="H109:H112" si="55">IF(ISNUMBER(G109), (G109 - $B109) / $B109, "")</f>
        <v>-2.3784901758014478E-2</v>
      </c>
      <c r="I109" s="91">
        <f>IF(ISNUMBER(G109), $B118 * H109, "")</f>
        <v>-3567.7352637021718</v>
      </c>
      <c r="J109" s="15">
        <v>941</v>
      </c>
      <c r="K109" s="32">
        <f t="shared" ref="K109:K112" si="56">IF(ISNUMBER(J109), (J109 - $B109) / $B109, "")</f>
        <v>-2.688728024819028E-2</v>
      </c>
      <c r="L109" s="18">
        <f>IF(ISNUMBER(J109), $B118 * K109, "")</f>
        <v>-4033.0920372285423</v>
      </c>
      <c r="M109" s="31">
        <v>945</v>
      </c>
      <c r="N109" s="32">
        <f t="shared" ref="N109:N112" si="57">IF(ISNUMBER(M109), (M109 - $B109) / $B109, "")</f>
        <v>-2.2750775594622543E-2</v>
      </c>
      <c r="O109" s="18">
        <f>IF(ISNUMBER(M109), $B118 * N109, "")</f>
        <v>-3412.6163391933815</v>
      </c>
      <c r="Q109" s="153"/>
      <c r="R109" s="154"/>
      <c r="S109" s="155"/>
    </row>
    <row r="110" spans="1:19" ht="17.25" thickBot="1">
      <c r="A110" s="109" t="s">
        <v>217</v>
      </c>
      <c r="B110" s="110">
        <v>55.9</v>
      </c>
      <c r="C110" s="70">
        <v>1.7921147000000001E-3</v>
      </c>
      <c r="D110" s="15">
        <v>55</v>
      </c>
      <c r="E110" s="32">
        <f t="shared" si="54"/>
        <v>-1.6100178890876539E-2</v>
      </c>
      <c r="F110" s="18">
        <f>IF(ISNUMBER(D110), $B118 * E110, "")</f>
        <v>-2415.0268336314807</v>
      </c>
      <c r="G110" s="31">
        <v>54.5</v>
      </c>
      <c r="H110" s="32">
        <f t="shared" si="55"/>
        <v>-2.50447227191413E-2</v>
      </c>
      <c r="I110" s="91">
        <f>IF(ISNUMBER(G110), $B118 * H110, "")</f>
        <v>-3756.708407871195</v>
      </c>
      <c r="J110" s="15">
        <v>54.4</v>
      </c>
      <c r="K110" s="32">
        <f t="shared" si="56"/>
        <v>-2.6833631484794278E-2</v>
      </c>
      <c r="L110" s="18">
        <f>IF(ISNUMBER(J110), $B118 * K110, "")</f>
        <v>-4025.0447227191416</v>
      </c>
      <c r="M110" s="31">
        <v>54.4</v>
      </c>
      <c r="N110" s="32">
        <f t="shared" si="57"/>
        <v>-2.6833631484794278E-2</v>
      </c>
      <c r="O110" s="18">
        <f>IF(ISNUMBER(M110), $B118 * N110, "")</f>
        <v>-4025.0447227191416</v>
      </c>
      <c r="Q110" s="146"/>
      <c r="R110" s="146"/>
      <c r="S110" s="146"/>
    </row>
    <row r="111" spans="1:19" ht="17.25" thickBot="1">
      <c r="A111" s="109" t="s">
        <v>66</v>
      </c>
      <c r="B111" s="110">
        <v>592</v>
      </c>
      <c r="C111" s="70">
        <v>1.6920474E-3</v>
      </c>
      <c r="D111" s="15">
        <v>601</v>
      </c>
      <c r="E111" s="32">
        <f t="shared" si="54"/>
        <v>1.5202702702702704E-2</v>
      </c>
      <c r="F111" s="18">
        <f>IF(ISNUMBER(D111), $B118 * E111, "")</f>
        <v>2280.4054054054054</v>
      </c>
      <c r="G111" s="31">
        <v>611</v>
      </c>
      <c r="H111" s="32">
        <f t="shared" si="55"/>
        <v>3.2094594594594593E-2</v>
      </c>
      <c r="I111" s="91">
        <f>IF(ISNUMBER(G111), $B118 * H111, "")</f>
        <v>4814.1891891891892</v>
      </c>
      <c r="J111" s="15">
        <v>607</v>
      </c>
      <c r="K111" s="32">
        <f t="shared" si="56"/>
        <v>2.5337837837837839E-2</v>
      </c>
      <c r="L111" s="18">
        <f>IF(ISNUMBER(J111), $B118 * K111, "")</f>
        <v>3800.6756756756758</v>
      </c>
      <c r="M111" s="31">
        <v>604</v>
      </c>
      <c r="N111" s="32">
        <f t="shared" si="57"/>
        <v>2.0270270270270271E-2</v>
      </c>
      <c r="O111" s="18">
        <f>IF(ISNUMBER(M111), $B118 * N111, "")</f>
        <v>3040.5405405405409</v>
      </c>
      <c r="Q111" s="156"/>
      <c r="R111" s="156"/>
      <c r="S111" s="156"/>
    </row>
    <row r="112" spans="1:19" ht="17.25" thickBot="1">
      <c r="A112" s="111" t="s">
        <v>183</v>
      </c>
      <c r="B112" s="112">
        <v>116</v>
      </c>
      <c r="C112" s="71">
        <v>0</v>
      </c>
      <c r="D112" s="20">
        <v>113</v>
      </c>
      <c r="E112" s="21">
        <f t="shared" si="54"/>
        <v>-2.5862068965517241E-2</v>
      </c>
      <c r="F112" s="22">
        <f>IF(ISNUMBER(D112), $B118 * E112, "")</f>
        <v>-3879.3103448275861</v>
      </c>
      <c r="G112" s="30">
        <v>112</v>
      </c>
      <c r="H112" s="21">
        <f t="shared" si="55"/>
        <v>-3.4482758620689655E-2</v>
      </c>
      <c r="I112" s="95">
        <f>IF(ISNUMBER(G112), $B118 * H112, "")</f>
        <v>-5172.4137931034484</v>
      </c>
      <c r="J112" s="20">
        <v>112</v>
      </c>
      <c r="K112" s="21">
        <f t="shared" si="56"/>
        <v>-3.4482758620689655E-2</v>
      </c>
      <c r="L112" s="22">
        <f>IF(ISNUMBER(J112), $B118 * K112, "")</f>
        <v>-5172.4137931034484</v>
      </c>
      <c r="M112" s="30">
        <v>112</v>
      </c>
      <c r="N112" s="21">
        <f t="shared" si="57"/>
        <v>-3.4482758620689655E-2</v>
      </c>
      <c r="O112" s="22">
        <f>IF(ISNUMBER(M112), $B118 * N112, "")</f>
        <v>-5172.4137931034484</v>
      </c>
      <c r="Q112" s="156"/>
      <c r="R112" s="156"/>
      <c r="S112" s="156"/>
    </row>
    <row r="113" spans="1:19" ht="17.25" thickBot="1">
      <c r="A113" s="109" t="s">
        <v>97</v>
      </c>
      <c r="B113" s="113">
        <v>8.9999999999999998E-4</v>
      </c>
      <c r="C113" s="73">
        <v>0</v>
      </c>
      <c r="D113" s="96">
        <v>8.0000000000000004E-4</v>
      </c>
      <c r="E113" s="97">
        <f>IF(ISNUMBER(D113), (D113 - $B113) / $B113, "")</f>
        <v>-0.11111111111111105</v>
      </c>
      <c r="F113" s="98">
        <f>IF(ISNUMBER(D113), $B118 * E113, "")</f>
        <v>-16666.666666666657</v>
      </c>
      <c r="G113" s="99">
        <v>6.9999999999999999E-4</v>
      </c>
      <c r="H113" s="97">
        <f>IF(ISNUMBER(G113), (G113 - $B113) / $B113, "")</f>
        <v>-0.22222222222222221</v>
      </c>
      <c r="I113" s="100">
        <f>IF(ISNUMBER(G113), $B118 * H113, "")</f>
        <v>-33333.333333333328</v>
      </c>
      <c r="J113" s="96">
        <v>8.0000000000000004E-4</v>
      </c>
      <c r="K113" s="97">
        <f>IF(ISNUMBER(J113), (J113 - $B113) / $B113, "")</f>
        <v>-0.11111111111111105</v>
      </c>
      <c r="L113" s="98">
        <f>IF(ISNUMBER(J113), $B118 * K113, "")</f>
        <v>-16666.666666666657</v>
      </c>
      <c r="M113" s="99">
        <v>6.9999999999999999E-4</v>
      </c>
      <c r="N113" s="97">
        <f>IF(ISNUMBER(M113), (M113 - $B113) / $B113, "")</f>
        <v>-0.22222222222222221</v>
      </c>
      <c r="O113" s="98">
        <f>IF(ISNUMBER(M113), $B118 * N113, "")</f>
        <v>-33333.333333333328</v>
      </c>
      <c r="Q113" s="146"/>
      <c r="R113" s="146"/>
      <c r="S113" s="146"/>
    </row>
    <row r="114" spans="1:19" ht="17.25" thickBot="1">
      <c r="A114" s="109" t="s">
        <v>107</v>
      </c>
      <c r="B114" s="110">
        <v>34.299999999999997</v>
      </c>
      <c r="C114" s="70">
        <v>0</v>
      </c>
      <c r="D114" s="15">
        <v>35.6</v>
      </c>
      <c r="E114" s="32">
        <f t="shared" ref="E114:E117" si="58">IF(ISNUMBER(D114), (D114 - $B114) / $B114, "")</f>
        <v>3.790087463556864E-2</v>
      </c>
      <c r="F114" s="18">
        <f>IF(ISNUMBER(D114), $B118 * E114, "")</f>
        <v>5685.1311953352961</v>
      </c>
      <c r="G114" s="31">
        <v>37</v>
      </c>
      <c r="H114" s="32">
        <f t="shared" ref="H114:H117" si="59">IF(ISNUMBER(G114), (G114 - $B114) / $B114, "")</f>
        <v>7.8717201166180847E-2</v>
      </c>
      <c r="I114" s="91">
        <f>IF(ISNUMBER(G114), $B118 * H114, "")</f>
        <v>11807.580174927127</v>
      </c>
      <c r="J114" s="15">
        <v>37.5</v>
      </c>
      <c r="K114" s="32">
        <f t="shared" ref="K114:K117" si="60">IF(ISNUMBER(J114), (J114 - $B114) / $B114, "")</f>
        <v>9.3294460641399513E-2</v>
      </c>
      <c r="L114" s="18">
        <f>IF(ISNUMBER(J114), $B118 * K114, "")</f>
        <v>13994.169096209927</v>
      </c>
      <c r="M114" s="31">
        <v>36</v>
      </c>
      <c r="N114" s="32">
        <f t="shared" ref="N114:N117" si="61">IF(ISNUMBER(M114), (M114 - $B114) / $B114, "")</f>
        <v>4.9562682215743524E-2</v>
      </c>
      <c r="O114" s="18">
        <f>IF(ISNUMBER(M114), $B118 * N114, "")</f>
        <v>7434.4023323615284</v>
      </c>
      <c r="Q114" s="146"/>
      <c r="R114" s="146"/>
      <c r="S114" s="146"/>
    </row>
    <row r="115" spans="1:19" ht="17.25" thickBot="1">
      <c r="A115" s="109" t="s">
        <v>124</v>
      </c>
      <c r="B115" s="110">
        <v>27.5</v>
      </c>
      <c r="C115" s="70">
        <v>0</v>
      </c>
      <c r="D115" s="15">
        <v>27.3</v>
      </c>
      <c r="E115" s="32">
        <f t="shared" si="58"/>
        <v>-7.2727272727272467E-3</v>
      </c>
      <c r="F115" s="18">
        <f>IF(ISNUMBER(D115), $B118 * E115, "")</f>
        <v>-1090.9090909090869</v>
      </c>
      <c r="G115" s="31">
        <v>27.3</v>
      </c>
      <c r="H115" s="32">
        <f t="shared" si="59"/>
        <v>-7.2727272727272467E-3</v>
      </c>
      <c r="I115" s="91">
        <f>IF(ISNUMBER(G115), $B118 * H115, "")</f>
        <v>-1090.9090909090869</v>
      </c>
      <c r="J115" s="15">
        <v>27.1</v>
      </c>
      <c r="K115" s="32">
        <f t="shared" si="60"/>
        <v>-1.4545454545454493E-2</v>
      </c>
      <c r="L115" s="18">
        <f>IF(ISNUMBER(J115), $B118 * K115, "")</f>
        <v>-2181.8181818181738</v>
      </c>
      <c r="M115" s="31">
        <v>27.1</v>
      </c>
      <c r="N115" s="32">
        <f t="shared" si="61"/>
        <v>-1.4545454545454493E-2</v>
      </c>
      <c r="O115" s="18">
        <f>IF(ISNUMBER(M115), $B118 * N115, "")</f>
        <v>-2181.8181818181738</v>
      </c>
      <c r="Q115" s="146"/>
      <c r="R115" s="146"/>
      <c r="S115" s="146"/>
    </row>
    <row r="116" spans="1:19">
      <c r="A116" s="109" t="s">
        <v>167</v>
      </c>
      <c r="B116" s="110">
        <v>162</v>
      </c>
      <c r="C116" s="70">
        <v>0</v>
      </c>
      <c r="D116" s="15">
        <v>161</v>
      </c>
      <c r="E116" s="32">
        <f t="shared" si="58"/>
        <v>-6.1728395061728392E-3</v>
      </c>
      <c r="F116" s="18">
        <f>IF(ISNUMBER(D116), $B118 * E116, "")</f>
        <v>-925.92592592592587</v>
      </c>
      <c r="G116" s="31">
        <v>158</v>
      </c>
      <c r="H116" s="32">
        <f t="shared" si="59"/>
        <v>-2.4691358024691357E-2</v>
      </c>
      <c r="I116" s="91">
        <f>IF(ISNUMBER(G116), $B118 * H116, "")</f>
        <v>-3703.7037037037035</v>
      </c>
      <c r="J116" s="15">
        <v>157</v>
      </c>
      <c r="K116" s="32">
        <f t="shared" si="60"/>
        <v>-3.0864197530864196E-2</v>
      </c>
      <c r="L116" s="18">
        <f>IF(ISNUMBER(J116), $B118 * K116, "")</f>
        <v>-4629.6296296296296</v>
      </c>
      <c r="M116" s="31">
        <v>159</v>
      </c>
      <c r="N116" s="32">
        <f t="shared" si="61"/>
        <v>-1.8518518518518517E-2</v>
      </c>
      <c r="O116" s="18">
        <f>IF(ISNUMBER(M116), $B118 * N116, "")</f>
        <v>-2777.7777777777778</v>
      </c>
      <c r="Q116" s="135"/>
      <c r="R116" s="136"/>
      <c r="S116" s="137"/>
    </row>
    <row r="117" spans="1:19" ht="17.25" thickBot="1">
      <c r="A117" s="114" t="s">
        <v>221</v>
      </c>
      <c r="B117" s="115">
        <v>17.8</v>
      </c>
      <c r="C117" s="72">
        <v>0</v>
      </c>
      <c r="D117" s="24">
        <v>17.5</v>
      </c>
      <c r="E117" s="25">
        <f t="shared" si="58"/>
        <v>-1.6853932584269701E-2</v>
      </c>
      <c r="F117" s="94">
        <f>IF(ISNUMBER(D117), $B118 * E117, "")</f>
        <v>-2528.0898876404549</v>
      </c>
      <c r="G117" s="92">
        <v>17.2</v>
      </c>
      <c r="H117" s="25">
        <f t="shared" si="59"/>
        <v>-3.3707865168539401E-2</v>
      </c>
      <c r="I117" s="93">
        <f>IF(ISNUMBER(G117), $B118 * H117, "")</f>
        <v>-5056.1797752809098</v>
      </c>
      <c r="J117" s="24">
        <v>17.2</v>
      </c>
      <c r="K117" s="25">
        <f t="shared" si="60"/>
        <v>-3.3707865168539401E-2</v>
      </c>
      <c r="L117" s="94">
        <f>IF(ISNUMBER(J117), $B118 * K117, "")</f>
        <v>-5056.1797752809098</v>
      </c>
      <c r="M117" s="92">
        <v>17.399999999999999</v>
      </c>
      <c r="N117" s="25">
        <f t="shared" si="61"/>
        <v>-2.2471910112359668E-2</v>
      </c>
      <c r="O117" s="94">
        <f>IF(ISNUMBER(M117), $B118 * N117, "")</f>
        <v>-3370.7865168539502</v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-2.4617253499800131E-2</v>
      </c>
      <c r="F118" s="28">
        <f>SUM(F98:F117)</f>
        <v>-73851.760499400392</v>
      </c>
      <c r="G118" s="26" t="s">
        <v>258</v>
      </c>
      <c r="H118" s="27">
        <f>IF(COUNT(H98:H117), SUM(H98:H117) / COUNT(H98:H117), 0)</f>
        <v>-3.1584819271301745E-2</v>
      </c>
      <c r="I118" s="28">
        <f>SUM(I98:I117)</f>
        <v>-94754.457813905203</v>
      </c>
      <c r="J118" s="26" t="s">
        <v>258</v>
      </c>
      <c r="K118" s="27">
        <f>IF(COUNT(K98:K117), SUM(K98:K117) / COUNT(K98:K117), 0)</f>
        <v>-3.0719131254656439E-2</v>
      </c>
      <c r="L118" s="28">
        <f>SUM(L98:L117)</f>
        <v>-92157.393763969318</v>
      </c>
      <c r="M118" s="26" t="s">
        <v>258</v>
      </c>
      <c r="N118" s="27">
        <f>IF(COUNT(N98:N117), SUM(N98:N117) / COUNT(N98:N117), 0)</f>
        <v>-3.5938221515168907E-2</v>
      </c>
      <c r="O118" s="28">
        <f>SUM(O98:O117)</f>
        <v>-107814.66454550673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21539000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1.0224474E-3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2023-01-06(금) 오전 00:00</v>
      </c>
      <c r="C123" s="198"/>
      <c r="D123" s="170" t="str">
        <f>TEXT($G$1, "[$-ko-KR]yyyy-mm-dd(ddd) ") &amp; "오후 14:00"</f>
        <v>2023-01-06(금) 오후 14:00</v>
      </c>
      <c r="E123" s="171"/>
      <c r="F123" s="172"/>
      <c r="G123" s="170" t="str">
        <f>TEXT($G$1, "[$-ko-KR]yyyy-mm-dd(ddd) ") &amp; "오후 19:00"</f>
        <v>2023-01-06(금) 오후 19:00</v>
      </c>
      <c r="H123" s="171"/>
      <c r="I123" s="172"/>
      <c r="J123" s="170" t="str">
        <f>TEXT($G$1, "[$-ko-KR]yyyy-mm-dd(ddd) ") &amp; "오후 21:00"</f>
        <v>2023-01-06(금) 오후 21:00</v>
      </c>
      <c r="K123" s="171"/>
      <c r="L123" s="172"/>
      <c r="M123" s="170" t="str">
        <f>TEXT($G$1+1, "[$-ko-KR]yyyy-mm-dd(ddd) ") &amp; "오전 00:00"</f>
        <v>2023-01-07(토)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203</v>
      </c>
      <c r="B125" s="108">
        <v>2.98</v>
      </c>
      <c r="C125" s="69">
        <v>-9.9667773999999997E-3</v>
      </c>
      <c r="D125" s="13">
        <v>2.99</v>
      </c>
      <c r="E125" s="14">
        <f>IF(ISNUMBER(D125), (D125 - $B125) / $B125, "")</f>
        <v>3.3557046979866547E-3</v>
      </c>
      <c r="F125" s="16">
        <f>IF(ISNUMBER(D125), $B145 * E125, "")</f>
        <v>503.35570469799819</v>
      </c>
      <c r="G125" s="29">
        <v>2.97</v>
      </c>
      <c r="H125" s="14">
        <f>IF(ISNUMBER(G125), (G125 - $B125) / $B125, "")</f>
        <v>-3.3557046979865056E-3</v>
      </c>
      <c r="I125" s="90">
        <f>IF(ISNUMBER(G125), $B145 * H125, "")</f>
        <v>-503.35570469797585</v>
      </c>
      <c r="J125" s="13">
        <v>2.95</v>
      </c>
      <c r="K125" s="14">
        <f>IF(ISNUMBER(J125), (J125 - $B125) / $B125, "")</f>
        <v>-1.0067114093959667E-2</v>
      </c>
      <c r="L125" s="16">
        <f>IF(ISNUMBER(J125), $B145 * K125, "")</f>
        <v>-1510.0671140939501</v>
      </c>
      <c r="M125" s="29">
        <v>2.94</v>
      </c>
      <c r="N125" s="14">
        <f>IF(ISNUMBER(M125), (M125 - $B125) / $B125, "")</f>
        <v>-1.3422818791946321E-2</v>
      </c>
      <c r="O125" s="16">
        <f>IF(ISNUMBER(M125), $B145 * N125, "")</f>
        <v>-2013.422818791948</v>
      </c>
      <c r="Q125" s="156"/>
      <c r="R125" s="156"/>
      <c r="S125" s="156"/>
    </row>
    <row r="126" spans="1:19" ht="17.25" thickBot="1">
      <c r="A126" s="109" t="s">
        <v>350</v>
      </c>
      <c r="B126" s="110">
        <v>5.63</v>
      </c>
      <c r="C126" s="70">
        <v>-1.0544815500000001E-2</v>
      </c>
      <c r="D126" s="15">
        <v>5.48</v>
      </c>
      <c r="E126" s="32">
        <f t="shared" ref="E126:E129" si="62">IF(ISNUMBER(D126), (D126 - $B126) / $B126, "")</f>
        <v>-2.6642984014209496E-2</v>
      </c>
      <c r="F126" s="18">
        <f>IF(ISNUMBER(D126), $B145 * E126, "")</f>
        <v>-3996.4476021314244</v>
      </c>
      <c r="G126" s="31">
        <v>5.5</v>
      </c>
      <c r="H126" s="32">
        <f t="shared" ref="H126:H129" si="63">IF(ISNUMBER(G126), (G126 - $B126) / $B126, "")</f>
        <v>-2.3090586145648295E-2</v>
      </c>
      <c r="I126" s="91">
        <f>IF(ISNUMBER(G126), $B145 * H126, "")</f>
        <v>-3463.5879218472442</v>
      </c>
      <c r="J126" s="15">
        <v>5.49</v>
      </c>
      <c r="K126" s="32">
        <f t="shared" ref="K126:K129" si="64">IF(ISNUMBER(J126), (J126 - $B126) / $B126, "")</f>
        <v>-2.4866785079928896E-2</v>
      </c>
      <c r="L126" s="18">
        <f>IF(ISNUMBER(J126), $B145 * K126, "")</f>
        <v>-3730.0177619893343</v>
      </c>
      <c r="M126" s="31">
        <v>5.46</v>
      </c>
      <c r="N126" s="32">
        <f t="shared" ref="N126:N129" si="65">IF(ISNUMBER(M126), (M126 - $B126) / $B126, "")</f>
        <v>-3.0195381882770857E-2</v>
      </c>
      <c r="O126" s="18">
        <f>IF(ISNUMBER(M126), $B145 * N126, "")</f>
        <v>-4529.3072824156288</v>
      </c>
      <c r="Q126" s="156"/>
      <c r="R126" s="156"/>
      <c r="S126" s="156"/>
    </row>
    <row r="127" spans="1:19" ht="17.25" thickBot="1">
      <c r="A127" s="109" t="s">
        <v>56</v>
      </c>
      <c r="B127" s="110">
        <v>37</v>
      </c>
      <c r="C127" s="70">
        <v>-1.0695187199999999E-2</v>
      </c>
      <c r="D127" s="15">
        <v>36.5</v>
      </c>
      <c r="E127" s="32">
        <f t="shared" si="62"/>
        <v>-1.3513513513513514E-2</v>
      </c>
      <c r="F127" s="18">
        <f>IF(ISNUMBER(D127), $B145 * E127, "")</f>
        <v>-2027.0270270270271</v>
      </c>
      <c r="G127" s="31">
        <v>36.6</v>
      </c>
      <c r="H127" s="32">
        <f t="shared" si="63"/>
        <v>-1.0810810810810773E-2</v>
      </c>
      <c r="I127" s="91">
        <f>IF(ISNUMBER(G127), $B145 * H127, "")</f>
        <v>-1621.621621621616</v>
      </c>
      <c r="J127" s="15">
        <v>36.200000000000003</v>
      </c>
      <c r="K127" s="32">
        <f t="shared" si="64"/>
        <v>-2.1621621621621546E-2</v>
      </c>
      <c r="L127" s="18">
        <f>IF(ISNUMBER(J127), $B145 * K127, "")</f>
        <v>-3243.243243243232</v>
      </c>
      <c r="M127" s="31">
        <v>36.299999999999997</v>
      </c>
      <c r="N127" s="32">
        <f t="shared" si="65"/>
        <v>-1.8918918918918996E-2</v>
      </c>
      <c r="O127" s="18">
        <f>IF(ISNUMBER(M127), $B145 * N127, "")</f>
        <v>-2837.8378378378493</v>
      </c>
      <c r="Q127" s="146"/>
      <c r="R127" s="146"/>
      <c r="S127" s="146"/>
    </row>
    <row r="128" spans="1:19" ht="17.25" thickBot="1">
      <c r="A128" s="109" t="s">
        <v>225</v>
      </c>
      <c r="B128" s="110">
        <v>52.4</v>
      </c>
      <c r="C128" s="70">
        <v>-1.13207547E-2</v>
      </c>
      <c r="D128" s="15">
        <v>51.3</v>
      </c>
      <c r="E128" s="32">
        <f t="shared" si="62"/>
        <v>-2.0992366412213768E-2</v>
      </c>
      <c r="F128" s="18">
        <f>IF(ISNUMBER(D128), $B145 * E128, "")</f>
        <v>-3148.8549618320653</v>
      </c>
      <c r="G128" s="31">
        <v>50.8</v>
      </c>
      <c r="H128" s="32">
        <f t="shared" si="63"/>
        <v>-3.0534351145038195E-2</v>
      </c>
      <c r="I128" s="91">
        <f>IF(ISNUMBER(G128), $B145 * H128, "")</f>
        <v>-4580.152671755729</v>
      </c>
      <c r="J128" s="15">
        <v>50.7</v>
      </c>
      <c r="K128" s="32">
        <f t="shared" si="64"/>
        <v>-3.2442748091602976E-2</v>
      </c>
      <c r="L128" s="18">
        <f>IF(ISNUMBER(J128), $B145 * K128, "")</f>
        <v>-4866.4122137404465</v>
      </c>
      <c r="M128" s="31">
        <v>50.7</v>
      </c>
      <c r="N128" s="32">
        <f t="shared" si="65"/>
        <v>-3.2442748091602976E-2</v>
      </c>
      <c r="O128" s="18">
        <f>IF(ISNUMBER(M128), $B145 * N128, "")</f>
        <v>-4866.4122137404465</v>
      </c>
      <c r="Q128" s="146"/>
      <c r="R128" s="146"/>
      <c r="S128" s="146"/>
    </row>
    <row r="129" spans="1:19" ht="17.25" thickBot="1">
      <c r="A129" s="111" t="s">
        <v>145</v>
      </c>
      <c r="B129" s="112">
        <v>69.400000000000006</v>
      </c>
      <c r="C129" s="71">
        <v>-1.1396011399999999E-2</v>
      </c>
      <c r="D129" s="20">
        <v>64.5</v>
      </c>
      <c r="E129" s="21">
        <f t="shared" si="62"/>
        <v>-7.0605187319884799E-2</v>
      </c>
      <c r="F129" s="22">
        <f>IF(ISNUMBER(D129), $B145 * E129, "")</f>
        <v>-10590.77809798272</v>
      </c>
      <c r="G129" s="30">
        <v>64.599999999999994</v>
      </c>
      <c r="H129" s="21">
        <f t="shared" si="63"/>
        <v>-6.9164265129683156E-2</v>
      </c>
      <c r="I129" s="95">
        <f>IF(ISNUMBER(G129), $B145 * H129, "")</f>
        <v>-10374.639769452473</v>
      </c>
      <c r="J129" s="20">
        <v>64.599999999999994</v>
      </c>
      <c r="K129" s="21">
        <f t="shared" si="64"/>
        <v>-6.9164265129683156E-2</v>
      </c>
      <c r="L129" s="22">
        <f>IF(ISNUMBER(J129), $B145 * K129, "")</f>
        <v>-10374.639769452473</v>
      </c>
      <c r="M129" s="30">
        <v>64.599999999999994</v>
      </c>
      <c r="N129" s="21">
        <f t="shared" si="65"/>
        <v>-6.9164265129683156E-2</v>
      </c>
      <c r="O129" s="22">
        <f>IF(ISNUMBER(M129), $B145 * N129, "")</f>
        <v>-10374.639769452473</v>
      </c>
      <c r="Q129" s="146"/>
      <c r="R129" s="146"/>
      <c r="S129" s="146"/>
    </row>
    <row r="130" spans="1:19" ht="17.25" thickBot="1">
      <c r="A130" s="109" t="s">
        <v>324</v>
      </c>
      <c r="B130" s="113">
        <v>75.099999999999994</v>
      </c>
      <c r="C130" s="73">
        <v>-1.1842105299999999E-2</v>
      </c>
      <c r="D130" s="96">
        <v>74.900000000000006</v>
      </c>
      <c r="E130" s="97">
        <f>IF(ISNUMBER(D130), (D130 - $B130) / $B130, "")</f>
        <v>-2.6631158455391298E-3</v>
      </c>
      <c r="F130" s="98">
        <f>IF(ISNUMBER(D130), $B145 * E130, "")</f>
        <v>-399.46737683086945</v>
      </c>
      <c r="G130" s="99">
        <v>76.5</v>
      </c>
      <c r="H130" s="97">
        <f>IF(ISNUMBER(G130), (G130 - $B130) / $B130, "")</f>
        <v>1.8641810918775044E-2</v>
      </c>
      <c r="I130" s="100">
        <f>IF(ISNUMBER(G130), $B145 * H130, "")</f>
        <v>2796.2716378162568</v>
      </c>
      <c r="J130" s="96">
        <v>76.2</v>
      </c>
      <c r="K130" s="97">
        <f>IF(ISNUMBER(J130), (J130 - $B130) / $B130, "")</f>
        <v>1.464713715046616E-2</v>
      </c>
      <c r="L130" s="98">
        <f>IF(ISNUMBER(J130), $B145 * K130, "")</f>
        <v>2197.070572569924</v>
      </c>
      <c r="M130" s="99">
        <v>75.3</v>
      </c>
      <c r="N130" s="97">
        <f>IF(ISNUMBER(M130), (M130 - $B130) / $B130, "")</f>
        <v>2.6631158455393189E-3</v>
      </c>
      <c r="O130" s="98">
        <f>IF(ISNUMBER(M130), $B145 * N130, "")</f>
        <v>399.46737683089782</v>
      </c>
      <c r="Q130" s="146"/>
      <c r="R130" s="146"/>
      <c r="S130" s="146"/>
    </row>
    <row r="131" spans="1:19" ht="17.25" thickBot="1">
      <c r="A131" s="109" t="s">
        <v>193</v>
      </c>
      <c r="B131" s="110">
        <v>15.4</v>
      </c>
      <c r="C131" s="70">
        <v>-1.2820512799999999E-2</v>
      </c>
      <c r="D131" s="15">
        <v>15.2</v>
      </c>
      <c r="E131" s="32">
        <f t="shared" ref="E131:E134" si="66">IF(ISNUMBER(D131), (D131 - $B131) / $B131, "")</f>
        <v>-1.2987012987013056E-2</v>
      </c>
      <c r="F131" s="18">
        <f>IF(ISNUMBER(D131), $B145 * E131, "")</f>
        <v>-1948.0519480519583</v>
      </c>
      <c r="G131" s="31">
        <v>15.2</v>
      </c>
      <c r="H131" s="32">
        <f t="shared" ref="H131:H134" si="67">IF(ISNUMBER(G131), (G131 - $B131) / $B131, "")</f>
        <v>-1.2987012987013056E-2</v>
      </c>
      <c r="I131" s="91">
        <f>IF(ISNUMBER(G131), $B145 * H131, "")</f>
        <v>-1948.0519480519583</v>
      </c>
      <c r="J131" s="15">
        <v>14.9</v>
      </c>
      <c r="K131" s="32">
        <f t="shared" ref="K131:K134" si="68">IF(ISNUMBER(J131), (J131 - $B131) / $B131, "")</f>
        <v>-3.2467532467532464E-2</v>
      </c>
      <c r="L131" s="18">
        <f>IF(ISNUMBER(J131), $B145 * K131, "")</f>
        <v>-4870.1298701298692</v>
      </c>
      <c r="M131" s="31">
        <v>15.1</v>
      </c>
      <c r="N131" s="32">
        <f t="shared" ref="N131:N134" si="69">IF(ISNUMBER(M131), (M131 - $B131) / $B131, "")</f>
        <v>-1.9480519480519525E-2</v>
      </c>
      <c r="O131" s="18">
        <f>IF(ISNUMBER(M131), $B145 * N131, "")</f>
        <v>-2922.0779220779286</v>
      </c>
      <c r="Q131" s="146"/>
      <c r="R131" s="146"/>
      <c r="S131" s="146"/>
    </row>
    <row r="132" spans="1:19" ht="17.25" thickBot="1">
      <c r="A132" s="109" t="s">
        <v>126</v>
      </c>
      <c r="B132" s="110">
        <v>21.4</v>
      </c>
      <c r="C132" s="70">
        <v>-1.3824884799999999E-2</v>
      </c>
      <c r="D132" s="15">
        <v>21.4</v>
      </c>
      <c r="E132" s="32">
        <f t="shared" si="66"/>
        <v>0</v>
      </c>
      <c r="F132" s="18">
        <f>IF(ISNUMBER(D132), $B145 * E132, "")</f>
        <v>0</v>
      </c>
      <c r="G132" s="31">
        <v>21.3</v>
      </c>
      <c r="H132" s="32">
        <f t="shared" si="67"/>
        <v>-4.672897196261583E-3</v>
      </c>
      <c r="I132" s="91">
        <f>IF(ISNUMBER(G132), $B145 * H132, "")</f>
        <v>-700.9345794392375</v>
      </c>
      <c r="J132" s="15">
        <v>21.2</v>
      </c>
      <c r="K132" s="32">
        <f t="shared" si="68"/>
        <v>-9.3457943925233326E-3</v>
      </c>
      <c r="L132" s="18">
        <f>IF(ISNUMBER(J132), $B145 * K132, "")</f>
        <v>-1401.8691588784998</v>
      </c>
      <c r="M132" s="31">
        <v>21.4</v>
      </c>
      <c r="N132" s="32">
        <f t="shared" si="69"/>
        <v>0</v>
      </c>
      <c r="O132" s="18">
        <f>IF(ISNUMBER(M132), $B145 * N132, "")</f>
        <v>0</v>
      </c>
      <c r="Q132" s="146"/>
      <c r="R132" s="146"/>
      <c r="S132" s="146"/>
    </row>
    <row r="133" spans="1:19" ht="17.25" thickBot="1">
      <c r="A133" s="109" t="s">
        <v>329</v>
      </c>
      <c r="B133" s="110">
        <v>48.6</v>
      </c>
      <c r="C133" s="70">
        <v>-1.4198783E-2</v>
      </c>
      <c r="D133" s="15">
        <v>48.1</v>
      </c>
      <c r="E133" s="32">
        <f t="shared" si="66"/>
        <v>-1.0288065843621399E-2</v>
      </c>
      <c r="F133" s="18">
        <f>IF(ISNUMBER(D133), $B145 * E133, "")</f>
        <v>-1543.2098765432099</v>
      </c>
      <c r="G133" s="31">
        <v>47.4</v>
      </c>
      <c r="H133" s="32">
        <f t="shared" si="67"/>
        <v>-2.4691358024691416E-2</v>
      </c>
      <c r="I133" s="91">
        <f>IF(ISNUMBER(G133), $B145 * H133, "")</f>
        <v>-3703.7037037037126</v>
      </c>
      <c r="J133" s="15">
        <v>47.3</v>
      </c>
      <c r="K133" s="32">
        <f t="shared" si="68"/>
        <v>-2.6748971193415724E-2</v>
      </c>
      <c r="L133" s="18">
        <f>IF(ISNUMBER(J133), $B145 * K133, "")</f>
        <v>-4012.3456790123587</v>
      </c>
      <c r="M133" s="31">
        <v>47.6</v>
      </c>
      <c r="N133" s="32">
        <f t="shared" si="69"/>
        <v>-2.0576131687242798E-2</v>
      </c>
      <c r="O133" s="18">
        <f>IF(ISNUMBER(M133), $B145 * N133, "")</f>
        <v>-3086.4197530864199</v>
      </c>
      <c r="Q133" s="33"/>
      <c r="R133" s="33"/>
    </row>
    <row r="134" spans="1:19" ht="17.25" thickBot="1">
      <c r="A134" s="114" t="s">
        <v>138</v>
      </c>
      <c r="B134" s="115">
        <v>20.6</v>
      </c>
      <c r="C134" s="72">
        <v>-1.4354067E-2</v>
      </c>
      <c r="D134" s="24">
        <v>20.399999999999999</v>
      </c>
      <c r="E134" s="25">
        <f t="shared" si="66"/>
        <v>-9.7087378640778078E-3</v>
      </c>
      <c r="F134" s="94">
        <f>IF(ISNUMBER(D134), $B145 * E134, "")</f>
        <v>-1456.3106796116713</v>
      </c>
      <c r="G134" s="92">
        <v>20.3</v>
      </c>
      <c r="H134" s="25">
        <f t="shared" si="67"/>
        <v>-1.4563106796116538E-2</v>
      </c>
      <c r="I134" s="93">
        <f>IF(ISNUMBER(G134), $B145 * H134, "")</f>
        <v>-2184.4660194174808</v>
      </c>
      <c r="J134" s="24">
        <v>20.2</v>
      </c>
      <c r="K134" s="25">
        <f t="shared" si="68"/>
        <v>-1.9417475728155442E-2</v>
      </c>
      <c r="L134" s="94">
        <f>IF(ISNUMBER(J134), $B145 * K134, "")</f>
        <v>-2912.6213592233162</v>
      </c>
      <c r="M134" s="92">
        <v>20.2</v>
      </c>
      <c r="N134" s="25">
        <f t="shared" si="69"/>
        <v>-1.9417475728155442E-2</v>
      </c>
      <c r="O134" s="94">
        <f>IF(ISNUMBER(M134), $B145 * N134, "")</f>
        <v>-2912.6213592233162</v>
      </c>
      <c r="Q134" s="147"/>
      <c r="R134" s="148"/>
      <c r="S134" s="149"/>
    </row>
    <row r="135" spans="1:19">
      <c r="A135" s="107" t="s">
        <v>241</v>
      </c>
      <c r="B135" s="108">
        <v>85.3</v>
      </c>
      <c r="C135" s="69">
        <v>-1.5011547300000001E-2</v>
      </c>
      <c r="D135" s="13">
        <v>84.3</v>
      </c>
      <c r="E135" s="14">
        <f>IF(ISNUMBER(D135), (D135 - $B135) / $B135, "")</f>
        <v>-1.1723329425556858E-2</v>
      </c>
      <c r="F135" s="16">
        <f>IF(ISNUMBER(D135), $B145 * E135, "")</f>
        <v>-1758.4994138335287</v>
      </c>
      <c r="G135" s="29">
        <v>83.7</v>
      </c>
      <c r="H135" s="14">
        <f>IF(ISNUMBER(G135), (G135 - $B135) / $B135, "")</f>
        <v>-1.8757327080890906E-2</v>
      </c>
      <c r="I135" s="90">
        <f>IF(ISNUMBER(G135), $B145 * H135, "")</f>
        <v>-2813.5990621336359</v>
      </c>
      <c r="J135" s="13">
        <v>83.4</v>
      </c>
      <c r="K135" s="14">
        <f>IF(ISNUMBER(J135), (J135 - $B135) / $B135, "")</f>
        <v>-2.2274325908557931E-2</v>
      </c>
      <c r="L135" s="16">
        <f>IF(ISNUMBER(J135), $B145 * K135, "")</f>
        <v>-3341.1488862836895</v>
      </c>
      <c r="M135" s="29">
        <v>83.6</v>
      </c>
      <c r="N135" s="14">
        <f>IF(ISNUMBER(M135), (M135 - $B135) / $B135, "")</f>
        <v>-1.9929660023446694E-2</v>
      </c>
      <c r="O135" s="16">
        <f>IF(ISNUMBER(M135), $B145 * N135, "")</f>
        <v>-2989.4490035170043</v>
      </c>
      <c r="Q135" s="150"/>
      <c r="R135" s="151"/>
      <c r="S135" s="152"/>
    </row>
    <row r="136" spans="1:19" ht="17.25" thickBot="1">
      <c r="A136" s="109" t="s">
        <v>51</v>
      </c>
      <c r="B136" s="110">
        <v>93.1</v>
      </c>
      <c r="C136" s="70">
        <v>-1.58562368E-2</v>
      </c>
      <c r="D136" s="15">
        <v>92.3</v>
      </c>
      <c r="E136" s="32">
        <f t="shared" ref="E136:E139" si="70">IF(ISNUMBER(D136), (D136 - $B136) / $B136, "")</f>
        <v>-8.5929108485499166E-3</v>
      </c>
      <c r="F136" s="18">
        <f>IF(ISNUMBER(D136), $B145 * E136, "")</f>
        <v>-1288.9366272824875</v>
      </c>
      <c r="G136" s="31">
        <v>92.3</v>
      </c>
      <c r="H136" s="32">
        <f t="shared" ref="H136:H139" si="71">IF(ISNUMBER(G136), (G136 - $B136) / $B136, "")</f>
        <v>-8.5929108485499166E-3</v>
      </c>
      <c r="I136" s="91">
        <f>IF(ISNUMBER(G136), $B145 * H136, "")</f>
        <v>-1288.9366272824875</v>
      </c>
      <c r="J136" s="15">
        <v>92.3</v>
      </c>
      <c r="K136" s="32">
        <f t="shared" ref="K136:K139" si="72">IF(ISNUMBER(J136), (J136 - $B136) / $B136, "")</f>
        <v>-8.5929108485499166E-3</v>
      </c>
      <c r="L136" s="18">
        <f>IF(ISNUMBER(J136), $B145 * K136, "")</f>
        <v>-1288.9366272824875</v>
      </c>
      <c r="M136" s="31">
        <v>94.6</v>
      </c>
      <c r="N136" s="32">
        <f t="shared" ref="N136:N139" si="73">IF(ISNUMBER(M136), (M136 - $B136) / $B136, "")</f>
        <v>1.611170784103115E-2</v>
      </c>
      <c r="O136" s="18">
        <f>IF(ISNUMBER(M136), $B145 * N136, "")</f>
        <v>2416.7561761546726</v>
      </c>
      <c r="Q136" s="153"/>
      <c r="R136" s="154"/>
      <c r="S136" s="155"/>
    </row>
    <row r="137" spans="1:19" ht="17.25" thickBot="1">
      <c r="A137" s="109" t="s">
        <v>71</v>
      </c>
      <c r="B137" s="110">
        <v>9.6300000000000008</v>
      </c>
      <c r="C137" s="70">
        <v>-1.73469388E-2</v>
      </c>
      <c r="D137" s="15">
        <v>9.52</v>
      </c>
      <c r="E137" s="32">
        <f t="shared" si="70"/>
        <v>-1.1422637590862015E-2</v>
      </c>
      <c r="F137" s="18">
        <f>IF(ISNUMBER(D137), $B145 * E137, "")</f>
        <v>-1713.3956386293023</v>
      </c>
      <c r="G137" s="31">
        <v>9.5</v>
      </c>
      <c r="H137" s="32">
        <f t="shared" si="71"/>
        <v>-1.3499480789200496E-2</v>
      </c>
      <c r="I137" s="91">
        <f>IF(ISNUMBER(G137), $B145 * H137, "")</f>
        <v>-2024.9221183800744</v>
      </c>
      <c r="J137" s="15">
        <v>9.4</v>
      </c>
      <c r="K137" s="32">
        <f t="shared" si="72"/>
        <v>-2.3883696780893086E-2</v>
      </c>
      <c r="L137" s="18">
        <f>IF(ISNUMBER(J137), $B145 * K137, "")</f>
        <v>-3582.5545171339627</v>
      </c>
      <c r="M137" s="31">
        <v>9.44</v>
      </c>
      <c r="N137" s="32">
        <f t="shared" si="73"/>
        <v>-1.9730010384216123E-2</v>
      </c>
      <c r="O137" s="18">
        <f>IF(ISNUMBER(M137), $B145 * N137, "")</f>
        <v>-2959.5015576324186</v>
      </c>
      <c r="Q137" s="146"/>
      <c r="R137" s="146"/>
      <c r="S137" s="146"/>
    </row>
    <row r="138" spans="1:19" ht="17.25" thickBot="1">
      <c r="A138" s="109" t="s">
        <v>118</v>
      </c>
      <c r="B138" s="110">
        <v>4.8</v>
      </c>
      <c r="C138" s="70">
        <v>-1.8404908000000001E-2</v>
      </c>
      <c r="D138" s="15">
        <v>4.75</v>
      </c>
      <c r="E138" s="32">
        <f t="shared" si="70"/>
        <v>-1.041666666666663E-2</v>
      </c>
      <c r="F138" s="18">
        <f>IF(ISNUMBER(D138), $B145 * E138, "")</f>
        <v>-1562.4999999999945</v>
      </c>
      <c r="G138" s="31">
        <v>4.71</v>
      </c>
      <c r="H138" s="32">
        <f t="shared" si="71"/>
        <v>-1.8749999999999972E-2</v>
      </c>
      <c r="I138" s="91">
        <f>IF(ISNUMBER(G138), $B145 * H138, "")</f>
        <v>-2812.4999999999959</v>
      </c>
      <c r="J138" s="15">
        <v>4.67</v>
      </c>
      <c r="K138" s="32">
        <f t="shared" si="72"/>
        <v>-2.7083333333333313E-2</v>
      </c>
      <c r="L138" s="18">
        <f>IF(ISNUMBER(J138), $B145 * K138, "")</f>
        <v>-4062.4999999999968</v>
      </c>
      <c r="M138" s="31">
        <v>4.67</v>
      </c>
      <c r="N138" s="32">
        <f t="shared" si="73"/>
        <v>-2.7083333333333313E-2</v>
      </c>
      <c r="O138" s="18">
        <f>IF(ISNUMBER(M138), $B145 * N138, "")</f>
        <v>-4062.4999999999968</v>
      </c>
      <c r="Q138" s="156"/>
      <c r="R138" s="156"/>
      <c r="S138" s="156"/>
    </row>
    <row r="139" spans="1:19" ht="17.25" thickBot="1">
      <c r="A139" s="111" t="s">
        <v>132</v>
      </c>
      <c r="B139" s="112">
        <v>41.6</v>
      </c>
      <c r="C139" s="71">
        <v>-1.8867924500000001E-2</v>
      </c>
      <c r="D139" s="20">
        <v>41.1</v>
      </c>
      <c r="E139" s="21">
        <f t="shared" si="70"/>
        <v>-1.2019230769230768E-2</v>
      </c>
      <c r="F139" s="22">
        <f>IF(ISNUMBER(D139), $B145 * E139, "")</f>
        <v>-1802.8846153846152</v>
      </c>
      <c r="G139" s="30">
        <v>40.799999999999997</v>
      </c>
      <c r="H139" s="21">
        <f t="shared" si="71"/>
        <v>-1.9230769230769332E-2</v>
      </c>
      <c r="I139" s="95">
        <f>IF(ISNUMBER(G139), $B145 * H139, "")</f>
        <v>-2884.6153846153998</v>
      </c>
      <c r="J139" s="20">
        <v>40.6</v>
      </c>
      <c r="K139" s="21">
        <f t="shared" si="72"/>
        <v>-2.4038461538461536E-2</v>
      </c>
      <c r="L139" s="22">
        <f>IF(ISNUMBER(J139), $B145 * K139, "")</f>
        <v>-3605.7692307692305</v>
      </c>
      <c r="M139" s="30">
        <v>40.5</v>
      </c>
      <c r="N139" s="21">
        <f t="shared" si="73"/>
        <v>-2.6442307692307727E-2</v>
      </c>
      <c r="O139" s="22">
        <f>IF(ISNUMBER(M139), $B145 * N139, "")</f>
        <v>-3966.3461538461588</v>
      </c>
      <c r="Q139" s="156"/>
      <c r="R139" s="156"/>
      <c r="S139" s="156"/>
    </row>
    <row r="140" spans="1:19" ht="17.25" thickBot="1">
      <c r="A140" s="109" t="s">
        <v>122</v>
      </c>
      <c r="B140" s="113">
        <v>20.8</v>
      </c>
      <c r="C140" s="73">
        <v>-1.8867924500000001E-2</v>
      </c>
      <c r="D140" s="96">
        <v>20.6</v>
      </c>
      <c r="E140" s="97">
        <f>IF(ISNUMBER(D140), (D140 - $B140) / $B140, "")</f>
        <v>-9.6153846153845812E-3</v>
      </c>
      <c r="F140" s="98">
        <f>IF(ISNUMBER(D140), $B145 * E140, "")</f>
        <v>-1442.3076923076871</v>
      </c>
      <c r="G140" s="99">
        <v>20.5</v>
      </c>
      <c r="H140" s="97">
        <f>IF(ISNUMBER(G140), (G140 - $B140) / $B140, "")</f>
        <v>-1.4423076923076957E-2</v>
      </c>
      <c r="I140" s="100">
        <f>IF(ISNUMBER(G140), $B145 * H140, "")</f>
        <v>-2163.4615384615436</v>
      </c>
      <c r="J140" s="96">
        <v>20.2</v>
      </c>
      <c r="K140" s="97">
        <f>IF(ISNUMBER(J140), (J140 - $B140) / $B140, "")</f>
        <v>-2.8846153846153914E-2</v>
      </c>
      <c r="L140" s="98">
        <f>IF(ISNUMBER(J140), $B145 * K140, "")</f>
        <v>-4326.9230769230871</v>
      </c>
      <c r="M140" s="99">
        <v>20.399999999999999</v>
      </c>
      <c r="N140" s="97">
        <f>IF(ISNUMBER(M140), (M140 - $B140) / $B140, "")</f>
        <v>-1.9230769230769332E-2</v>
      </c>
      <c r="O140" s="98">
        <f>IF(ISNUMBER(M140), $B145 * N140, "")</f>
        <v>-2884.6153846153998</v>
      </c>
      <c r="Q140" s="146"/>
      <c r="R140" s="146"/>
      <c r="S140" s="146"/>
    </row>
    <row r="141" spans="1:19" ht="17.25" thickBot="1">
      <c r="A141" s="109" t="s">
        <v>209</v>
      </c>
      <c r="B141" s="110">
        <v>70.5</v>
      </c>
      <c r="C141" s="70">
        <v>-1.9471488200000001E-2</v>
      </c>
      <c r="D141" s="15">
        <v>70.099999999999994</v>
      </c>
      <c r="E141" s="32">
        <f t="shared" ref="E141:E144" si="74">IF(ISNUMBER(D141), (D141 - $B141) / $B141, "")</f>
        <v>-5.673758865248308E-3</v>
      </c>
      <c r="F141" s="18">
        <f>IF(ISNUMBER(D141), $B145 * E141, "")</f>
        <v>-851.06382978724616</v>
      </c>
      <c r="G141" s="31">
        <v>69.599999999999994</v>
      </c>
      <c r="H141" s="32">
        <f t="shared" ref="H141:H144" si="75">IF(ISNUMBER(G141), (G141 - $B141) / $B141, "")</f>
        <v>-1.2765957446808592E-2</v>
      </c>
      <c r="I141" s="91">
        <f>IF(ISNUMBER(G141), $B145 * H141, "")</f>
        <v>-1914.8936170212887</v>
      </c>
      <c r="J141" s="15">
        <v>69.099999999999994</v>
      </c>
      <c r="K141" s="32">
        <f t="shared" ref="K141:K144" si="76">IF(ISNUMBER(J141), (J141 - $B141) / $B141, "")</f>
        <v>-1.9858156028368875E-2</v>
      </c>
      <c r="L141" s="18">
        <f>IF(ISNUMBER(J141), $B145 * K141, "")</f>
        <v>-2978.7234042553314</v>
      </c>
      <c r="M141" s="31">
        <v>69.3</v>
      </c>
      <c r="N141" s="32">
        <f t="shared" ref="N141:N144" si="77">IF(ISNUMBER(M141), (M141 - $B141) / $B141, "")</f>
        <v>-1.7021276595744723E-2</v>
      </c>
      <c r="O141" s="18">
        <f>IF(ISNUMBER(M141), $B145 * N141, "")</f>
        <v>-2553.1914893617086</v>
      </c>
      <c r="Q141" s="146"/>
      <c r="R141" s="146"/>
      <c r="S141" s="146"/>
    </row>
    <row r="142" spans="1:19" ht="17.25" thickBot="1">
      <c r="A142" s="109" t="s">
        <v>205</v>
      </c>
      <c r="B142" s="110">
        <v>90.7</v>
      </c>
      <c r="C142" s="70">
        <v>-2.36813778E-2</v>
      </c>
      <c r="D142" s="15">
        <v>94.2</v>
      </c>
      <c r="E142" s="32">
        <f t="shared" si="74"/>
        <v>3.8588754134509372E-2</v>
      </c>
      <c r="F142" s="18">
        <f>IF(ISNUMBER(D142), $B145 * E142, "")</f>
        <v>5788.3131201764054</v>
      </c>
      <c r="G142" s="31">
        <v>93.5</v>
      </c>
      <c r="H142" s="32">
        <f t="shared" si="75"/>
        <v>3.0871003307607465E-2</v>
      </c>
      <c r="I142" s="91">
        <f>IF(ISNUMBER(G142), $B145 * H142, "")</f>
        <v>4630.6504961411201</v>
      </c>
      <c r="J142" s="15">
        <v>95</v>
      </c>
      <c r="K142" s="32">
        <f t="shared" si="76"/>
        <v>4.7409040793825769E-2</v>
      </c>
      <c r="L142" s="18">
        <f>IF(ISNUMBER(J142), $B145 * K142, "")</f>
        <v>7111.3561190738656</v>
      </c>
      <c r="M142" s="31">
        <v>93.2</v>
      </c>
      <c r="N142" s="32">
        <f t="shared" si="77"/>
        <v>2.7563395810363836E-2</v>
      </c>
      <c r="O142" s="18">
        <f>IF(ISNUMBER(M142), $B145 * N142, "")</f>
        <v>4134.5093715545754</v>
      </c>
      <c r="Q142" s="146"/>
      <c r="R142" s="146"/>
      <c r="S142" s="146"/>
    </row>
    <row r="143" spans="1:19">
      <c r="A143" s="109" t="s">
        <v>191</v>
      </c>
      <c r="B143" s="110">
        <v>50.3</v>
      </c>
      <c r="C143" s="70">
        <v>-2.5193798399999998E-2</v>
      </c>
      <c r="D143" s="15">
        <v>48.8</v>
      </c>
      <c r="E143" s="32">
        <f t="shared" si="74"/>
        <v>-2.9821073558648114E-2</v>
      </c>
      <c r="F143" s="18">
        <f>IF(ISNUMBER(D143), $B145 * E143, "")</f>
        <v>-4473.161033797217</v>
      </c>
      <c r="G143" s="31">
        <v>49</v>
      </c>
      <c r="H143" s="32">
        <f t="shared" si="75"/>
        <v>-2.5844930417494975E-2</v>
      </c>
      <c r="I143" s="91">
        <f>IF(ISNUMBER(G143), $B145 * H143, "")</f>
        <v>-3876.739562624246</v>
      </c>
      <c r="J143" s="15">
        <v>48.7</v>
      </c>
      <c r="K143" s="32">
        <f t="shared" si="76"/>
        <v>-3.1809145129224538E-2</v>
      </c>
      <c r="L143" s="18">
        <f>IF(ISNUMBER(J143), $B145 * K143, "")</f>
        <v>-4771.3717693836807</v>
      </c>
      <c r="M143" s="31">
        <v>49.1</v>
      </c>
      <c r="N143" s="32">
        <f t="shared" si="77"/>
        <v>-2.3856858846918405E-2</v>
      </c>
      <c r="O143" s="18">
        <f>IF(ISNUMBER(M143), $B145 * N143, "")</f>
        <v>-3578.5288270377609</v>
      </c>
      <c r="Q143" s="135"/>
      <c r="R143" s="136"/>
      <c r="S143" s="137"/>
    </row>
    <row r="144" spans="1:19" ht="17.25" thickBot="1">
      <c r="A144" s="114" t="s">
        <v>120</v>
      </c>
      <c r="B144" s="115">
        <v>99.2</v>
      </c>
      <c r="C144" s="72">
        <v>-2.7450980400000002E-2</v>
      </c>
      <c r="D144" s="24">
        <v>97.9</v>
      </c>
      <c r="E144" s="25">
        <f t="shared" si="74"/>
        <v>-1.310483870967739E-2</v>
      </c>
      <c r="F144" s="94">
        <f>IF(ISNUMBER(D144), $B145 * E144, "")</f>
        <v>-1965.7258064516086</v>
      </c>
      <c r="G144" s="92">
        <v>96.8</v>
      </c>
      <c r="H144" s="25">
        <f t="shared" si="75"/>
        <v>-2.4193548387096833E-2</v>
      </c>
      <c r="I144" s="93">
        <f>IF(ISNUMBER(G144), $B145 * H144, "")</f>
        <v>-3629.0322580645247</v>
      </c>
      <c r="J144" s="24">
        <v>95.3</v>
      </c>
      <c r="K144" s="25">
        <f t="shared" si="76"/>
        <v>-3.9314516129032313E-2</v>
      </c>
      <c r="L144" s="94">
        <f>IF(ISNUMBER(J144), $B145 * K144, "")</f>
        <v>-5897.1774193548472</v>
      </c>
      <c r="M144" s="92">
        <v>95.8</v>
      </c>
      <c r="N144" s="25">
        <f t="shared" si="77"/>
        <v>-3.4274193548387157E-2</v>
      </c>
      <c r="O144" s="94">
        <f>IF(ISNUMBER(M144), $B145 * N144, "")</f>
        <v>-5141.1290322580735</v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-1.1892317800870073E-2</v>
      </c>
      <c r="F145" s="28">
        <f>SUM(F125:F144)</f>
        <v>-35676.953402610226</v>
      </c>
      <c r="G145" s="26" t="s">
        <v>258</v>
      </c>
      <c r="H145" s="27">
        <f>IF(COUNT(H125:H144), SUM(H125:H144) / COUNT(H125:H144), 0)</f>
        <v>-1.5020763991537747E-2</v>
      </c>
      <c r="I145" s="28">
        <f>SUM(I125:I144)</f>
        <v>-45062.291974613232</v>
      </c>
      <c r="J145" s="26" t="s">
        <v>258</v>
      </c>
      <c r="K145" s="27">
        <f>IF(COUNT(K125:K144), SUM(K125:K144) / COUNT(K125:K144), 0)</f>
        <v>-2.0489341469835332E-2</v>
      </c>
      <c r="L145" s="28">
        <f>SUM(L125:L144)</f>
        <v>-61468.024409506004</v>
      </c>
      <c r="M145" s="26" t="s">
        <v>258</v>
      </c>
      <c r="N145" s="27">
        <f>IF(COUNT(N125:N144), SUM(N125:N144) / COUNT(N125:N144), 0)</f>
        <v>-1.8242422493451461E-2</v>
      </c>
      <c r="O145" s="28">
        <f>SUM(O125:O144)</f>
        <v>-54727.267480354378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21539000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1.0224474E-3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2023-01-06(금) 오전 00:00</v>
      </c>
      <c r="C150" s="198"/>
      <c r="D150" s="170" t="str">
        <f>TEXT($G$1, "[$-ko-KR]yyyy-mm-dd(ddd) ") &amp; "오후 14:00"</f>
        <v>2023-01-06(금) 오후 14:00</v>
      </c>
      <c r="E150" s="171"/>
      <c r="F150" s="172"/>
      <c r="G150" s="170" t="str">
        <f>TEXT($G$1, "[$-ko-KR]yyyy-mm-dd(ddd) ") &amp; "오후 19:00"</f>
        <v>2023-01-06(금) 오후 19:00</v>
      </c>
      <c r="H150" s="171"/>
      <c r="I150" s="172"/>
      <c r="J150" s="170" t="str">
        <f>TEXT($G$1, "[$-ko-KR]yyyy-mm-dd(ddd) ") &amp; "오후 21:00"</f>
        <v>2023-01-06(금) 오후 21:00</v>
      </c>
      <c r="K150" s="171"/>
      <c r="L150" s="172"/>
      <c r="M150" s="170" t="str">
        <f>TEXT($G$1+1, "[$-ko-KR]yyyy-mm-dd(ddd) ") &amp; "오전 00:00"</f>
        <v>2023-01-07(토)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187</v>
      </c>
      <c r="B152" s="108">
        <v>720</v>
      </c>
      <c r="C152" s="69">
        <v>-1.3698630099999999E-2</v>
      </c>
      <c r="D152" s="13">
        <v>710</v>
      </c>
      <c r="E152" s="14">
        <f>IF(ISNUMBER(D152), (D152 - $B152) / $B152, "")</f>
        <v>-1.3888888888888888E-2</v>
      </c>
      <c r="F152" s="16">
        <f>IF(ISNUMBER(D152), $B172 * E152, "")</f>
        <v>-2083.333333333333</v>
      </c>
      <c r="G152" s="29">
        <v>706</v>
      </c>
      <c r="H152" s="14">
        <f>IF(ISNUMBER(G152), (G152 - $B152) / $B152, "")</f>
        <v>-1.9444444444444445E-2</v>
      </c>
      <c r="I152" s="90">
        <f>IF(ISNUMBER(G152), $B172 * H152, "")</f>
        <v>-2916.6666666666665</v>
      </c>
      <c r="J152" s="13">
        <v>702</v>
      </c>
      <c r="K152" s="14">
        <f>IF(ISNUMBER(J152), (J152 - $B152) / $B152, "")</f>
        <v>-2.5000000000000001E-2</v>
      </c>
      <c r="L152" s="16">
        <f>IF(ISNUMBER(J152), $B172 * K152, "")</f>
        <v>-3750</v>
      </c>
      <c r="M152" s="29">
        <v>705</v>
      </c>
      <c r="N152" s="14">
        <f>IF(ISNUMBER(M152), (M152 - $B152) / $B152, "")</f>
        <v>-2.0833333333333332E-2</v>
      </c>
      <c r="O152" s="16">
        <f>IF(ISNUMBER(M152), $B172 * N152, "")</f>
        <v>-3125</v>
      </c>
      <c r="Q152" s="156"/>
      <c r="R152" s="156"/>
      <c r="S152" s="156"/>
    </row>
    <row r="153" spans="1:19" ht="17.25" thickBot="1">
      <c r="A153" s="109" t="s">
        <v>101</v>
      </c>
      <c r="B153" s="110">
        <v>201</v>
      </c>
      <c r="C153" s="70">
        <v>-1.47058824E-2</v>
      </c>
      <c r="D153" s="15">
        <v>199</v>
      </c>
      <c r="E153" s="32">
        <f t="shared" ref="E153:E156" si="78">IF(ISNUMBER(D153), (D153 - $B153) / $B153, "")</f>
        <v>-9.9502487562189053E-3</v>
      </c>
      <c r="F153" s="18">
        <f>IF(ISNUMBER(D153), $B172 * E153, "")</f>
        <v>-1492.5373134328358</v>
      </c>
      <c r="G153" s="31">
        <v>200</v>
      </c>
      <c r="H153" s="32">
        <f t="shared" ref="H153:H156" si="79">IF(ISNUMBER(G153), (G153 - $B153) / $B153, "")</f>
        <v>-4.9751243781094526E-3</v>
      </c>
      <c r="I153" s="91">
        <f>IF(ISNUMBER(G153), $B172 * H153, "")</f>
        <v>-746.26865671641792</v>
      </c>
      <c r="J153" s="15">
        <v>198</v>
      </c>
      <c r="K153" s="32">
        <f t="shared" ref="K153:K156" si="80">IF(ISNUMBER(J153), (J153 - $B153) / $B153, "")</f>
        <v>-1.4925373134328358E-2</v>
      </c>
      <c r="L153" s="18">
        <f>IF(ISNUMBER(J153), $B172 * K153, "")</f>
        <v>-2238.8059701492539</v>
      </c>
      <c r="M153" s="31">
        <v>202</v>
      </c>
      <c r="N153" s="32">
        <f t="shared" ref="N153:N156" si="81">IF(ISNUMBER(M153), (M153 - $B153) / $B153, "")</f>
        <v>4.9751243781094526E-3</v>
      </c>
      <c r="O153" s="18">
        <f>IF(ISNUMBER(M153), $B172 * N153, "")</f>
        <v>746.26865671641792</v>
      </c>
      <c r="Q153" s="156"/>
      <c r="R153" s="156"/>
      <c r="S153" s="156"/>
    </row>
    <row r="154" spans="1:19" ht="17.25" thickBot="1">
      <c r="A154" s="109" t="s">
        <v>153</v>
      </c>
      <c r="B154" s="110">
        <v>326</v>
      </c>
      <c r="C154" s="70">
        <v>-1.51057402E-2</v>
      </c>
      <c r="D154" s="15">
        <v>322</v>
      </c>
      <c r="E154" s="32">
        <f t="shared" si="78"/>
        <v>-1.2269938650306749E-2</v>
      </c>
      <c r="F154" s="18">
        <f>IF(ISNUMBER(D154), $B172 * E154, "")</f>
        <v>-1840.4907975460123</v>
      </c>
      <c r="G154" s="31">
        <v>320</v>
      </c>
      <c r="H154" s="32">
        <f t="shared" si="79"/>
        <v>-1.8404907975460124E-2</v>
      </c>
      <c r="I154" s="91">
        <f>IF(ISNUMBER(G154), $B172 * H154, "")</f>
        <v>-2760.7361963190187</v>
      </c>
      <c r="J154" s="15">
        <v>318</v>
      </c>
      <c r="K154" s="32">
        <f t="shared" si="80"/>
        <v>-2.4539877300613498E-2</v>
      </c>
      <c r="L154" s="18">
        <f>IF(ISNUMBER(J154), $B172 * K154, "")</f>
        <v>-3680.9815950920247</v>
      </c>
      <c r="M154" s="31">
        <v>320</v>
      </c>
      <c r="N154" s="32">
        <f t="shared" si="81"/>
        <v>-1.8404907975460124E-2</v>
      </c>
      <c r="O154" s="18">
        <f>IF(ISNUMBER(M154), $B172 * N154, "")</f>
        <v>-2760.7361963190187</v>
      </c>
      <c r="Q154" s="146"/>
      <c r="R154" s="146"/>
      <c r="S154" s="146"/>
    </row>
    <row r="155" spans="1:19" ht="17.25" thickBot="1">
      <c r="A155" s="109" t="s">
        <v>231</v>
      </c>
      <c r="B155" s="110">
        <v>306</v>
      </c>
      <c r="C155" s="70">
        <v>-1.60771704E-2</v>
      </c>
      <c r="D155" s="15">
        <v>303</v>
      </c>
      <c r="E155" s="32">
        <f t="shared" si="78"/>
        <v>-9.8039215686274508E-3</v>
      </c>
      <c r="F155" s="18">
        <f>IF(ISNUMBER(D155), $B172 * E155, "")</f>
        <v>-1470.5882352941176</v>
      </c>
      <c r="G155" s="31">
        <v>300</v>
      </c>
      <c r="H155" s="32">
        <f t="shared" si="79"/>
        <v>-1.9607843137254902E-2</v>
      </c>
      <c r="I155" s="91">
        <f>IF(ISNUMBER(G155), $B172 * H155, "")</f>
        <v>-2941.1764705882351</v>
      </c>
      <c r="J155" s="15">
        <v>299</v>
      </c>
      <c r="K155" s="32">
        <f t="shared" si="80"/>
        <v>-2.2875816993464051E-2</v>
      </c>
      <c r="L155" s="18">
        <f>IF(ISNUMBER(J155), $B172 * K155, "")</f>
        <v>-3431.3725490196075</v>
      </c>
      <c r="M155" s="31">
        <v>298</v>
      </c>
      <c r="N155" s="32">
        <f t="shared" si="81"/>
        <v>-2.6143790849673203E-2</v>
      </c>
      <c r="O155" s="18">
        <f>IF(ISNUMBER(M155), $B172 * N155, "")</f>
        <v>-3921.5686274509803</v>
      </c>
      <c r="Q155" s="146"/>
      <c r="R155" s="146"/>
      <c r="S155" s="146"/>
    </row>
    <row r="156" spans="1:19" ht="17.25" thickBot="1">
      <c r="A156" s="111" t="s">
        <v>201</v>
      </c>
      <c r="B156" s="112">
        <v>183</v>
      </c>
      <c r="C156" s="71">
        <v>-1.6129032299999999E-2</v>
      </c>
      <c r="D156" s="20">
        <v>181</v>
      </c>
      <c r="E156" s="21">
        <f t="shared" si="78"/>
        <v>-1.092896174863388E-2</v>
      </c>
      <c r="F156" s="22">
        <f>IF(ISNUMBER(D156), $B172 * E156, "")</f>
        <v>-1639.344262295082</v>
      </c>
      <c r="G156" s="30">
        <v>177</v>
      </c>
      <c r="H156" s="21">
        <f t="shared" si="79"/>
        <v>-3.2786885245901641E-2</v>
      </c>
      <c r="I156" s="95">
        <f>IF(ISNUMBER(G156), $B172 * H156, "")</f>
        <v>-4918.0327868852464</v>
      </c>
      <c r="J156" s="20">
        <v>176</v>
      </c>
      <c r="K156" s="21">
        <f t="shared" si="80"/>
        <v>-3.825136612021858E-2</v>
      </c>
      <c r="L156" s="22">
        <f>IF(ISNUMBER(J156), $B172 * K156, "")</f>
        <v>-5737.7049180327867</v>
      </c>
      <c r="M156" s="30">
        <v>176</v>
      </c>
      <c r="N156" s="21">
        <f t="shared" si="81"/>
        <v>-3.825136612021858E-2</v>
      </c>
      <c r="O156" s="22">
        <f>IF(ISNUMBER(M156), $B172 * N156, "")</f>
        <v>-5737.7049180327867</v>
      </c>
      <c r="Q156" s="146"/>
      <c r="R156" s="146"/>
      <c r="S156" s="146"/>
    </row>
    <row r="157" spans="1:19" ht="17.25" thickBot="1">
      <c r="A157" s="109" t="s">
        <v>219</v>
      </c>
      <c r="B157" s="113">
        <v>344</v>
      </c>
      <c r="C157" s="73">
        <v>-1.7142857099999999E-2</v>
      </c>
      <c r="D157" s="96">
        <v>336</v>
      </c>
      <c r="E157" s="97">
        <f>IF(ISNUMBER(D157), (D157 - $B157) / $B157, "")</f>
        <v>-2.3255813953488372E-2</v>
      </c>
      <c r="F157" s="98">
        <f>IF(ISNUMBER(D157), $B172 * E157, "")</f>
        <v>-3488.3720930232557</v>
      </c>
      <c r="G157" s="99">
        <v>333</v>
      </c>
      <c r="H157" s="97">
        <f>IF(ISNUMBER(G157), (G157 - $B157) / $B157, "")</f>
        <v>-3.1976744186046513E-2</v>
      </c>
      <c r="I157" s="100">
        <f>IF(ISNUMBER(G157), $B172 * H157, "")</f>
        <v>-4796.5116279069771</v>
      </c>
      <c r="J157" s="96">
        <v>333</v>
      </c>
      <c r="K157" s="97">
        <f>IF(ISNUMBER(J157), (J157 - $B157) / $B157, "")</f>
        <v>-3.1976744186046513E-2</v>
      </c>
      <c r="L157" s="98">
        <f>IF(ISNUMBER(J157), $B172 * K157, "")</f>
        <v>-4796.5116279069771</v>
      </c>
      <c r="M157" s="99">
        <v>333</v>
      </c>
      <c r="N157" s="97">
        <f>IF(ISNUMBER(M157), (M157 - $B157) / $B157, "")</f>
        <v>-3.1976744186046513E-2</v>
      </c>
      <c r="O157" s="98">
        <f>IF(ISNUMBER(M157), $B172 * N157, "")</f>
        <v>-4796.5116279069771</v>
      </c>
      <c r="Q157" s="146"/>
      <c r="R157" s="146"/>
      <c r="S157" s="146"/>
    </row>
    <row r="158" spans="1:19" ht="17.25" thickBot="1">
      <c r="A158" s="109" t="s">
        <v>79</v>
      </c>
      <c r="B158" s="110">
        <v>226</v>
      </c>
      <c r="C158" s="70">
        <v>-1.73913043E-2</v>
      </c>
      <c r="D158" s="15">
        <v>222</v>
      </c>
      <c r="E158" s="32">
        <f t="shared" ref="E158:E161" si="82">IF(ISNUMBER(D158), (D158 - $B158) / $B158, "")</f>
        <v>-1.7699115044247787E-2</v>
      </c>
      <c r="F158" s="18">
        <f>IF(ISNUMBER(D158), $B172 * E158, "")</f>
        <v>-2654.8672566371679</v>
      </c>
      <c r="G158" s="31">
        <v>220</v>
      </c>
      <c r="H158" s="32">
        <f t="shared" ref="H158:H161" si="83">IF(ISNUMBER(G158), (G158 - $B158) / $B158, "")</f>
        <v>-2.6548672566371681E-2</v>
      </c>
      <c r="I158" s="91">
        <f>IF(ISNUMBER(G158), $B172 * H158, "")</f>
        <v>-3982.3008849557523</v>
      </c>
      <c r="J158" s="15">
        <v>218</v>
      </c>
      <c r="K158" s="32">
        <f t="shared" ref="K158:K161" si="84">IF(ISNUMBER(J158), (J158 - $B158) / $B158, "")</f>
        <v>-3.5398230088495575E-2</v>
      </c>
      <c r="L158" s="18">
        <f>IF(ISNUMBER(J158), $B172 * K158, "")</f>
        <v>-5309.7345132743358</v>
      </c>
      <c r="M158" s="31">
        <v>219</v>
      </c>
      <c r="N158" s="32">
        <f t="shared" ref="N158:N161" si="85">IF(ISNUMBER(M158), (M158 - $B158) / $B158, "")</f>
        <v>-3.0973451327433628E-2</v>
      </c>
      <c r="O158" s="18">
        <f>IF(ISNUMBER(M158), $B172 * N158, "")</f>
        <v>-4646.0176991150438</v>
      </c>
      <c r="Q158" s="146"/>
      <c r="R158" s="146"/>
      <c r="S158" s="146"/>
    </row>
    <row r="159" spans="1:19" ht="17.25" thickBot="1">
      <c r="A159" s="109" t="s">
        <v>176</v>
      </c>
      <c r="B159" s="110">
        <v>278</v>
      </c>
      <c r="C159" s="70">
        <v>-1.7667844500000002E-2</v>
      </c>
      <c r="D159" s="15">
        <v>276</v>
      </c>
      <c r="E159" s="32">
        <f t="shared" si="82"/>
        <v>-7.1942446043165471E-3</v>
      </c>
      <c r="F159" s="18">
        <f>IF(ISNUMBER(D159), $B172 * E159, "")</f>
        <v>-1079.1366906474821</v>
      </c>
      <c r="G159" s="31">
        <v>273</v>
      </c>
      <c r="H159" s="32">
        <f t="shared" si="83"/>
        <v>-1.7985611510791366E-2</v>
      </c>
      <c r="I159" s="91">
        <f>IF(ISNUMBER(G159), $B172 * H159, "")</f>
        <v>-2697.8417266187048</v>
      </c>
      <c r="J159" s="15">
        <v>274</v>
      </c>
      <c r="K159" s="32">
        <f t="shared" si="84"/>
        <v>-1.4388489208633094E-2</v>
      </c>
      <c r="L159" s="18">
        <f>IF(ISNUMBER(J159), $B172 * K159, "")</f>
        <v>-2158.2733812949641</v>
      </c>
      <c r="M159" s="31">
        <v>274</v>
      </c>
      <c r="N159" s="32">
        <f t="shared" si="85"/>
        <v>-1.4388489208633094E-2</v>
      </c>
      <c r="O159" s="18">
        <f>IF(ISNUMBER(M159), $B172 * N159, "")</f>
        <v>-2158.2733812949641</v>
      </c>
      <c r="Q159" s="146"/>
      <c r="R159" s="146"/>
      <c r="S159" s="146"/>
    </row>
    <row r="160" spans="1:19" ht="17.25" thickBot="1">
      <c r="A160" s="109" t="s">
        <v>161</v>
      </c>
      <c r="B160" s="110">
        <v>278</v>
      </c>
      <c r="C160" s="70">
        <v>-1.7667844500000002E-2</v>
      </c>
      <c r="D160" s="15">
        <v>273</v>
      </c>
      <c r="E160" s="32">
        <f t="shared" si="82"/>
        <v>-1.7985611510791366E-2</v>
      </c>
      <c r="F160" s="18">
        <f>IF(ISNUMBER(D160), $B172 * E160, "")</f>
        <v>-2697.8417266187048</v>
      </c>
      <c r="G160" s="31">
        <v>274</v>
      </c>
      <c r="H160" s="32">
        <f t="shared" si="83"/>
        <v>-1.4388489208633094E-2</v>
      </c>
      <c r="I160" s="91">
        <f>IF(ISNUMBER(G160), $B172 * H160, "")</f>
        <v>-2158.2733812949641</v>
      </c>
      <c r="J160" s="15">
        <v>271</v>
      </c>
      <c r="K160" s="32">
        <f t="shared" si="84"/>
        <v>-2.5179856115107913E-2</v>
      </c>
      <c r="L160" s="18">
        <f>IF(ISNUMBER(J160), $B172 * K160, "")</f>
        <v>-3776.9784172661871</v>
      </c>
      <c r="M160" s="31">
        <v>273</v>
      </c>
      <c r="N160" s="32">
        <f t="shared" si="85"/>
        <v>-1.7985611510791366E-2</v>
      </c>
      <c r="O160" s="18">
        <f>IF(ISNUMBER(M160), $B172 * N160, "")</f>
        <v>-2697.8417266187048</v>
      </c>
      <c r="Q160" s="33"/>
      <c r="R160" s="33"/>
    </row>
    <row r="161" spans="1:19" ht="17.25" thickBot="1">
      <c r="A161" s="114" t="s">
        <v>345</v>
      </c>
      <c r="B161" s="115">
        <v>108</v>
      </c>
      <c r="C161" s="72">
        <v>-1.8181818200000002E-2</v>
      </c>
      <c r="D161" s="24">
        <v>109</v>
      </c>
      <c r="E161" s="25">
        <f t="shared" si="82"/>
        <v>9.2592592592592587E-3</v>
      </c>
      <c r="F161" s="94">
        <f>IF(ISNUMBER(D161), $B172 * E161, "")</f>
        <v>1388.8888888888889</v>
      </c>
      <c r="G161" s="92">
        <v>107</v>
      </c>
      <c r="H161" s="25">
        <f t="shared" si="83"/>
        <v>-9.2592592592592587E-3</v>
      </c>
      <c r="I161" s="93">
        <f>IF(ISNUMBER(G161), $B172 * H161, "")</f>
        <v>-1388.8888888888889</v>
      </c>
      <c r="J161" s="24">
        <v>106</v>
      </c>
      <c r="K161" s="25">
        <f t="shared" si="84"/>
        <v>-1.8518518518518517E-2</v>
      </c>
      <c r="L161" s="94">
        <f>IF(ISNUMBER(J161), $B172 * K161, "")</f>
        <v>-2777.7777777777778</v>
      </c>
      <c r="M161" s="92">
        <v>108</v>
      </c>
      <c r="N161" s="25">
        <f t="shared" si="85"/>
        <v>0</v>
      </c>
      <c r="O161" s="94">
        <f>IF(ISNUMBER(M161), $B172 * N161, "")</f>
        <v>0</v>
      </c>
      <c r="Q161" s="147"/>
      <c r="R161" s="148"/>
      <c r="S161" s="149"/>
    </row>
    <row r="162" spans="1:19">
      <c r="A162" s="107" t="s">
        <v>116</v>
      </c>
      <c r="B162" s="108">
        <v>909</v>
      </c>
      <c r="C162" s="69">
        <v>-1.8358531300000001E-2</v>
      </c>
      <c r="D162" s="13">
        <v>906</v>
      </c>
      <c r="E162" s="14">
        <f>IF(ISNUMBER(D162), (D162 - $B162) / $B162, "")</f>
        <v>-3.3003300330033004E-3</v>
      </c>
      <c r="F162" s="16">
        <f>IF(ISNUMBER(D162), $B172 * E162, "")</f>
        <v>-495.04950495049508</v>
      </c>
      <c r="G162" s="29">
        <v>899</v>
      </c>
      <c r="H162" s="14">
        <f>IF(ISNUMBER(G162), (G162 - $B162) / $B162, "")</f>
        <v>-1.1001100110011002E-2</v>
      </c>
      <c r="I162" s="90">
        <f>IF(ISNUMBER(G162), $B172 * H162, "")</f>
        <v>-1650.1650165016504</v>
      </c>
      <c r="J162" s="13">
        <v>893</v>
      </c>
      <c r="K162" s="14">
        <f>IF(ISNUMBER(J162), (J162 - $B162) / $B162, "")</f>
        <v>-1.7601760176017601E-2</v>
      </c>
      <c r="L162" s="16">
        <f>IF(ISNUMBER(J162), $B172 * K162, "")</f>
        <v>-2640.26402640264</v>
      </c>
      <c r="M162" s="29">
        <v>893</v>
      </c>
      <c r="N162" s="14">
        <f>IF(ISNUMBER(M162), (M162 - $B162) / $B162, "")</f>
        <v>-1.7601760176017601E-2</v>
      </c>
      <c r="O162" s="16">
        <f>IF(ISNUMBER(M162), $B172 * N162, "")</f>
        <v>-2640.26402640264</v>
      </c>
      <c r="Q162" s="150"/>
      <c r="R162" s="151"/>
      <c r="S162" s="152"/>
    </row>
    <row r="163" spans="1:19" ht="17.25" thickBot="1">
      <c r="A163" s="109" t="s">
        <v>103</v>
      </c>
      <c r="B163" s="110">
        <v>199</v>
      </c>
      <c r="C163" s="70">
        <v>-1.97044335E-2</v>
      </c>
      <c r="D163" s="15">
        <v>199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196</v>
      </c>
      <c r="H163" s="32">
        <f t="shared" ref="H163:H166" si="87">IF(ISNUMBER(G163), (G163 - $B163) / $B163, "")</f>
        <v>-1.507537688442211E-2</v>
      </c>
      <c r="I163" s="91">
        <f>IF(ISNUMBER(G163), $B172 * H163, "")</f>
        <v>-2261.3065326633164</v>
      </c>
      <c r="J163" s="15">
        <v>195</v>
      </c>
      <c r="K163" s="32">
        <f t="shared" ref="K163:K166" si="88">IF(ISNUMBER(J163), (J163 - $B163) / $B163, "")</f>
        <v>-2.0100502512562814E-2</v>
      </c>
      <c r="L163" s="18">
        <f>IF(ISNUMBER(J163), $B172 * K163, "")</f>
        <v>-3015.075376884422</v>
      </c>
      <c r="M163" s="31">
        <v>195</v>
      </c>
      <c r="N163" s="32">
        <f t="shared" ref="N163:N166" si="89">IF(ISNUMBER(M163), (M163 - $B163) / $B163, "")</f>
        <v>-2.0100502512562814E-2</v>
      </c>
      <c r="O163" s="18">
        <f>IF(ISNUMBER(M163), $B172 * N163, "")</f>
        <v>-3015.075376884422</v>
      </c>
      <c r="Q163" s="153"/>
      <c r="R163" s="154"/>
      <c r="S163" s="155"/>
    </row>
    <row r="164" spans="1:19" ht="17.25" thickBot="1">
      <c r="A164" s="109" t="s">
        <v>332</v>
      </c>
      <c r="B164" s="110">
        <v>497</v>
      </c>
      <c r="C164" s="70">
        <v>-1.9723865899999998E-2</v>
      </c>
      <c r="D164" s="15">
        <v>491</v>
      </c>
      <c r="E164" s="32">
        <f t="shared" si="86"/>
        <v>-1.2072434607645875E-2</v>
      </c>
      <c r="F164" s="18">
        <f>IF(ISNUMBER(D164), $B172 * E164, "")</f>
        <v>-1810.8651911468812</v>
      </c>
      <c r="G164" s="31">
        <v>491</v>
      </c>
      <c r="H164" s="32">
        <f t="shared" si="87"/>
        <v>-1.2072434607645875E-2</v>
      </c>
      <c r="I164" s="91">
        <f>IF(ISNUMBER(G164), $B172 * H164, "")</f>
        <v>-1810.8651911468812</v>
      </c>
      <c r="J164" s="15">
        <v>487</v>
      </c>
      <c r="K164" s="32">
        <f t="shared" si="88"/>
        <v>-2.0120724346076459E-2</v>
      </c>
      <c r="L164" s="18">
        <f>IF(ISNUMBER(J164), $B172 * K164, "")</f>
        <v>-3018.1086519114688</v>
      </c>
      <c r="M164" s="31">
        <v>492</v>
      </c>
      <c r="N164" s="32">
        <f t="shared" si="89"/>
        <v>-1.0060362173038229E-2</v>
      </c>
      <c r="O164" s="18">
        <f>IF(ISNUMBER(M164), $B172 * N164, "")</f>
        <v>-1509.0543259557344</v>
      </c>
      <c r="Q164" s="146"/>
      <c r="R164" s="146"/>
      <c r="S164" s="146"/>
    </row>
    <row r="165" spans="1:19" ht="17.25" thickBot="1">
      <c r="A165" s="109" t="s">
        <v>89</v>
      </c>
      <c r="B165" s="110">
        <v>436</v>
      </c>
      <c r="C165" s="70">
        <v>-2.02247191E-2</v>
      </c>
      <c r="D165" s="15">
        <v>429</v>
      </c>
      <c r="E165" s="32">
        <f t="shared" si="86"/>
        <v>-1.6055045871559634E-2</v>
      </c>
      <c r="F165" s="18">
        <f>IF(ISNUMBER(D165), $B172 * E165, "")</f>
        <v>-2408.2568807339453</v>
      </c>
      <c r="G165" s="31">
        <v>428</v>
      </c>
      <c r="H165" s="32">
        <f t="shared" si="87"/>
        <v>-1.834862385321101E-2</v>
      </c>
      <c r="I165" s="91">
        <f>IF(ISNUMBER(G165), $B172 * H165, "")</f>
        <v>-2752.2935779816517</v>
      </c>
      <c r="J165" s="15">
        <v>426</v>
      </c>
      <c r="K165" s="32">
        <f t="shared" si="88"/>
        <v>-2.2935779816513763E-2</v>
      </c>
      <c r="L165" s="18">
        <f>IF(ISNUMBER(J165), $B172 * K165, "")</f>
        <v>-3440.3669724770643</v>
      </c>
      <c r="M165" s="31">
        <v>429</v>
      </c>
      <c r="N165" s="32">
        <f t="shared" si="89"/>
        <v>-1.6055045871559634E-2</v>
      </c>
      <c r="O165" s="18">
        <f>IF(ISNUMBER(M165), $B172 * N165, "")</f>
        <v>-2408.2568807339453</v>
      </c>
      <c r="Q165" s="156"/>
      <c r="R165" s="156"/>
      <c r="S165" s="156"/>
    </row>
    <row r="166" spans="1:19" ht="17.25" thickBot="1">
      <c r="A166" s="111" t="s">
        <v>159</v>
      </c>
      <c r="B166" s="112">
        <v>140</v>
      </c>
      <c r="C166" s="71">
        <v>-2.0979021E-2</v>
      </c>
      <c r="D166" s="20">
        <v>139</v>
      </c>
      <c r="E166" s="21">
        <f t="shared" si="86"/>
        <v>-7.1428571428571426E-3</v>
      </c>
      <c r="F166" s="22">
        <f>IF(ISNUMBER(D166), $B172 * E166, "")</f>
        <v>-1071.4285714285713</v>
      </c>
      <c r="G166" s="30">
        <v>136</v>
      </c>
      <c r="H166" s="21">
        <f t="shared" si="87"/>
        <v>-2.8571428571428571E-2</v>
      </c>
      <c r="I166" s="95">
        <f>IF(ISNUMBER(G166), $B172 * H166, "")</f>
        <v>-4285.7142857142853</v>
      </c>
      <c r="J166" s="20">
        <v>135</v>
      </c>
      <c r="K166" s="21">
        <f t="shared" si="88"/>
        <v>-3.5714285714285712E-2</v>
      </c>
      <c r="L166" s="22">
        <f>IF(ISNUMBER(J166), $B172 * K166, "")</f>
        <v>-5357.1428571428569</v>
      </c>
      <c r="M166" s="30">
        <v>136</v>
      </c>
      <c r="N166" s="21">
        <f t="shared" si="89"/>
        <v>-2.8571428571428571E-2</v>
      </c>
      <c r="O166" s="22">
        <f>IF(ISNUMBER(M166), $B172 * N166, "")</f>
        <v>-4285.7142857142853</v>
      </c>
      <c r="Q166" s="156"/>
      <c r="R166" s="156"/>
      <c r="S166" s="156"/>
    </row>
    <row r="167" spans="1:19" ht="17.25" thickBot="1">
      <c r="A167" s="109" t="s">
        <v>95</v>
      </c>
      <c r="B167" s="113">
        <v>963</v>
      </c>
      <c r="C167" s="73">
        <v>-2.23350254E-2</v>
      </c>
      <c r="D167" s="96">
        <v>963</v>
      </c>
      <c r="E167" s="97">
        <f>IF(ISNUMBER(D167), (D167 - $B167) / $B167, "")</f>
        <v>0</v>
      </c>
      <c r="F167" s="98">
        <f>IF(ISNUMBER(D167), $B172 * E167, "")</f>
        <v>0</v>
      </c>
      <c r="G167" s="99">
        <v>967</v>
      </c>
      <c r="H167" s="97">
        <f>IF(ISNUMBER(G167), (G167 - $B167) / $B167, "")</f>
        <v>4.1536863966770508E-3</v>
      </c>
      <c r="I167" s="100">
        <f>IF(ISNUMBER(G167), $B172 * H167, "")</f>
        <v>623.05295950155767</v>
      </c>
      <c r="J167" s="96">
        <v>961</v>
      </c>
      <c r="K167" s="97">
        <f>IF(ISNUMBER(J167), (J167 - $B167) / $B167, "")</f>
        <v>-2.0768431983385254E-3</v>
      </c>
      <c r="L167" s="98">
        <f>IF(ISNUMBER(J167), $B172 * K167, "")</f>
        <v>-311.52647975077883</v>
      </c>
      <c r="M167" s="99">
        <v>953</v>
      </c>
      <c r="N167" s="97">
        <f>IF(ISNUMBER(M167), (M167 - $B167) / $B167, "")</f>
        <v>-1.0384215991692628E-2</v>
      </c>
      <c r="O167" s="98">
        <f>IF(ISNUMBER(M167), $B172 * N167, "")</f>
        <v>-1557.6323987538942</v>
      </c>
      <c r="Q167" s="146"/>
      <c r="R167" s="146"/>
      <c r="S167" s="146"/>
    </row>
    <row r="168" spans="1:19" ht="17.25" thickBot="1">
      <c r="A168" s="109" t="s">
        <v>317</v>
      </c>
      <c r="B168" s="110">
        <v>560</v>
      </c>
      <c r="C168" s="70">
        <v>-2.2687609099999999E-2</v>
      </c>
      <c r="D168" s="15">
        <v>546</v>
      </c>
      <c r="E168" s="32">
        <f t="shared" ref="E168:E171" si="90">IF(ISNUMBER(D168), (D168 - $B168) / $B168, "")</f>
        <v>-2.5000000000000001E-2</v>
      </c>
      <c r="F168" s="18">
        <f>IF(ISNUMBER(D168), $B172 * E168, "")</f>
        <v>-3750</v>
      </c>
      <c r="G168" s="31">
        <v>546</v>
      </c>
      <c r="H168" s="32">
        <f t="shared" ref="H168:H171" si="91">IF(ISNUMBER(G168), (G168 - $B168) / $B168, "")</f>
        <v>-2.5000000000000001E-2</v>
      </c>
      <c r="I168" s="91">
        <f>IF(ISNUMBER(G168), $B172 * H168, "")</f>
        <v>-3750</v>
      </c>
      <c r="J168" s="15">
        <v>542</v>
      </c>
      <c r="K168" s="32">
        <f t="shared" ref="K168:K171" si="92">IF(ISNUMBER(J168), (J168 - $B168) / $B168, "")</f>
        <v>-3.214285714285714E-2</v>
      </c>
      <c r="L168" s="18">
        <f>IF(ISNUMBER(J168), $B172 * K168, "")</f>
        <v>-4821.4285714285706</v>
      </c>
      <c r="M168" s="31">
        <v>541</v>
      </c>
      <c r="N168" s="32">
        <f t="shared" ref="N168:N171" si="93">IF(ISNUMBER(M168), (M168 - $B168) / $B168, "")</f>
        <v>-3.3928571428571426E-2</v>
      </c>
      <c r="O168" s="18">
        <f>IF(ISNUMBER(M168), $B172 * N168, "")</f>
        <v>-5089.2857142857138</v>
      </c>
      <c r="Q168" s="146"/>
      <c r="R168" s="146"/>
      <c r="S168" s="146"/>
    </row>
    <row r="169" spans="1:19" ht="17.25" thickBot="1">
      <c r="A169" s="109" t="s">
        <v>341</v>
      </c>
      <c r="B169" s="110">
        <v>632</v>
      </c>
      <c r="C169" s="70">
        <v>-3.06748466E-2</v>
      </c>
      <c r="D169" s="15">
        <v>618</v>
      </c>
      <c r="E169" s="32">
        <f t="shared" si="90"/>
        <v>-2.2151898734177215E-2</v>
      </c>
      <c r="F169" s="18">
        <f>IF(ISNUMBER(D169), $B172 * E169, "")</f>
        <v>-3322.7848101265822</v>
      </c>
      <c r="G169" s="31">
        <v>612</v>
      </c>
      <c r="H169" s="32">
        <f t="shared" si="91"/>
        <v>-3.1645569620253167E-2</v>
      </c>
      <c r="I169" s="91">
        <f>IF(ISNUMBER(G169), $B172 * H169, "")</f>
        <v>-4746.835443037975</v>
      </c>
      <c r="J169" s="15">
        <v>611</v>
      </c>
      <c r="K169" s="32">
        <f t="shared" si="92"/>
        <v>-3.3227848101265819E-2</v>
      </c>
      <c r="L169" s="18">
        <f>IF(ISNUMBER(J169), $B172 * K169, "")</f>
        <v>-4984.1772151898731</v>
      </c>
      <c r="M169" s="31">
        <v>613</v>
      </c>
      <c r="N169" s="32">
        <f t="shared" si="93"/>
        <v>-3.0063291139240507E-2</v>
      </c>
      <c r="O169" s="18">
        <f>IF(ISNUMBER(M169), $B172 * N169, "")</f>
        <v>-4509.493670886076</v>
      </c>
      <c r="Q169" s="146"/>
      <c r="R169" s="146"/>
      <c r="S169" s="146"/>
    </row>
    <row r="170" spans="1:19">
      <c r="A170" s="109" t="s">
        <v>189</v>
      </c>
      <c r="B170" s="110">
        <v>903</v>
      </c>
      <c r="C170" s="70">
        <v>-3.21543408E-2</v>
      </c>
      <c r="D170" s="15">
        <v>879</v>
      </c>
      <c r="E170" s="32">
        <f t="shared" si="90"/>
        <v>-2.6578073089700997E-2</v>
      </c>
      <c r="F170" s="18">
        <f>IF(ISNUMBER(D170), $B172 * E170, "")</f>
        <v>-3986.7109634551498</v>
      </c>
      <c r="G170" s="31">
        <v>872</v>
      </c>
      <c r="H170" s="32">
        <f t="shared" si="91"/>
        <v>-3.4330011074197121E-2</v>
      </c>
      <c r="I170" s="91">
        <f>IF(ISNUMBER(G170), $B172 * H170, "")</f>
        <v>-5149.5016611295678</v>
      </c>
      <c r="J170" s="15">
        <v>862</v>
      </c>
      <c r="K170" s="32">
        <f t="shared" si="92"/>
        <v>-4.5404208194905871E-2</v>
      </c>
      <c r="L170" s="18">
        <f>IF(ISNUMBER(J170), $B172 * K170, "")</f>
        <v>-6810.6312292358807</v>
      </c>
      <c r="M170" s="31">
        <v>868</v>
      </c>
      <c r="N170" s="32">
        <f t="shared" si="93"/>
        <v>-3.875968992248062E-2</v>
      </c>
      <c r="O170" s="18">
        <f>IF(ISNUMBER(M170), $B172 * N170, "")</f>
        <v>-5813.9534883720926</v>
      </c>
      <c r="Q170" s="135"/>
      <c r="R170" s="136"/>
      <c r="S170" s="137"/>
    </row>
    <row r="171" spans="1:19" ht="17.25" thickBot="1">
      <c r="A171" s="114" t="s">
        <v>68</v>
      </c>
      <c r="B171" s="115">
        <v>253</v>
      </c>
      <c r="C171" s="72">
        <v>-5.2434456900000002E-2</v>
      </c>
      <c r="D171" s="24">
        <v>248</v>
      </c>
      <c r="E171" s="25">
        <f t="shared" si="90"/>
        <v>-1.9762845849802372E-2</v>
      </c>
      <c r="F171" s="94">
        <f>IF(ISNUMBER(D171), $B172 * E171, "")</f>
        <v>-2964.426877470356</v>
      </c>
      <c r="G171" s="92">
        <v>248</v>
      </c>
      <c r="H171" s="25">
        <f t="shared" si="91"/>
        <v>-1.9762845849802372E-2</v>
      </c>
      <c r="I171" s="93">
        <f>IF(ISNUMBER(G171), $B172 * H171, "")</f>
        <v>-2964.426877470356</v>
      </c>
      <c r="J171" s="24">
        <v>246</v>
      </c>
      <c r="K171" s="25">
        <f t="shared" si="92"/>
        <v>-2.766798418972332E-2</v>
      </c>
      <c r="L171" s="94">
        <f>IF(ISNUMBER(J171), $B172 * K171, "")</f>
        <v>-4150.197628458498</v>
      </c>
      <c r="M171" s="92">
        <v>246</v>
      </c>
      <c r="N171" s="25">
        <f t="shared" si="93"/>
        <v>-2.766798418972332E-2</v>
      </c>
      <c r="O171" s="94">
        <f>IF(ISNUMBER(M171), $B172 * N171, "")</f>
        <v>-4150.197628458498</v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-1.2289048539750361E-2</v>
      </c>
      <c r="F172" s="28">
        <f>SUM(F152:F171)</f>
        <v>-36867.145619251081</v>
      </c>
      <c r="G172" s="26" t="s">
        <v>258</v>
      </c>
      <c r="H172" s="27">
        <f>IF(COUNT(H152:H171), SUM(H152:H171) / COUNT(H152:H171), 0)</f>
        <v>-1.9351584304328335E-2</v>
      </c>
      <c r="I172" s="28">
        <f>SUM(I152:I171)</f>
        <v>-58054.752912985001</v>
      </c>
      <c r="J172" s="26" t="s">
        <v>258</v>
      </c>
      <c r="K172" s="27">
        <f>IF(COUNT(K152:K171), SUM(K152:K171) / COUNT(K152:K171), 0)</f>
        <v>-2.5402353252898652E-2</v>
      </c>
      <c r="L172" s="28">
        <f>SUM(L152:L171)</f>
        <v>-76207.059758695963</v>
      </c>
      <c r="M172" s="26" t="s">
        <v>258</v>
      </c>
      <c r="N172" s="27">
        <f>IF(COUNT(N152:N171), SUM(N152:N171) / COUNT(N152:N171), 0)</f>
        <v>-2.1358771105489789E-2</v>
      </c>
      <c r="O172" s="28">
        <f>SUM(O152:O171)</f>
        <v>-64076.313316469357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21539000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1.0224474E-3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2023-01-06(금) 오전 00:00</v>
      </c>
      <c r="C177" s="198"/>
      <c r="D177" s="170" t="str">
        <f>TEXT($G$1, "[$-ko-KR]yyyy-mm-dd(ddd) ") &amp; "오후 14:00"</f>
        <v>2023-01-06(금) 오후 14:00</v>
      </c>
      <c r="E177" s="171"/>
      <c r="F177" s="172"/>
      <c r="G177" s="170" t="str">
        <f>TEXT($G$1, "[$-ko-KR]yyyy-mm-dd(ddd) ") &amp; "오후 19:00"</f>
        <v>2023-01-06(금) 오후 19:00</v>
      </c>
      <c r="H177" s="171"/>
      <c r="I177" s="172"/>
      <c r="J177" s="170" t="str">
        <f>TEXT($G$1, "[$-ko-KR]yyyy-mm-dd(ddd) ") &amp; "오후 21:00"</f>
        <v>2023-01-06(금) 오후 21:00</v>
      </c>
      <c r="K177" s="171"/>
      <c r="L177" s="172"/>
      <c r="M177" s="170" t="str">
        <f>TEXT($G$1+1, "[$-ko-KR]yyyy-mm-dd(ddd) ") &amp; "오전 00:00"</f>
        <v>2023-01-07(토)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332</v>
      </c>
      <c r="B179" s="108">
        <v>497</v>
      </c>
      <c r="C179" s="69">
        <v>-1.9723865899999998E-2</v>
      </c>
      <c r="D179" s="13">
        <v>491</v>
      </c>
      <c r="E179" s="14">
        <f>IF(ISNUMBER(D179), (D179 - $B179) / $B179, "")</f>
        <v>-1.2072434607645875E-2</v>
      </c>
      <c r="F179" s="16">
        <f>IF(ISNUMBER(D179), $B199 * E179, "")</f>
        <v>-1810.8651911468812</v>
      </c>
      <c r="G179" s="29">
        <v>491</v>
      </c>
      <c r="H179" s="14">
        <f>IF(ISNUMBER(G179), (G179 - $B179) / $B179, "")</f>
        <v>-1.2072434607645875E-2</v>
      </c>
      <c r="I179" s="90">
        <f>IF(ISNUMBER(G179), $B199 * H179, "")</f>
        <v>-1810.8651911468812</v>
      </c>
      <c r="J179" s="13">
        <v>487</v>
      </c>
      <c r="K179" s="14">
        <f>IF(ISNUMBER(J179), (J179 - $B179) / $B179, "")</f>
        <v>-2.0120724346076459E-2</v>
      </c>
      <c r="L179" s="16">
        <f>IF(ISNUMBER(J179), $B199 * K179, "")</f>
        <v>-3018.1086519114688</v>
      </c>
      <c r="M179" s="29">
        <v>492</v>
      </c>
      <c r="N179" s="14">
        <f>IF(ISNUMBER(M179), (M179 - $B179) / $B179, "")</f>
        <v>-1.0060362173038229E-2</v>
      </c>
      <c r="O179" s="16">
        <f>IF(ISNUMBER(M179), $B199 * N179, "")</f>
        <v>-1509.0543259557344</v>
      </c>
      <c r="Q179" s="156"/>
      <c r="R179" s="156"/>
      <c r="S179" s="156"/>
    </row>
    <row r="180" spans="1:19" ht="17.25" thickBot="1">
      <c r="A180" s="109" t="s">
        <v>89</v>
      </c>
      <c r="B180" s="110">
        <v>436</v>
      </c>
      <c r="C180" s="70">
        <v>-2.02247191E-2</v>
      </c>
      <c r="D180" s="15">
        <v>429</v>
      </c>
      <c r="E180" s="32">
        <f t="shared" ref="E180:E183" si="94">IF(ISNUMBER(D180), (D180 - $B180) / $B180, "")</f>
        <v>-1.6055045871559634E-2</v>
      </c>
      <c r="F180" s="18">
        <f>IF(ISNUMBER(D180), $B199 * E180, "")</f>
        <v>-2408.2568807339453</v>
      </c>
      <c r="G180" s="31">
        <v>428</v>
      </c>
      <c r="H180" s="32">
        <f t="shared" ref="H180:H183" si="95">IF(ISNUMBER(G180), (G180 - $B180) / $B180, "")</f>
        <v>-1.834862385321101E-2</v>
      </c>
      <c r="I180" s="91">
        <f>IF(ISNUMBER(G180), $B199 * H180, "")</f>
        <v>-2752.2935779816517</v>
      </c>
      <c r="J180" s="15">
        <v>426</v>
      </c>
      <c r="K180" s="32">
        <f t="shared" ref="K180:K183" si="96">IF(ISNUMBER(J180), (J180 - $B180) / $B180, "")</f>
        <v>-2.2935779816513763E-2</v>
      </c>
      <c r="L180" s="18">
        <f>IF(ISNUMBER(J180), $B199 * K180, "")</f>
        <v>-3440.3669724770643</v>
      </c>
      <c r="M180" s="31">
        <v>429</v>
      </c>
      <c r="N180" s="32">
        <f t="shared" ref="N180:N183" si="97">IF(ISNUMBER(M180), (M180 - $B180) / $B180, "")</f>
        <v>-1.6055045871559634E-2</v>
      </c>
      <c r="O180" s="18">
        <f>IF(ISNUMBER(M180), $B199 * N180, "")</f>
        <v>-2408.2568807339453</v>
      </c>
      <c r="Q180" s="156"/>
      <c r="R180" s="156"/>
      <c r="S180" s="156"/>
    </row>
    <row r="181" spans="1:19" ht="17.25" thickBot="1">
      <c r="A181" s="109" t="s">
        <v>159</v>
      </c>
      <c r="B181" s="110">
        <v>140</v>
      </c>
      <c r="C181" s="70">
        <v>-2.0979021E-2</v>
      </c>
      <c r="D181" s="15">
        <v>139</v>
      </c>
      <c r="E181" s="32">
        <f t="shared" si="94"/>
        <v>-7.1428571428571426E-3</v>
      </c>
      <c r="F181" s="18">
        <f>IF(ISNUMBER(D181), $B199 * E181, "")</f>
        <v>-1071.4285714285713</v>
      </c>
      <c r="G181" s="31">
        <v>136</v>
      </c>
      <c r="H181" s="32">
        <f t="shared" si="95"/>
        <v>-2.8571428571428571E-2</v>
      </c>
      <c r="I181" s="91">
        <f>IF(ISNUMBER(G181), $B199 * H181, "")</f>
        <v>-4285.7142857142853</v>
      </c>
      <c r="J181" s="15">
        <v>135</v>
      </c>
      <c r="K181" s="32">
        <f t="shared" si="96"/>
        <v>-3.5714285714285712E-2</v>
      </c>
      <c r="L181" s="18">
        <f>IF(ISNUMBER(J181), $B199 * K181, "")</f>
        <v>-5357.1428571428569</v>
      </c>
      <c r="M181" s="31">
        <v>136</v>
      </c>
      <c r="N181" s="32">
        <f t="shared" si="97"/>
        <v>-2.8571428571428571E-2</v>
      </c>
      <c r="O181" s="18">
        <f>IF(ISNUMBER(M181), $B199 * N181, "")</f>
        <v>-4285.7142857142853</v>
      </c>
      <c r="Q181" s="146"/>
      <c r="R181" s="146"/>
      <c r="S181" s="146"/>
    </row>
    <row r="182" spans="1:19" ht="17.25" thickBot="1">
      <c r="A182" s="109" t="s">
        <v>83</v>
      </c>
      <c r="B182" s="110">
        <v>1140</v>
      </c>
      <c r="C182" s="70">
        <v>-2.1459227500000001E-2</v>
      </c>
      <c r="D182" s="15">
        <v>1130</v>
      </c>
      <c r="E182" s="32">
        <f t="shared" si="94"/>
        <v>-8.771929824561403E-3</v>
      </c>
      <c r="F182" s="18">
        <f>IF(ISNUMBER(D182), $B199 * E182, "")</f>
        <v>-1315.7894736842104</v>
      </c>
      <c r="G182" s="31">
        <v>1115</v>
      </c>
      <c r="H182" s="32">
        <f t="shared" si="95"/>
        <v>-2.1929824561403508E-2</v>
      </c>
      <c r="I182" s="91">
        <f>IF(ISNUMBER(G182), $B199 * H182, "")</f>
        <v>-3289.4736842105262</v>
      </c>
      <c r="J182" s="15">
        <v>1115</v>
      </c>
      <c r="K182" s="32">
        <f t="shared" si="96"/>
        <v>-2.1929824561403508E-2</v>
      </c>
      <c r="L182" s="18">
        <f>IF(ISNUMBER(J182), $B199 * K182, "")</f>
        <v>-3289.4736842105262</v>
      </c>
      <c r="M182" s="31">
        <v>1115</v>
      </c>
      <c r="N182" s="32">
        <f t="shared" si="97"/>
        <v>-2.1929824561403508E-2</v>
      </c>
      <c r="O182" s="18">
        <f>IF(ISNUMBER(M182), $B199 * N182, "")</f>
        <v>-3289.4736842105262</v>
      </c>
      <c r="Q182" s="146"/>
      <c r="R182" s="146"/>
      <c r="S182" s="146"/>
    </row>
    <row r="183" spans="1:19" ht="17.25" thickBot="1">
      <c r="A183" s="111" t="s">
        <v>343</v>
      </c>
      <c r="B183" s="112">
        <v>16830</v>
      </c>
      <c r="C183" s="71">
        <v>-2.20801859E-2</v>
      </c>
      <c r="D183" s="20">
        <v>16850</v>
      </c>
      <c r="E183" s="21">
        <f t="shared" si="94"/>
        <v>1.1883541295306002E-3</v>
      </c>
      <c r="F183" s="22">
        <f>IF(ISNUMBER(D183), $B199 * E183, "")</f>
        <v>178.25311942959001</v>
      </c>
      <c r="G183" s="30">
        <v>16780</v>
      </c>
      <c r="H183" s="21">
        <f t="shared" si="95"/>
        <v>-2.9708853238265003E-3</v>
      </c>
      <c r="I183" s="95">
        <f>IF(ISNUMBER(G183), $B199 * H183, "")</f>
        <v>-445.63279857397504</v>
      </c>
      <c r="J183" s="20">
        <v>16530</v>
      </c>
      <c r="K183" s="21">
        <f t="shared" si="96"/>
        <v>-1.7825311942959002E-2</v>
      </c>
      <c r="L183" s="22">
        <f>IF(ISNUMBER(J183), $B199 * K183, "")</f>
        <v>-2673.7967914438505</v>
      </c>
      <c r="M183" s="30">
        <v>16600</v>
      </c>
      <c r="N183" s="21">
        <f t="shared" si="97"/>
        <v>-1.3666072489601902E-2</v>
      </c>
      <c r="O183" s="22">
        <f>IF(ISNUMBER(M183), $B199 * N183, "")</f>
        <v>-2049.9108734402853</v>
      </c>
      <c r="Q183" s="146"/>
      <c r="R183" s="146"/>
      <c r="S183" s="146"/>
    </row>
    <row r="184" spans="1:19" ht="17.25" thickBot="1">
      <c r="A184" s="109" t="s">
        <v>95</v>
      </c>
      <c r="B184" s="113">
        <v>963</v>
      </c>
      <c r="C184" s="73">
        <v>-2.23350254E-2</v>
      </c>
      <c r="D184" s="96">
        <v>963</v>
      </c>
      <c r="E184" s="97">
        <f>IF(ISNUMBER(D184), (D184 - $B184) / $B184, "")</f>
        <v>0</v>
      </c>
      <c r="F184" s="98">
        <f>IF(ISNUMBER(D184), $B199 * E184, "")</f>
        <v>0</v>
      </c>
      <c r="G184" s="99">
        <v>967</v>
      </c>
      <c r="H184" s="97">
        <f>IF(ISNUMBER(G184), (G184 - $B184) / $B184, "")</f>
        <v>4.1536863966770508E-3</v>
      </c>
      <c r="I184" s="100">
        <f>IF(ISNUMBER(G184), $B199 * H184, "")</f>
        <v>623.05295950155767</v>
      </c>
      <c r="J184" s="96">
        <v>961</v>
      </c>
      <c r="K184" s="97">
        <f>IF(ISNUMBER(J184), (J184 - $B184) / $B184, "")</f>
        <v>-2.0768431983385254E-3</v>
      </c>
      <c r="L184" s="98">
        <f>IF(ISNUMBER(J184), $B199 * K184, "")</f>
        <v>-311.52647975077883</v>
      </c>
      <c r="M184" s="99">
        <v>953</v>
      </c>
      <c r="N184" s="97">
        <f>IF(ISNUMBER(M184), (M184 - $B184) / $B184, "")</f>
        <v>-1.0384215991692628E-2</v>
      </c>
      <c r="O184" s="98">
        <f>IF(ISNUMBER(M184), $B199 * N184, "")</f>
        <v>-1557.6323987538942</v>
      </c>
      <c r="Q184" s="146"/>
      <c r="R184" s="146"/>
      <c r="S184" s="146"/>
    </row>
    <row r="185" spans="1:19" ht="17.25" thickBot="1">
      <c r="A185" s="109" t="s">
        <v>317</v>
      </c>
      <c r="B185" s="110">
        <v>560</v>
      </c>
      <c r="C185" s="70">
        <v>-2.2687609099999999E-2</v>
      </c>
      <c r="D185" s="15">
        <v>546</v>
      </c>
      <c r="E185" s="32">
        <f t="shared" ref="E185:E188" si="98">IF(ISNUMBER(D185), (D185 - $B185) / $B185, "")</f>
        <v>-2.5000000000000001E-2</v>
      </c>
      <c r="F185" s="18">
        <f>IF(ISNUMBER(D185), $B199 * E185, "")</f>
        <v>-3750</v>
      </c>
      <c r="G185" s="31">
        <v>546</v>
      </c>
      <c r="H185" s="32">
        <f t="shared" ref="H185:H188" si="99">IF(ISNUMBER(G185), (G185 - $B185) / $B185, "")</f>
        <v>-2.5000000000000001E-2</v>
      </c>
      <c r="I185" s="91">
        <f>IF(ISNUMBER(G185), $B199 * H185, "")</f>
        <v>-3750</v>
      </c>
      <c r="J185" s="15">
        <v>542</v>
      </c>
      <c r="K185" s="32">
        <f t="shared" ref="K185:K188" si="100">IF(ISNUMBER(J185), (J185 - $B185) / $B185, "")</f>
        <v>-3.214285714285714E-2</v>
      </c>
      <c r="L185" s="18">
        <f>IF(ISNUMBER(J185), $B199 * K185, "")</f>
        <v>-4821.4285714285706</v>
      </c>
      <c r="M185" s="31">
        <v>541</v>
      </c>
      <c r="N185" s="32">
        <f t="shared" ref="N185:N188" si="101">IF(ISNUMBER(M185), (M185 - $B185) / $B185, "")</f>
        <v>-3.3928571428571426E-2</v>
      </c>
      <c r="O185" s="18">
        <f>IF(ISNUMBER(M185), $B199 * N185, "")</f>
        <v>-5089.2857142857138</v>
      </c>
      <c r="Q185" s="146"/>
      <c r="R185" s="146"/>
      <c r="S185" s="146"/>
    </row>
    <row r="186" spans="1:19" ht="17.25" thickBot="1">
      <c r="A186" s="109" t="s">
        <v>205</v>
      </c>
      <c r="B186" s="110">
        <v>90.7</v>
      </c>
      <c r="C186" s="70">
        <v>-2.36813778E-2</v>
      </c>
      <c r="D186" s="15">
        <v>94.2</v>
      </c>
      <c r="E186" s="32">
        <f t="shared" si="98"/>
        <v>3.8588754134509372E-2</v>
      </c>
      <c r="F186" s="18">
        <f>IF(ISNUMBER(D186), $B199 * E186, "")</f>
        <v>5788.3131201764054</v>
      </c>
      <c r="G186" s="31">
        <v>93.5</v>
      </c>
      <c r="H186" s="32">
        <f t="shared" si="99"/>
        <v>3.0871003307607465E-2</v>
      </c>
      <c r="I186" s="91">
        <f>IF(ISNUMBER(G186), $B199 * H186, "")</f>
        <v>4630.6504961411201</v>
      </c>
      <c r="J186" s="15">
        <v>95</v>
      </c>
      <c r="K186" s="32">
        <f t="shared" si="100"/>
        <v>4.7409040793825769E-2</v>
      </c>
      <c r="L186" s="18">
        <f>IF(ISNUMBER(J186), $B199 * K186, "")</f>
        <v>7111.3561190738656</v>
      </c>
      <c r="M186" s="31">
        <v>93.2</v>
      </c>
      <c r="N186" s="32">
        <f t="shared" si="101"/>
        <v>2.7563395810363836E-2</v>
      </c>
      <c r="O186" s="18">
        <f>IF(ISNUMBER(M186), $B199 * N186, "")</f>
        <v>4134.5093715545754</v>
      </c>
      <c r="Q186" s="146"/>
      <c r="R186" s="146"/>
      <c r="S186" s="146"/>
    </row>
    <row r="187" spans="1:19" ht="17.25" thickBot="1">
      <c r="A187" s="109" t="s">
        <v>339</v>
      </c>
      <c r="B187" s="110">
        <v>1010</v>
      </c>
      <c r="C187" s="70">
        <v>-2.4154589399999999E-2</v>
      </c>
      <c r="D187" s="15">
        <v>997</v>
      </c>
      <c r="E187" s="32">
        <f t="shared" si="98"/>
        <v>-1.2871287128712871E-2</v>
      </c>
      <c r="F187" s="18">
        <f>IF(ISNUMBER(D187), $B199 * E187, "")</f>
        <v>-1930.6930693069305</v>
      </c>
      <c r="G187" s="31">
        <v>992</v>
      </c>
      <c r="H187" s="32">
        <f t="shared" si="99"/>
        <v>-1.782178217821782E-2</v>
      </c>
      <c r="I187" s="91">
        <f>IF(ISNUMBER(G187), $B199 * H187, "")</f>
        <v>-2673.2673267326732</v>
      </c>
      <c r="J187" s="15">
        <v>990</v>
      </c>
      <c r="K187" s="32">
        <f t="shared" si="100"/>
        <v>-1.9801980198019802E-2</v>
      </c>
      <c r="L187" s="18">
        <f>IF(ISNUMBER(J187), $B199 * K187, "")</f>
        <v>-2970.2970297029701</v>
      </c>
      <c r="M187" s="31">
        <v>990</v>
      </c>
      <c r="N187" s="32">
        <f t="shared" si="101"/>
        <v>-1.9801980198019802E-2</v>
      </c>
      <c r="O187" s="18">
        <f>IF(ISNUMBER(M187), $B199 * N187, "")</f>
        <v>-2970.2970297029701</v>
      </c>
      <c r="Q187" s="33"/>
      <c r="R187" s="33"/>
    </row>
    <row r="188" spans="1:19" ht="17.25" thickBot="1">
      <c r="A188" s="114" t="s">
        <v>337</v>
      </c>
      <c r="B188" s="115">
        <v>70860</v>
      </c>
      <c r="C188" s="72">
        <v>-2.45044053E-2</v>
      </c>
      <c r="D188" s="24">
        <v>70330</v>
      </c>
      <c r="E188" s="25">
        <f t="shared" si="98"/>
        <v>-7.4795371154388933E-3</v>
      </c>
      <c r="F188" s="94">
        <f>IF(ISNUMBER(D188), $B199 * E188, "")</f>
        <v>-1121.930567315834</v>
      </c>
      <c r="G188" s="92">
        <v>69770</v>
      </c>
      <c r="H188" s="25">
        <f t="shared" si="99"/>
        <v>-1.5382444256279989E-2</v>
      </c>
      <c r="I188" s="93">
        <f>IF(ISNUMBER(G188), $B199 * H188, "")</f>
        <v>-2307.3666384419985</v>
      </c>
      <c r="J188" s="24">
        <v>69450</v>
      </c>
      <c r="K188" s="25">
        <f t="shared" si="100"/>
        <v>-1.9898391193903471E-2</v>
      </c>
      <c r="L188" s="94">
        <f>IF(ISNUMBER(J188), $B199 * K188, "")</f>
        <v>-2984.7586790855207</v>
      </c>
      <c r="M188" s="92">
        <v>69870</v>
      </c>
      <c r="N188" s="25">
        <f t="shared" si="101"/>
        <v>-1.397121083827265E-2</v>
      </c>
      <c r="O188" s="94">
        <f>IF(ISNUMBER(M188), $B199 * N188, "")</f>
        <v>-2095.6816257408977</v>
      </c>
      <c r="Q188" s="147"/>
      <c r="R188" s="148"/>
      <c r="S188" s="149"/>
    </row>
    <row r="189" spans="1:19">
      <c r="A189" s="107" t="s">
        <v>191</v>
      </c>
      <c r="B189" s="108">
        <v>50.3</v>
      </c>
      <c r="C189" s="69">
        <v>-2.5193798399999998E-2</v>
      </c>
      <c r="D189" s="13">
        <v>48.8</v>
      </c>
      <c r="E189" s="14">
        <f>IF(ISNUMBER(D189), (D189 - $B189) / $B189, "")</f>
        <v>-2.9821073558648114E-2</v>
      </c>
      <c r="F189" s="16">
        <f>IF(ISNUMBER(D189), $B199 * E189, "")</f>
        <v>-4473.161033797217</v>
      </c>
      <c r="G189" s="29">
        <v>49</v>
      </c>
      <c r="H189" s="14">
        <f>IF(ISNUMBER(G189), (G189 - $B189) / $B189, "")</f>
        <v>-2.5844930417494975E-2</v>
      </c>
      <c r="I189" s="90">
        <f>IF(ISNUMBER(G189), $B199 * H189, "")</f>
        <v>-3876.739562624246</v>
      </c>
      <c r="J189" s="13">
        <v>48.7</v>
      </c>
      <c r="K189" s="14">
        <f>IF(ISNUMBER(J189), (J189 - $B189) / $B189, "")</f>
        <v>-3.1809145129224538E-2</v>
      </c>
      <c r="L189" s="16">
        <f>IF(ISNUMBER(J189), $B199 * K189, "")</f>
        <v>-4771.3717693836807</v>
      </c>
      <c r="M189" s="29">
        <v>49.1</v>
      </c>
      <c r="N189" s="14">
        <f>IF(ISNUMBER(M189), (M189 - $B189) / $B189, "")</f>
        <v>-2.3856858846918405E-2</v>
      </c>
      <c r="O189" s="16">
        <f>IF(ISNUMBER(M189), $B199 * N189, "")</f>
        <v>-3578.5288270377609</v>
      </c>
      <c r="Q189" s="150"/>
      <c r="R189" s="151"/>
      <c r="S189" s="152"/>
    </row>
    <row r="190" spans="1:19" ht="17.25" thickBot="1">
      <c r="A190" s="109" t="s">
        <v>134</v>
      </c>
      <c r="B190" s="110">
        <v>1350</v>
      </c>
      <c r="C190" s="70">
        <v>-2.5270758099999999E-2</v>
      </c>
      <c r="D190" s="15">
        <v>1330</v>
      </c>
      <c r="E190" s="32">
        <f t="shared" ref="E190:E193" si="102">IF(ISNUMBER(D190), (D190 - $B190) / $B190, "")</f>
        <v>-1.4814814814814815E-2</v>
      </c>
      <c r="F190" s="18">
        <f>IF(ISNUMBER(D190), $B199 * E190, "")</f>
        <v>-2222.2222222222222</v>
      </c>
      <c r="G190" s="31">
        <v>1325</v>
      </c>
      <c r="H190" s="32">
        <f t="shared" ref="H190:H193" si="103">IF(ISNUMBER(G190), (G190 - $B190) / $B190, "")</f>
        <v>-1.8518518518518517E-2</v>
      </c>
      <c r="I190" s="91">
        <f>IF(ISNUMBER(G190), $B199 * H190, "")</f>
        <v>-2777.7777777777778</v>
      </c>
      <c r="J190" s="15">
        <v>1320</v>
      </c>
      <c r="K190" s="32">
        <f t="shared" ref="K190:K193" si="104">IF(ISNUMBER(J190), (J190 - $B190) / $B190, "")</f>
        <v>-2.2222222222222223E-2</v>
      </c>
      <c r="L190" s="18">
        <f>IF(ISNUMBER(J190), $B199 * K190, "")</f>
        <v>-3333.3333333333335</v>
      </c>
      <c r="M190" s="31">
        <v>1325</v>
      </c>
      <c r="N190" s="32">
        <f t="shared" ref="N190:N193" si="105">IF(ISNUMBER(M190), (M190 - $B190) / $B190, "")</f>
        <v>-1.8518518518518517E-2</v>
      </c>
      <c r="O190" s="18">
        <f>IF(ISNUMBER(M190), $B199 * N190, "")</f>
        <v>-2777.7777777777778</v>
      </c>
      <c r="Q190" s="153"/>
      <c r="R190" s="154"/>
      <c r="S190" s="155"/>
    </row>
    <row r="191" spans="1:19" ht="17.25" thickBot="1">
      <c r="A191" s="109" t="s">
        <v>347</v>
      </c>
      <c r="B191" s="110">
        <v>15050</v>
      </c>
      <c r="C191" s="70">
        <v>-2.7149321300000001E-2</v>
      </c>
      <c r="D191" s="15">
        <v>14790</v>
      </c>
      <c r="E191" s="32">
        <f t="shared" si="102"/>
        <v>-1.7275747508305649E-2</v>
      </c>
      <c r="F191" s="18">
        <f>IF(ISNUMBER(D191), $B199 * E191, "")</f>
        <v>-2591.3621262458473</v>
      </c>
      <c r="G191" s="31">
        <v>14690</v>
      </c>
      <c r="H191" s="32">
        <f t="shared" si="103"/>
        <v>-2.3920265780730896E-2</v>
      </c>
      <c r="I191" s="91">
        <f>IF(ISNUMBER(G191), $B199 * H191, "")</f>
        <v>-3588.0398671096345</v>
      </c>
      <c r="J191" s="15">
        <v>14600</v>
      </c>
      <c r="K191" s="32">
        <f t="shared" si="104"/>
        <v>-2.9900332225913623E-2</v>
      </c>
      <c r="L191" s="18">
        <f>IF(ISNUMBER(J191), $B199 * K191, "")</f>
        <v>-4485.0498338870439</v>
      </c>
      <c r="M191" s="31">
        <v>14650</v>
      </c>
      <c r="N191" s="32">
        <f t="shared" si="105"/>
        <v>-2.6578073089700997E-2</v>
      </c>
      <c r="O191" s="18">
        <f>IF(ISNUMBER(M191), $B199 * N191, "")</f>
        <v>-3986.7109634551498</v>
      </c>
      <c r="Q191" s="146"/>
      <c r="R191" s="146"/>
      <c r="S191" s="146"/>
    </row>
    <row r="192" spans="1:19" ht="17.25" thickBot="1">
      <c r="A192" s="109" t="s">
        <v>120</v>
      </c>
      <c r="B192" s="110">
        <v>99.2</v>
      </c>
      <c r="C192" s="70">
        <v>-2.7450980400000002E-2</v>
      </c>
      <c r="D192" s="15">
        <v>97.9</v>
      </c>
      <c r="E192" s="32">
        <f t="shared" si="102"/>
        <v>-1.310483870967739E-2</v>
      </c>
      <c r="F192" s="18">
        <f>IF(ISNUMBER(D192), $B199 * E192, "")</f>
        <v>-1965.7258064516086</v>
      </c>
      <c r="G192" s="31">
        <v>96.8</v>
      </c>
      <c r="H192" s="32">
        <f t="shared" si="103"/>
        <v>-2.4193548387096833E-2</v>
      </c>
      <c r="I192" s="91">
        <f>IF(ISNUMBER(G192), $B199 * H192, "")</f>
        <v>-3629.0322580645247</v>
      </c>
      <c r="J192" s="15">
        <v>95.3</v>
      </c>
      <c r="K192" s="32">
        <f t="shared" si="104"/>
        <v>-3.9314516129032313E-2</v>
      </c>
      <c r="L192" s="18">
        <f>IF(ISNUMBER(J192), $B199 * K192, "")</f>
        <v>-5897.1774193548472</v>
      </c>
      <c r="M192" s="31">
        <v>95.8</v>
      </c>
      <c r="N192" s="32">
        <f t="shared" si="105"/>
        <v>-3.4274193548387157E-2</v>
      </c>
      <c r="O192" s="18">
        <f>IF(ISNUMBER(M192), $B199 * N192, "")</f>
        <v>-5141.1290322580735</v>
      </c>
      <c r="Q192" s="156"/>
      <c r="R192" s="156"/>
      <c r="S192" s="156"/>
    </row>
    <row r="193" spans="1:19" ht="17.25" thickBot="1">
      <c r="A193" s="111" t="s">
        <v>341</v>
      </c>
      <c r="B193" s="112">
        <v>632</v>
      </c>
      <c r="C193" s="71">
        <v>-3.06748466E-2</v>
      </c>
      <c r="D193" s="20">
        <v>618</v>
      </c>
      <c r="E193" s="21">
        <f t="shared" si="102"/>
        <v>-2.2151898734177215E-2</v>
      </c>
      <c r="F193" s="22">
        <f>IF(ISNUMBER(D193), $B199 * E193, "")</f>
        <v>-3322.7848101265822</v>
      </c>
      <c r="G193" s="30">
        <v>612</v>
      </c>
      <c r="H193" s="21">
        <f t="shared" si="103"/>
        <v>-3.1645569620253167E-2</v>
      </c>
      <c r="I193" s="95">
        <f>IF(ISNUMBER(G193), $B199 * H193, "")</f>
        <v>-4746.835443037975</v>
      </c>
      <c r="J193" s="20">
        <v>611</v>
      </c>
      <c r="K193" s="21">
        <f t="shared" si="104"/>
        <v>-3.3227848101265819E-2</v>
      </c>
      <c r="L193" s="22">
        <f>IF(ISNUMBER(J193), $B199 * K193, "")</f>
        <v>-4984.1772151898731</v>
      </c>
      <c r="M193" s="30">
        <v>613</v>
      </c>
      <c r="N193" s="21">
        <f t="shared" si="105"/>
        <v>-3.0063291139240507E-2</v>
      </c>
      <c r="O193" s="22">
        <f>IF(ISNUMBER(M193), $B199 * N193, "")</f>
        <v>-4509.493670886076</v>
      </c>
      <c r="Q193" s="156"/>
      <c r="R193" s="156"/>
      <c r="S193" s="156"/>
    </row>
    <row r="194" spans="1:19" ht="17.25" thickBot="1">
      <c r="A194" s="109" t="s">
        <v>113</v>
      </c>
      <c r="B194" s="113">
        <v>1100</v>
      </c>
      <c r="C194" s="73">
        <v>-3.08370044E-2</v>
      </c>
      <c r="D194" s="96">
        <v>1125</v>
      </c>
      <c r="E194" s="97">
        <f>IF(ISNUMBER(D194), (D194 - $B194) / $B194, "")</f>
        <v>2.2727272727272728E-2</v>
      </c>
      <c r="F194" s="98">
        <f>IF(ISNUMBER(D194), $B199 * E194, "")</f>
        <v>3409.090909090909</v>
      </c>
      <c r="G194" s="99">
        <v>1090</v>
      </c>
      <c r="H194" s="97">
        <f>IF(ISNUMBER(G194), (G194 - $B194) / $B194, "")</f>
        <v>-9.0909090909090905E-3</v>
      </c>
      <c r="I194" s="100">
        <f>IF(ISNUMBER(G194), $B199 * H194, "")</f>
        <v>-1363.6363636363635</v>
      </c>
      <c r="J194" s="96">
        <v>1085</v>
      </c>
      <c r="K194" s="97">
        <f>IF(ISNUMBER(J194), (J194 - $B194) / $B194, "")</f>
        <v>-1.3636363636363636E-2</v>
      </c>
      <c r="L194" s="98">
        <f>IF(ISNUMBER(J194), $B199 * K194, "")</f>
        <v>-2045.4545454545453</v>
      </c>
      <c r="M194" s="99">
        <v>1090</v>
      </c>
      <c r="N194" s="97">
        <f>IF(ISNUMBER(M194), (M194 - $B194) / $B194, "")</f>
        <v>-9.0909090909090905E-3</v>
      </c>
      <c r="O194" s="98">
        <f>IF(ISNUMBER(M194), $B199 * N194, "")</f>
        <v>-1363.6363636363635</v>
      </c>
      <c r="Q194" s="146"/>
      <c r="R194" s="146"/>
      <c r="S194" s="146"/>
    </row>
    <row r="195" spans="1:19" ht="17.25" thickBot="1">
      <c r="A195" s="109" t="s">
        <v>189</v>
      </c>
      <c r="B195" s="110">
        <v>903</v>
      </c>
      <c r="C195" s="70">
        <v>-3.21543408E-2</v>
      </c>
      <c r="D195" s="15">
        <v>879</v>
      </c>
      <c r="E195" s="32">
        <f t="shared" ref="E195:E198" si="106">IF(ISNUMBER(D195), (D195 - $B195) / $B195, "")</f>
        <v>-2.6578073089700997E-2</v>
      </c>
      <c r="F195" s="18">
        <f>IF(ISNUMBER(D195), $B199 * E195, "")</f>
        <v>-3986.7109634551498</v>
      </c>
      <c r="G195" s="31">
        <v>872</v>
      </c>
      <c r="H195" s="32">
        <f t="shared" ref="H195:H198" si="107">IF(ISNUMBER(G195), (G195 - $B195) / $B195, "")</f>
        <v>-3.4330011074197121E-2</v>
      </c>
      <c r="I195" s="91">
        <f>IF(ISNUMBER(G195), $B199 * H195, "")</f>
        <v>-5149.5016611295678</v>
      </c>
      <c r="J195" s="15">
        <v>862</v>
      </c>
      <c r="K195" s="32">
        <f t="shared" ref="K195:K198" si="108">IF(ISNUMBER(J195), (J195 - $B195) / $B195, "")</f>
        <v>-4.5404208194905871E-2</v>
      </c>
      <c r="L195" s="18">
        <f>IF(ISNUMBER(J195), $B199 * K195, "")</f>
        <v>-6810.6312292358807</v>
      </c>
      <c r="M195" s="31">
        <v>868</v>
      </c>
      <c r="N195" s="32">
        <f t="shared" ref="N195:N198" si="109">IF(ISNUMBER(M195), (M195 - $B195) / $B195, "")</f>
        <v>-3.875968992248062E-2</v>
      </c>
      <c r="O195" s="18">
        <f>IF(ISNUMBER(M195), $B199 * N195, "")</f>
        <v>-5813.9534883720926</v>
      </c>
      <c r="Q195" s="146"/>
      <c r="R195" s="146"/>
      <c r="S195" s="146"/>
    </row>
    <row r="196" spans="1:19" ht="17.25" thickBot="1">
      <c r="A196" s="109" t="s">
        <v>328</v>
      </c>
      <c r="B196" s="110">
        <v>4730</v>
      </c>
      <c r="C196" s="70">
        <v>-3.3707865199999999E-2</v>
      </c>
      <c r="D196" s="15">
        <v>4720</v>
      </c>
      <c r="E196" s="32">
        <f t="shared" si="106"/>
        <v>-2.1141649048625794E-3</v>
      </c>
      <c r="F196" s="18">
        <f>IF(ISNUMBER(D196), $B199 * E196, "")</f>
        <v>-317.12473572938688</v>
      </c>
      <c r="G196" s="31">
        <v>4665</v>
      </c>
      <c r="H196" s="32">
        <f t="shared" si="107"/>
        <v>-1.3742071881606765E-2</v>
      </c>
      <c r="I196" s="91">
        <f>IF(ISNUMBER(G196), $B199 * H196, "")</f>
        <v>-2061.3107822410147</v>
      </c>
      <c r="J196" s="15">
        <v>4605</v>
      </c>
      <c r="K196" s="32">
        <f t="shared" si="108"/>
        <v>-2.6427061310782242E-2</v>
      </c>
      <c r="L196" s="18">
        <f>IF(ISNUMBER(J196), $B199 * K196, "")</f>
        <v>-3964.0591966173365</v>
      </c>
      <c r="M196" s="31">
        <v>4645</v>
      </c>
      <c r="N196" s="32">
        <f t="shared" si="109"/>
        <v>-1.7970401691331923E-2</v>
      </c>
      <c r="O196" s="18">
        <f>IF(ISNUMBER(M196), $B199 * N196, "")</f>
        <v>-2695.5602536997885</v>
      </c>
      <c r="Q196" s="146"/>
      <c r="R196" s="146"/>
      <c r="S196" s="146"/>
    </row>
    <row r="197" spans="1:19">
      <c r="A197" s="109" t="s">
        <v>99</v>
      </c>
      <c r="B197" s="110">
        <v>23640</v>
      </c>
      <c r="C197" s="70">
        <v>-4.0973630800000001E-2</v>
      </c>
      <c r="D197" s="15">
        <v>23120</v>
      </c>
      <c r="E197" s="32">
        <f t="shared" si="106"/>
        <v>-2.1996615905245348E-2</v>
      </c>
      <c r="F197" s="18">
        <f>IF(ISNUMBER(D197), $B199 * E197, "")</f>
        <v>-3299.4923857868021</v>
      </c>
      <c r="G197" s="31">
        <v>23230</v>
      </c>
      <c r="H197" s="32">
        <f t="shared" si="107"/>
        <v>-1.7343485617597292E-2</v>
      </c>
      <c r="I197" s="91">
        <f>IF(ISNUMBER(G197), $B199 * H197, "")</f>
        <v>-2601.5228426395938</v>
      </c>
      <c r="J197" s="15">
        <v>23120</v>
      </c>
      <c r="K197" s="32">
        <f t="shared" si="108"/>
        <v>-2.1996615905245348E-2</v>
      </c>
      <c r="L197" s="18">
        <f>IF(ISNUMBER(J197), $B199 * K197, "")</f>
        <v>-3299.4923857868021</v>
      </c>
      <c r="M197" s="31">
        <v>23200</v>
      </c>
      <c r="N197" s="32">
        <f t="shared" si="109"/>
        <v>-1.8612521150592216E-2</v>
      </c>
      <c r="O197" s="18">
        <f>IF(ISNUMBER(M197), $B199 * N197, "")</f>
        <v>-2791.8781725888325</v>
      </c>
      <c r="Q197" s="135"/>
      <c r="R197" s="136"/>
      <c r="S197" s="137"/>
    </row>
    <row r="198" spans="1:19" ht="17.25" thickBot="1">
      <c r="A198" s="114" t="s">
        <v>68</v>
      </c>
      <c r="B198" s="115">
        <v>253</v>
      </c>
      <c r="C198" s="72">
        <v>-5.2434456900000002E-2</v>
      </c>
      <c r="D198" s="24">
        <v>248</v>
      </c>
      <c r="E198" s="25">
        <f t="shared" si="106"/>
        <v>-1.9762845849802372E-2</v>
      </c>
      <c r="F198" s="94">
        <f>IF(ISNUMBER(D198), $B199 * E198, "")</f>
        <v>-2964.426877470356</v>
      </c>
      <c r="G198" s="92">
        <v>248</v>
      </c>
      <c r="H198" s="25">
        <f t="shared" si="107"/>
        <v>-1.9762845849802372E-2</v>
      </c>
      <c r="I198" s="93">
        <f>IF(ISNUMBER(G198), $B199 * H198, "")</f>
        <v>-2964.426877470356</v>
      </c>
      <c r="J198" s="24">
        <v>246</v>
      </c>
      <c r="K198" s="25">
        <f t="shared" si="108"/>
        <v>-2.766798418972332E-2</v>
      </c>
      <c r="L198" s="94">
        <f>IF(ISNUMBER(J198), $B199 * K198, "")</f>
        <v>-4150.197628458498</v>
      </c>
      <c r="M198" s="92">
        <v>246</v>
      </c>
      <c r="N198" s="25">
        <f t="shared" si="109"/>
        <v>-2.766798418972332E-2</v>
      </c>
      <c r="O198" s="94">
        <f>IF(ISNUMBER(M198), $B199 * N198, "")</f>
        <v>-4150.197628458498</v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-9.7254391887348808E-3</v>
      </c>
      <c r="F199" s="28">
        <f>SUM(F179:F198)</f>
        <v>-29176.317566204641</v>
      </c>
      <c r="G199" s="26" t="s">
        <v>258</v>
      </c>
      <c r="H199" s="27">
        <f>IF(COUNT(H179:H198), SUM(H179:H198) / COUNT(H179:H198), 0)</f>
        <v>-1.627324449429679E-2</v>
      </c>
      <c r="I199" s="28">
        <f>SUM(I179:I198)</f>
        <v>-48819.733482890355</v>
      </c>
      <c r="J199" s="26" t="s">
        <v>258</v>
      </c>
      <c r="K199" s="27">
        <f>IF(COUNT(K179:K198), SUM(K179:K198) / COUNT(K179:K198), 0)</f>
        <v>-2.1832162718260526E-2</v>
      </c>
      <c r="L199" s="28">
        <f>SUM(L179:L198)</f>
        <v>-65496.488154781582</v>
      </c>
      <c r="M199" s="26" t="s">
        <v>258</v>
      </c>
      <c r="N199" s="27">
        <f>IF(COUNT(N179:N198), SUM(N179:N198) / COUNT(N179:N198), 0)</f>
        <v>-1.9309887875051363E-2</v>
      </c>
      <c r="O199" s="28">
        <f>SUM(O179:O198)</f>
        <v>-57929.663625154084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B13E5-09E7-4191-A87E-6F844B834800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44933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45,421 KRW (1.51%)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47,817 KRW (1.59%)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74,547 KRW (2.48%)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142,006 KRW (4.73%)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21539000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1.0224474E-3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2023-01-07(토) 오전 00:00</v>
      </c>
      <c r="C15" s="196"/>
      <c r="D15" s="170" t="str">
        <f>TEXT($G$1, "[$-ko-KR]yyyy-mm-dd(ddd) ") &amp; "오후 14:00"</f>
        <v>2023-01-07(토) 오후 14:00</v>
      </c>
      <c r="E15" s="171"/>
      <c r="F15" s="172"/>
      <c r="G15" s="170" t="str">
        <f>TEXT($G$1, "[$-ko-KR]yyyy-mm-dd(ddd) ") &amp; "오후 19:00"</f>
        <v>2023-01-07(토) 오후 19:00</v>
      </c>
      <c r="H15" s="171"/>
      <c r="I15" s="172"/>
      <c r="J15" s="170" t="str">
        <f>TEXT($G$1, "[$-ko-KR]yyyy-mm-dd(ddd) ") &amp; "오후 21:00"</f>
        <v>2023-01-07(토) 오후 21:00</v>
      </c>
      <c r="K15" s="171"/>
      <c r="L15" s="172"/>
      <c r="M15" s="170" t="str">
        <f>TEXT($G$1+1, "[$-ko-KR]yyyy-mm-dd(ddd) ") &amp; "오전 00:00"</f>
        <v>2023-01-08(일)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21539000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1.0224474E-3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2023-01-07(토) 오전 00:00</v>
      </c>
      <c r="C42" s="198"/>
      <c r="D42" s="170" t="str">
        <f>TEXT($G$1, "[$-ko-KR]yyyy-mm-dd(ddd) ") &amp; "오후 14:00"</f>
        <v>2023-01-07(토) 오후 14:00</v>
      </c>
      <c r="E42" s="171"/>
      <c r="F42" s="172"/>
      <c r="G42" s="170" t="str">
        <f>TEXT($G$1, "[$-ko-KR]yyyy-mm-dd(ddd) ") &amp; "오후 19:00"</f>
        <v>2023-01-07(토) 오후 19:00</v>
      </c>
      <c r="H42" s="171"/>
      <c r="I42" s="172"/>
      <c r="J42" s="170" t="str">
        <f>TEXT($G$1, "[$-ko-KR]yyyy-mm-dd(ddd) ") &amp; "오후 21:00"</f>
        <v>2023-01-07(토) 오후 21:00</v>
      </c>
      <c r="K42" s="171"/>
      <c r="L42" s="172"/>
      <c r="M42" s="170" t="str">
        <f>TEXT($G$1+1, "[$-ko-KR]yyyy-mm-dd(ddd) ") &amp; "오전 00:00"</f>
        <v>2023-01-08(일)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107</v>
      </c>
      <c r="B44" s="108">
        <v>36</v>
      </c>
      <c r="C44" s="69">
        <v>3.1518624600000003E-2</v>
      </c>
      <c r="D44" s="13">
        <v>35.5</v>
      </c>
      <c r="E44" s="14">
        <f>IF(ISNUMBER(D44), (D44 - $B44) / $B44, "")</f>
        <v>-1.3888888888888888E-2</v>
      </c>
      <c r="F44" s="16">
        <f>IF(ISNUMBER(D44), $B64 * E44, "")</f>
        <v>-2083.333333333333</v>
      </c>
      <c r="G44" s="29">
        <v>35.299999999999997</v>
      </c>
      <c r="H44" s="14">
        <f>IF(ISNUMBER(G44), (G44 - $B44) / $B44, "")</f>
        <v>-1.9444444444444525E-2</v>
      </c>
      <c r="I44" s="90">
        <f>IF(ISNUMBER(G44), $B64 * H44, "")</f>
        <v>-2916.6666666666788</v>
      </c>
      <c r="J44" s="13">
        <v>35.4</v>
      </c>
      <c r="K44" s="14">
        <f>IF(ISNUMBER(J44), (J44 - $B44) / $B44, "")</f>
        <v>-1.6666666666666705E-2</v>
      </c>
      <c r="L44" s="16">
        <f>IF(ISNUMBER(J44), $B64 * K44, "")</f>
        <v>-2500.0000000000059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 t="s">
        <v>205</v>
      </c>
      <c r="B45" s="110">
        <v>93.2</v>
      </c>
      <c r="C45" s="70">
        <v>2.1929824600000002E-2</v>
      </c>
      <c r="D45" s="15">
        <v>93.2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93</v>
      </c>
      <c r="H45" s="32">
        <f t="shared" ref="H45:H48" si="15">IF(ISNUMBER(G45), (G45 - $B45) / $B45, "")</f>
        <v>-2.1459227467811462E-3</v>
      </c>
      <c r="I45" s="91">
        <f>IF(ISNUMBER(G45), $B64 * H45, "")</f>
        <v>-321.88841201717196</v>
      </c>
      <c r="J45" s="15">
        <v>93.1</v>
      </c>
      <c r="K45" s="32">
        <f t="shared" ref="K45:K48" si="16">IF(ISNUMBER(J45), (J45 - $B45) / $B45, "")</f>
        <v>-1.0729613733906494E-3</v>
      </c>
      <c r="L45" s="18">
        <f>IF(ISNUMBER(J45), $B64 * K45, "")</f>
        <v>-160.9442060085974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 t="s">
        <v>51</v>
      </c>
      <c r="B46" s="110">
        <v>94.6</v>
      </c>
      <c r="C46" s="70">
        <v>1.28479657E-2</v>
      </c>
      <c r="D46" s="15">
        <v>94.7</v>
      </c>
      <c r="E46" s="32">
        <f t="shared" si="14"/>
        <v>1.0570824524313799E-3</v>
      </c>
      <c r="F46" s="18">
        <f>IF(ISNUMBER(D46), $B64 * E46, "")</f>
        <v>158.56236786470697</v>
      </c>
      <c r="G46" s="31">
        <v>95.4</v>
      </c>
      <c r="H46" s="32">
        <f t="shared" si="15"/>
        <v>8.4566596194504372E-3</v>
      </c>
      <c r="I46" s="91">
        <f>IF(ISNUMBER(G46), $B64 * H46, "")</f>
        <v>1268.4989429175655</v>
      </c>
      <c r="J46" s="15">
        <v>95.3</v>
      </c>
      <c r="K46" s="32">
        <f t="shared" si="16"/>
        <v>7.3995771670190584E-3</v>
      </c>
      <c r="L46" s="18">
        <f>IF(ISNUMBER(J46), $B64 * K46, "")</f>
        <v>1109.9365750528586</v>
      </c>
      <c r="M46" s="31"/>
      <c r="N46" s="32" t="str">
        <f t="shared" si="17"/>
        <v/>
      </c>
      <c r="O46" s="18" t="str">
        <f>IF(ISNUMBER(M46), $B64 * N46, "")</f>
        <v/>
      </c>
      <c r="Q46" s="146"/>
      <c r="R46" s="146"/>
      <c r="S46" s="146"/>
    </row>
    <row r="47" spans="1:19" ht="17.25" customHeight="1" thickBot="1">
      <c r="A47" s="109" t="s">
        <v>195</v>
      </c>
      <c r="B47" s="110">
        <v>5.58</v>
      </c>
      <c r="C47" s="70">
        <v>1.7953321E-3</v>
      </c>
      <c r="D47" s="15">
        <v>5.63</v>
      </c>
      <c r="E47" s="32">
        <f t="shared" si="14"/>
        <v>8.9605734767024773E-3</v>
      </c>
      <c r="F47" s="18">
        <f>IF(ISNUMBER(D47), $B64 * E47, "")</f>
        <v>1344.0860215053715</v>
      </c>
      <c r="G47" s="31">
        <v>5.6</v>
      </c>
      <c r="H47" s="32">
        <f t="shared" si="15"/>
        <v>3.5842293906809273E-3</v>
      </c>
      <c r="I47" s="91">
        <f>IF(ISNUMBER(G47), $B64 * H47, "")</f>
        <v>537.63440860213905</v>
      </c>
      <c r="J47" s="15">
        <v>5.6</v>
      </c>
      <c r="K47" s="32">
        <f t="shared" si="16"/>
        <v>3.5842293906809273E-3</v>
      </c>
      <c r="L47" s="18">
        <f>IF(ISNUMBER(J47), $B64 * K47, "")</f>
        <v>537.63440860213905</v>
      </c>
      <c r="M47" s="31"/>
      <c r="N47" s="32" t="str">
        <f t="shared" si="17"/>
        <v/>
      </c>
      <c r="O47" s="18" t="str">
        <f>IF(ISNUMBER(M47), $B64 * N47, "")</f>
        <v/>
      </c>
      <c r="Q47" s="146"/>
      <c r="R47" s="146"/>
      <c r="S47" s="146"/>
    </row>
    <row r="48" spans="1:19" ht="17.25" customHeight="1" thickBot="1">
      <c r="A48" s="111" t="s">
        <v>324</v>
      </c>
      <c r="B48" s="112">
        <v>75.3</v>
      </c>
      <c r="C48" s="71">
        <v>-1.3262599000000001E-3</v>
      </c>
      <c r="D48" s="20">
        <v>76.7</v>
      </c>
      <c r="E48" s="21">
        <f t="shared" si="14"/>
        <v>1.8592297476759705E-2</v>
      </c>
      <c r="F48" s="22">
        <f>IF(ISNUMBER(D48), $B64 * E48, "")</f>
        <v>2788.8446215139556</v>
      </c>
      <c r="G48" s="30">
        <v>77.3</v>
      </c>
      <c r="H48" s="21">
        <f t="shared" si="15"/>
        <v>2.6560424966799469E-2</v>
      </c>
      <c r="I48" s="95">
        <f>IF(ISNUMBER(G48), $B64 * H48, "")</f>
        <v>3984.0637450199206</v>
      </c>
      <c r="J48" s="20">
        <v>77.400000000000006</v>
      </c>
      <c r="K48" s="21">
        <f t="shared" si="16"/>
        <v>2.7888446215139556E-2</v>
      </c>
      <c r="L48" s="22">
        <f>IF(ISNUMBER(J48), $B64 * K48, "")</f>
        <v>4183.2669322709335</v>
      </c>
      <c r="M48" s="30"/>
      <c r="N48" s="21" t="str">
        <f t="shared" si="17"/>
        <v/>
      </c>
      <c r="O48" s="22" t="str">
        <f>IF(ISNUMBER(M48), $B64 * N48, "")</f>
        <v/>
      </c>
      <c r="Q48" s="146"/>
      <c r="R48" s="146"/>
      <c r="S48" s="146"/>
    </row>
    <row r="49" spans="1:19" ht="17.25" customHeight="1" thickBot="1">
      <c r="A49" s="109" t="s">
        <v>126</v>
      </c>
      <c r="B49" s="113">
        <v>21.4</v>
      </c>
      <c r="C49" s="73">
        <v>-1.3824884799999999E-2</v>
      </c>
      <c r="D49" s="96">
        <v>22.2</v>
      </c>
      <c r="E49" s="97">
        <f>IF(ISNUMBER(D49), (D49 - $B49) / $B49, "")</f>
        <v>3.7383177570093497E-2</v>
      </c>
      <c r="F49" s="98">
        <f>IF(ISNUMBER(D49), $B64 * E49, "")</f>
        <v>5607.4766355140246</v>
      </c>
      <c r="G49" s="99">
        <v>22.1</v>
      </c>
      <c r="H49" s="97">
        <f>IF(ISNUMBER(G49), (G49 - $B49) / $B49, "")</f>
        <v>3.2710280373831911E-2</v>
      </c>
      <c r="I49" s="100">
        <f>IF(ISNUMBER(G49), $B64 * H49, "")</f>
        <v>4906.5420560747871</v>
      </c>
      <c r="J49" s="96">
        <v>22</v>
      </c>
      <c r="K49" s="97">
        <f>IF(ISNUMBER(J49), (J49 - $B49) / $B49, "")</f>
        <v>2.8037383177570162E-2</v>
      </c>
      <c r="L49" s="98">
        <f>IF(ISNUMBER(J49), $B64 * K49, "")</f>
        <v>4205.6074766355241</v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46"/>
      <c r="R49" s="146"/>
      <c r="S49" s="146"/>
    </row>
    <row r="50" spans="1:19" ht="17.25" customHeight="1" thickBot="1">
      <c r="A50" s="109" t="s">
        <v>253</v>
      </c>
      <c r="B50" s="110">
        <v>90.3</v>
      </c>
      <c r="C50" s="70">
        <v>-1.63398693E-2</v>
      </c>
      <c r="D50" s="15">
        <v>91.8</v>
      </c>
      <c r="E50" s="32">
        <f t="shared" ref="E50:E53" si="18">IF(ISNUMBER(D50), (D50 - $B50) / $B50, "")</f>
        <v>1.6611295681063124E-2</v>
      </c>
      <c r="F50" s="18">
        <f>IF(ISNUMBER(D50), $B64 * E50, "")</f>
        <v>2491.6943521594685</v>
      </c>
      <c r="G50" s="31">
        <v>92</v>
      </c>
      <c r="H50" s="32">
        <f t="shared" ref="H50:H53" si="19">IF(ISNUMBER(G50), (G50 - $B50) / $B50, "")</f>
        <v>1.8826135105204905E-2</v>
      </c>
      <c r="I50" s="91">
        <f>IF(ISNUMBER(G50), $B64 * H50, "")</f>
        <v>2823.9202657807359</v>
      </c>
      <c r="J50" s="15">
        <v>91.7</v>
      </c>
      <c r="K50" s="32">
        <f t="shared" ref="K50:K53" si="20">IF(ISNUMBER(J50), (J50 - $B50) / $B50, "")</f>
        <v>1.5503875968992312E-2</v>
      </c>
      <c r="L50" s="18">
        <f>IF(ISNUMBER(J50), $B64 * K50, "")</f>
        <v>2325.5813953488469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6"/>
      <c r="R50" s="146"/>
      <c r="S50" s="146"/>
    </row>
    <row r="51" spans="1:19" ht="17.25" customHeight="1" thickBot="1">
      <c r="A51" s="109" t="s">
        <v>64</v>
      </c>
      <c r="B51" s="110">
        <v>8.9499999999999993</v>
      </c>
      <c r="C51" s="70">
        <v>-1.97152245E-2</v>
      </c>
      <c r="D51" s="15">
        <v>9.2200000000000006</v>
      </c>
      <c r="E51" s="32">
        <f t="shared" si="18"/>
        <v>3.0167597765363281E-2</v>
      </c>
      <c r="F51" s="18">
        <f>IF(ISNUMBER(D51), $B64 * E51, "")</f>
        <v>4525.139664804492</v>
      </c>
      <c r="G51" s="31">
        <v>9.16</v>
      </c>
      <c r="H51" s="32">
        <f t="shared" si="19"/>
        <v>2.3463687150838086E-2</v>
      </c>
      <c r="I51" s="91">
        <f>IF(ISNUMBER(G51), $B64 * H51, "")</f>
        <v>3519.553072625713</v>
      </c>
      <c r="J51" s="15">
        <v>9.14</v>
      </c>
      <c r="K51" s="32">
        <f t="shared" si="20"/>
        <v>2.1229050279329753E-2</v>
      </c>
      <c r="L51" s="18">
        <f>IF(ISNUMBER(J51), $B64 * K51, "")</f>
        <v>3184.3575418994628</v>
      </c>
      <c r="M51" s="31"/>
      <c r="N51" s="32" t="str">
        <f t="shared" si="21"/>
        <v/>
      </c>
      <c r="O51" s="18" t="str">
        <f>IF(ISNUMBER(M51), $B64 * N51, "")</f>
        <v/>
      </c>
      <c r="Q51" s="146"/>
      <c r="R51" s="146"/>
      <c r="S51" s="146"/>
    </row>
    <row r="52" spans="1:19" ht="17.25" customHeight="1" thickBot="1">
      <c r="A52" s="109" t="s">
        <v>155</v>
      </c>
      <c r="B52" s="110">
        <v>24.5</v>
      </c>
      <c r="C52" s="70">
        <v>-0.02</v>
      </c>
      <c r="D52" s="15">
        <v>24.8</v>
      </c>
      <c r="E52" s="32">
        <f t="shared" si="18"/>
        <v>1.2244897959183702E-2</v>
      </c>
      <c r="F52" s="18">
        <f>IF(ISNUMBER(D52), $B64 * E52, "")</f>
        <v>1836.7346938775554</v>
      </c>
      <c r="G52" s="31">
        <v>24.8</v>
      </c>
      <c r="H52" s="32">
        <f t="shared" si="19"/>
        <v>1.2244897959183702E-2</v>
      </c>
      <c r="I52" s="91">
        <f>IF(ISNUMBER(G52), $B64 * H52, "")</f>
        <v>1836.7346938775554</v>
      </c>
      <c r="J52" s="15">
        <v>24.8</v>
      </c>
      <c r="K52" s="32">
        <f t="shared" si="20"/>
        <v>1.2244897959183702E-2</v>
      </c>
      <c r="L52" s="18">
        <f>IF(ISNUMBER(J52), $B64 * K52, "")</f>
        <v>1836.7346938775554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 t="s">
        <v>181</v>
      </c>
      <c r="B53" s="115">
        <v>3.83</v>
      </c>
      <c r="C53" s="72">
        <v>-2.0460358099999999E-2</v>
      </c>
      <c r="D53" s="24">
        <v>3.88</v>
      </c>
      <c r="E53" s="25">
        <f t="shared" si="18"/>
        <v>1.3054830287206221E-2</v>
      </c>
      <c r="F53" s="94">
        <f>IF(ISNUMBER(D53), $B64 * E53, "")</f>
        <v>1958.224543080933</v>
      </c>
      <c r="G53" s="92">
        <v>3.87</v>
      </c>
      <c r="H53" s="25">
        <f t="shared" si="19"/>
        <v>1.0443864229765022E-2</v>
      </c>
      <c r="I53" s="93">
        <f>IF(ISNUMBER(G53), $B64 * H53, "")</f>
        <v>1566.5796344647533</v>
      </c>
      <c r="J53" s="24">
        <v>3.86</v>
      </c>
      <c r="K53" s="25">
        <f t="shared" si="20"/>
        <v>7.8328981723237087E-3</v>
      </c>
      <c r="L53" s="94">
        <f>IF(ISNUMBER(J53), $B64 * K53, "")</f>
        <v>1174.9347258485564</v>
      </c>
      <c r="M53" s="92"/>
      <c r="N53" s="25" t="str">
        <f t="shared" si="21"/>
        <v/>
      </c>
      <c r="O53" s="94" t="str">
        <f>IF(ISNUMBER(M53), $B64 * N53, "")</f>
        <v/>
      </c>
      <c r="Q53" s="147"/>
      <c r="R53" s="148"/>
      <c r="S53" s="149"/>
    </row>
    <row r="54" spans="1:19" ht="17.25" customHeight="1">
      <c r="A54" s="107" t="s">
        <v>221</v>
      </c>
      <c r="B54" s="108">
        <v>17.399999999999999</v>
      </c>
      <c r="C54" s="69">
        <v>-2.2471910099999999E-2</v>
      </c>
      <c r="D54" s="13">
        <v>17.600000000000001</v>
      </c>
      <c r="E54" s="14">
        <f>IF(ISNUMBER(D54), (D54 - $B54) / $B54, "")</f>
        <v>1.1494252873563383E-2</v>
      </c>
      <c r="F54" s="16">
        <f>IF(ISNUMBER(D54), $B64 * E54, "")</f>
        <v>1724.1379310345073</v>
      </c>
      <c r="G54" s="29">
        <v>17.600000000000001</v>
      </c>
      <c r="H54" s="14">
        <f>IF(ISNUMBER(G54), (G54 - $B54) / $B54, "")</f>
        <v>1.1494252873563383E-2</v>
      </c>
      <c r="I54" s="90">
        <f>IF(ISNUMBER(G54), $B64 * H54, "")</f>
        <v>1724.1379310345073</v>
      </c>
      <c r="J54" s="13">
        <v>17.600000000000001</v>
      </c>
      <c r="K54" s="14">
        <f>IF(ISNUMBER(J54), (J54 - $B54) / $B54, "")</f>
        <v>1.1494252873563383E-2</v>
      </c>
      <c r="L54" s="16">
        <f>IF(ISNUMBER(J54), $B64 * K54, "")</f>
        <v>1724.1379310345073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0"/>
      <c r="R54" s="151"/>
      <c r="S54" s="152"/>
    </row>
    <row r="55" spans="1:19" ht="17.25" customHeight="1" thickBot="1">
      <c r="A55" s="109" t="s">
        <v>203</v>
      </c>
      <c r="B55" s="110">
        <v>2.94</v>
      </c>
      <c r="C55" s="70">
        <v>-2.3255814E-2</v>
      </c>
      <c r="D55" s="15">
        <v>3</v>
      </c>
      <c r="E55" s="32">
        <f t="shared" ref="E55:E58" si="22">IF(ISNUMBER(D55), (D55 - $B55) / $B55, "")</f>
        <v>2.0408163265306142E-2</v>
      </c>
      <c r="F55" s="18">
        <f>IF(ISNUMBER(D55), $B64 * E55, "")</f>
        <v>3061.2244897959213</v>
      </c>
      <c r="G55" s="31">
        <v>3</v>
      </c>
      <c r="H55" s="32">
        <f t="shared" ref="H55:H58" si="23">IF(ISNUMBER(G55), (G55 - $B55) / $B55, "")</f>
        <v>2.0408163265306142E-2</v>
      </c>
      <c r="I55" s="91">
        <f>IF(ISNUMBER(G55), $B64 * H55, "")</f>
        <v>3061.2244897959213</v>
      </c>
      <c r="J55" s="15">
        <v>3</v>
      </c>
      <c r="K55" s="32">
        <f t="shared" ref="K55:K58" si="24">IF(ISNUMBER(J55), (J55 - $B55) / $B55, "")</f>
        <v>2.0408163265306142E-2</v>
      </c>
      <c r="L55" s="18">
        <f>IF(ISNUMBER(J55), $B64 * K55, "")</f>
        <v>3061.2244897959213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3"/>
      <c r="R55" s="154"/>
      <c r="S55" s="155"/>
    </row>
    <row r="56" spans="1:19" ht="17.25" customHeight="1" thickBot="1">
      <c r="A56" s="109" t="s">
        <v>143</v>
      </c>
      <c r="B56" s="110">
        <v>3.32</v>
      </c>
      <c r="C56" s="70">
        <v>-2.35294118E-2</v>
      </c>
      <c r="D56" s="15">
        <v>3.38</v>
      </c>
      <c r="E56" s="32">
        <f t="shared" si="22"/>
        <v>1.8072289156626523E-2</v>
      </c>
      <c r="F56" s="18">
        <f>IF(ISNUMBER(D56), $B64 * E56, "")</f>
        <v>2710.8433734939786</v>
      </c>
      <c r="G56" s="31">
        <v>3.37</v>
      </c>
      <c r="H56" s="32">
        <f t="shared" si="23"/>
        <v>1.5060240963855503E-2</v>
      </c>
      <c r="I56" s="91">
        <f>IF(ISNUMBER(G56), $B64 * H56, "")</f>
        <v>2259.0361445783255</v>
      </c>
      <c r="J56" s="15">
        <v>3.37</v>
      </c>
      <c r="K56" s="32">
        <f t="shared" si="24"/>
        <v>1.5060240963855503E-2</v>
      </c>
      <c r="L56" s="18">
        <f>IF(ISNUMBER(J56), $B64 * K56, "")</f>
        <v>2259.0361445783255</v>
      </c>
      <c r="M56" s="31"/>
      <c r="N56" s="32" t="str">
        <f t="shared" si="25"/>
        <v/>
      </c>
      <c r="O56" s="18" t="str">
        <f>IF(ISNUMBER(M56), $B64 * N56, "")</f>
        <v/>
      </c>
      <c r="Q56" s="146"/>
      <c r="R56" s="146"/>
      <c r="S56" s="146"/>
    </row>
    <row r="57" spans="1:19" ht="17.25" customHeight="1" thickBot="1">
      <c r="A57" s="109" t="s">
        <v>122</v>
      </c>
      <c r="B57" s="110">
        <v>20.399999999999999</v>
      </c>
      <c r="C57" s="70">
        <v>-2.3923445000000002E-2</v>
      </c>
      <c r="D57" s="15">
        <v>21</v>
      </c>
      <c r="E57" s="32">
        <f t="shared" si="22"/>
        <v>2.9411764705882425E-2</v>
      </c>
      <c r="F57" s="18">
        <f>IF(ISNUMBER(D57), $B64 * E57, "")</f>
        <v>4411.7647058823641</v>
      </c>
      <c r="G57" s="31">
        <v>20.7</v>
      </c>
      <c r="H57" s="32">
        <f t="shared" si="23"/>
        <v>1.4705882352941213E-2</v>
      </c>
      <c r="I57" s="91">
        <f>IF(ISNUMBER(G57), $B64 * H57, "")</f>
        <v>2205.882352941182</v>
      </c>
      <c r="J57" s="15">
        <v>20.7</v>
      </c>
      <c r="K57" s="32">
        <f t="shared" si="24"/>
        <v>1.4705882352941213E-2</v>
      </c>
      <c r="L57" s="18">
        <f>IF(ISNUMBER(J57), $B64 * K57, "")</f>
        <v>2205.882352941182</v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 t="s">
        <v>138</v>
      </c>
      <c r="B58" s="112">
        <v>20.2</v>
      </c>
      <c r="C58" s="71">
        <v>-2.4154589399999999E-2</v>
      </c>
      <c r="D58" s="20">
        <v>21.2</v>
      </c>
      <c r="E58" s="21">
        <f t="shared" si="22"/>
        <v>4.9504950495049507E-2</v>
      </c>
      <c r="F58" s="22">
        <f>IF(ISNUMBER(D58), $B64 * E58, "")</f>
        <v>7425.742574257426</v>
      </c>
      <c r="G58" s="30">
        <v>21</v>
      </c>
      <c r="H58" s="21">
        <f t="shared" si="23"/>
        <v>3.9603960396039639E-2</v>
      </c>
      <c r="I58" s="95">
        <f>IF(ISNUMBER(G58), $B64 * H58, "")</f>
        <v>5940.5940594059457</v>
      </c>
      <c r="J58" s="20">
        <v>21.1</v>
      </c>
      <c r="K58" s="21">
        <f t="shared" si="24"/>
        <v>4.4554455445544663E-2</v>
      </c>
      <c r="L58" s="22">
        <f>IF(ISNUMBER(J58), $B64 * K58, "")</f>
        <v>6683.1683168316995</v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 t="s">
        <v>56</v>
      </c>
      <c r="B59" s="113">
        <v>36.299999999999997</v>
      </c>
      <c r="C59" s="73">
        <v>-2.4193548400000001E-2</v>
      </c>
      <c r="D59" s="96">
        <v>37</v>
      </c>
      <c r="E59" s="97">
        <f>IF(ISNUMBER(D59), (D59 - $B59) / $B59, "")</f>
        <v>1.928374655647391E-2</v>
      </c>
      <c r="F59" s="98">
        <f>IF(ISNUMBER(D59), $B64 * E59, "")</f>
        <v>2892.5619834710865</v>
      </c>
      <c r="G59" s="99">
        <v>37</v>
      </c>
      <c r="H59" s="97">
        <f>IF(ISNUMBER(G59), (G59 - $B59) / $B59, "")</f>
        <v>1.928374655647391E-2</v>
      </c>
      <c r="I59" s="100">
        <f>IF(ISNUMBER(G59), $B64 * H59, "")</f>
        <v>2892.5619834710865</v>
      </c>
      <c r="J59" s="96">
        <v>37</v>
      </c>
      <c r="K59" s="97">
        <f>IF(ISNUMBER(J59), (J59 - $B59) / $B59, "")</f>
        <v>1.928374655647391E-2</v>
      </c>
      <c r="L59" s="98">
        <f>IF(ISNUMBER(J59), $B64 * K59, "")</f>
        <v>2892.5619834710865</v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46"/>
      <c r="R59" s="146"/>
      <c r="S59" s="146"/>
    </row>
    <row r="60" spans="1:19" ht="17.25" customHeight="1" thickBot="1">
      <c r="A60" s="109" t="s">
        <v>227</v>
      </c>
      <c r="B60" s="110">
        <v>34.299999999999997</v>
      </c>
      <c r="C60" s="70">
        <v>-2.5568181799999999E-2</v>
      </c>
      <c r="D60" s="15">
        <v>35.299999999999997</v>
      </c>
      <c r="E60" s="32">
        <f t="shared" ref="E60:E63" si="26">IF(ISNUMBER(D60), (D60 - $B60) / $B60, "")</f>
        <v>2.915451895043732E-2</v>
      </c>
      <c r="F60" s="18">
        <f>IF(ISNUMBER(D60), $B64 * E60, "")</f>
        <v>4373.1778425655984</v>
      </c>
      <c r="G60" s="31">
        <v>35.299999999999997</v>
      </c>
      <c r="H60" s="32">
        <f t="shared" ref="H60:H63" si="27">IF(ISNUMBER(G60), (G60 - $B60) / $B60, "")</f>
        <v>2.915451895043732E-2</v>
      </c>
      <c r="I60" s="91">
        <f>IF(ISNUMBER(G60), $B64 * H60, "")</f>
        <v>4373.1778425655984</v>
      </c>
      <c r="J60" s="15">
        <v>35.700000000000003</v>
      </c>
      <c r="K60" s="32">
        <f t="shared" ref="K60:K63" si="28">IF(ISNUMBER(J60), (J60 - $B60) / $B60, "")</f>
        <v>4.0816326530612415E-2</v>
      </c>
      <c r="L60" s="18">
        <f>IF(ISNUMBER(J60), $B64 * K60, "")</f>
        <v>6122.4489795918626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6"/>
      <c r="R60" s="146"/>
      <c r="S60" s="146"/>
    </row>
    <row r="61" spans="1:19" ht="17.25" customHeight="1" thickBot="1">
      <c r="A61" s="109" t="s">
        <v>193</v>
      </c>
      <c r="B61" s="110">
        <v>15.1</v>
      </c>
      <c r="C61" s="70">
        <v>-2.5806451599999999E-2</v>
      </c>
      <c r="D61" s="15">
        <v>15.3</v>
      </c>
      <c r="E61" s="32">
        <f t="shared" si="26"/>
        <v>1.3245033112582853E-2</v>
      </c>
      <c r="F61" s="18">
        <f>IF(ISNUMBER(D61), $B64 * E61, "")</f>
        <v>1986.7549668874278</v>
      </c>
      <c r="G61" s="31">
        <v>15.3</v>
      </c>
      <c r="H61" s="32">
        <f t="shared" si="27"/>
        <v>1.3245033112582853E-2</v>
      </c>
      <c r="I61" s="91">
        <f>IF(ISNUMBER(G61), $B64 * H61, "")</f>
        <v>1986.7549668874278</v>
      </c>
      <c r="J61" s="15">
        <v>15.3</v>
      </c>
      <c r="K61" s="32">
        <f t="shared" si="28"/>
        <v>1.3245033112582853E-2</v>
      </c>
      <c r="L61" s="18">
        <f>IF(ISNUMBER(J61), $B64 * K61, "")</f>
        <v>1986.7549668874278</v>
      </c>
      <c r="M61" s="31"/>
      <c r="N61" s="32" t="str">
        <f t="shared" si="29"/>
        <v/>
      </c>
      <c r="O61" s="18" t="str">
        <f>IF(ISNUMBER(M61), $B64 * N61, "")</f>
        <v/>
      </c>
      <c r="Q61" s="146"/>
      <c r="R61" s="146"/>
      <c r="S61" s="146"/>
    </row>
    <row r="62" spans="1:19" ht="17.25" customHeight="1">
      <c r="A62" s="109" t="s">
        <v>197</v>
      </c>
      <c r="B62" s="110">
        <v>5.52</v>
      </c>
      <c r="C62" s="70">
        <v>-2.6455026499999999E-2</v>
      </c>
      <c r="D62" s="15">
        <v>5.61</v>
      </c>
      <c r="E62" s="32">
        <f t="shared" si="26"/>
        <v>1.6304347826087091E-2</v>
      </c>
      <c r="F62" s="18">
        <f>IF(ISNUMBER(D62), $B64 * E62, "")</f>
        <v>2445.6521739130635</v>
      </c>
      <c r="G62" s="31">
        <v>5.59</v>
      </c>
      <c r="H62" s="32">
        <f t="shared" si="27"/>
        <v>1.2681159420289908E-2</v>
      </c>
      <c r="I62" s="91">
        <f>IF(ISNUMBER(G62), $B64 * H62, "")</f>
        <v>1902.1739130434862</v>
      </c>
      <c r="J62" s="15">
        <v>5.59</v>
      </c>
      <c r="K62" s="32">
        <f t="shared" si="28"/>
        <v>1.2681159420289908E-2</v>
      </c>
      <c r="L62" s="18">
        <f>IF(ISNUMBER(J62), $B64 * K62, "")</f>
        <v>1902.1739130434862</v>
      </c>
      <c r="M62" s="31"/>
      <c r="N62" s="32" t="str">
        <f t="shared" si="29"/>
        <v/>
      </c>
      <c r="O62" s="18" t="str">
        <f>IF(ISNUMBER(M62), $B64 * N62, "")</f>
        <v/>
      </c>
      <c r="Q62" s="135"/>
      <c r="R62" s="136"/>
      <c r="S62" s="137"/>
    </row>
    <row r="63" spans="1:19" ht="17.25" customHeight="1" thickBot="1">
      <c r="A63" s="114" t="s">
        <v>141</v>
      </c>
      <c r="B63" s="115">
        <v>2.92</v>
      </c>
      <c r="C63" s="72">
        <v>-2.6666666700000001E-2</v>
      </c>
      <c r="D63" s="24">
        <v>2.97</v>
      </c>
      <c r="E63" s="25">
        <f t="shared" si="26"/>
        <v>1.7123287671232969E-2</v>
      </c>
      <c r="F63" s="94">
        <f>IF(ISNUMBER(D63), $B64 * E63, "")</f>
        <v>2568.4931506849452</v>
      </c>
      <c r="G63" s="92">
        <v>2.97</v>
      </c>
      <c r="H63" s="25">
        <f t="shared" si="27"/>
        <v>1.7123287671232969E-2</v>
      </c>
      <c r="I63" s="93">
        <f>IF(ISNUMBER(G63), $B64 * H63, "")</f>
        <v>2568.4931506849452</v>
      </c>
      <c r="J63" s="24">
        <v>2.98</v>
      </c>
      <c r="K63" s="25">
        <f t="shared" si="28"/>
        <v>2.0547945205479472E-2</v>
      </c>
      <c r="L63" s="94">
        <f>IF(ISNUMBER(J63), $B64 * K63, "")</f>
        <v>3082.1917808219209</v>
      </c>
      <c r="M63" s="92"/>
      <c r="N63" s="25" t="str">
        <f t="shared" si="29"/>
        <v/>
      </c>
      <c r="O63" s="94" t="str">
        <f>IF(ISNUMBER(M63), $B64 * N63, "")</f>
        <v/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1.7409260919657825E-2</v>
      </c>
      <c r="F64" s="28">
        <f>SUM(F44:F63)</f>
        <v>52227.782758973502</v>
      </c>
      <c r="G64" s="26" t="s">
        <v>258</v>
      </c>
      <c r="H64" s="27">
        <f>IF(COUNT(H44:H63), SUM(H44:H63) / COUNT(H44:H63), 0)</f>
        <v>1.5373002858362581E-2</v>
      </c>
      <c r="I64" s="28">
        <f>SUM(I44:I63)</f>
        <v>46119.008575087748</v>
      </c>
      <c r="J64" s="26" t="s">
        <v>258</v>
      </c>
      <c r="K64" s="27">
        <f>IF(COUNT(K44:K63), SUM(K44:K63) / COUNT(K44:K63), 0)</f>
        <v>1.5938896800841564E-2</v>
      </c>
      <c r="L64" s="28">
        <f>SUM(L44:L63)</f>
        <v>47816.690402524691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21539000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1.0224474E-3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2023-01-07(토) 오전 00:00</v>
      </c>
      <c r="C69" s="198"/>
      <c r="D69" s="170" t="str">
        <f>TEXT($G$1, "[$-ko-KR]yyyy-mm-dd(ddd) ") &amp; "오후 14:00"</f>
        <v>2023-01-07(토) 오후 14:00</v>
      </c>
      <c r="E69" s="171"/>
      <c r="F69" s="172"/>
      <c r="G69" s="170" t="str">
        <f>TEXT($G$1, "[$-ko-KR]yyyy-mm-dd(ddd) ") &amp; "오후 19:00"</f>
        <v>2023-01-07(토) 오후 19:00</v>
      </c>
      <c r="H69" s="171"/>
      <c r="I69" s="172"/>
      <c r="J69" s="170" t="str">
        <f>TEXT($G$1, "[$-ko-KR]yyyy-mm-dd(ddd) ") &amp; "오후 21:00"</f>
        <v>2023-01-07(토) 오후 21:00</v>
      </c>
      <c r="K69" s="171"/>
      <c r="L69" s="172"/>
      <c r="M69" s="170" t="str">
        <f>TEXT($G$1+1, "[$-ko-KR]yyyy-mm-dd(ddd) ") &amp; "오전 00:00"</f>
        <v>2023-01-08(일)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157</v>
      </c>
      <c r="B71" s="108">
        <v>219</v>
      </c>
      <c r="C71" s="69">
        <v>2.3364486E-2</v>
      </c>
      <c r="D71" s="13">
        <v>214</v>
      </c>
      <c r="E71" s="14">
        <f>IF(ISNUMBER(D71), (D71 - $B71) / $B71, "")</f>
        <v>-2.2831050228310501E-2</v>
      </c>
      <c r="F71" s="16">
        <f>IF(ISNUMBER(D71), $B91 * E71, "")</f>
        <v>-3424.6575342465753</v>
      </c>
      <c r="G71" s="29">
        <v>212</v>
      </c>
      <c r="H71" s="14">
        <f>IF(ISNUMBER(G71), (G71 - $B71) / $B71, "")</f>
        <v>-3.1963470319634701E-2</v>
      </c>
      <c r="I71" s="90">
        <f>IF(ISNUMBER(G71), $B91 * H71, "")</f>
        <v>-4794.5205479452052</v>
      </c>
      <c r="J71" s="13">
        <v>211</v>
      </c>
      <c r="K71" s="14">
        <f>IF(ISNUMBER(J71), (J71 - $B71) / $B71, "")</f>
        <v>-3.6529680365296802E-2</v>
      </c>
      <c r="L71" s="16">
        <f>IF(ISNUMBER(J71), $B91 * K71, "")</f>
        <v>-5479.4520547945203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 t="s">
        <v>66</v>
      </c>
      <c r="B72" s="110">
        <v>604</v>
      </c>
      <c r="C72" s="70">
        <v>1.0033444799999999E-2</v>
      </c>
      <c r="D72" s="15">
        <v>598</v>
      </c>
      <c r="E72" s="32">
        <f t="shared" ref="E72:E75" si="30">IF(ISNUMBER(D72), (D72 - $B72) / $B72, "")</f>
        <v>-9.9337748344370865E-3</v>
      </c>
      <c r="F72" s="18">
        <f>IF(ISNUMBER(D72), $B91 * E72, "")</f>
        <v>-1490.0662251655631</v>
      </c>
      <c r="G72" s="31">
        <v>597</v>
      </c>
      <c r="H72" s="32">
        <f t="shared" ref="H72:H75" si="31">IF(ISNUMBER(G72), (G72 - $B72) / $B72, "")</f>
        <v>-1.1589403973509934E-2</v>
      </c>
      <c r="I72" s="91">
        <f>IF(ISNUMBER(G72), $B91 * H72, "")</f>
        <v>-1738.4105960264901</v>
      </c>
      <c r="J72" s="15">
        <v>599</v>
      </c>
      <c r="K72" s="32">
        <f t="shared" ref="K72:K75" si="32">IF(ISNUMBER(J72), (J72 - $B72) / $B72, "")</f>
        <v>-8.2781456953642391E-3</v>
      </c>
      <c r="L72" s="18">
        <f>IF(ISNUMBER(J72), $B91 * K72, "")</f>
        <v>-1241.7218543046358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 t="s">
        <v>101</v>
      </c>
      <c r="B73" s="110">
        <v>202</v>
      </c>
      <c r="C73" s="70">
        <v>-4.9261084000000004E-3</v>
      </c>
      <c r="D73" s="15">
        <v>204</v>
      </c>
      <c r="E73" s="32">
        <f t="shared" si="30"/>
        <v>9.9009900990099011E-3</v>
      </c>
      <c r="F73" s="18">
        <f>IF(ISNUMBER(D73), $B91 * E73, "")</f>
        <v>1485.1485148514851</v>
      </c>
      <c r="G73" s="31">
        <v>204</v>
      </c>
      <c r="H73" s="32">
        <f t="shared" si="31"/>
        <v>9.9009900990099011E-3</v>
      </c>
      <c r="I73" s="91">
        <f>IF(ISNUMBER(G73), $B91 * H73, "")</f>
        <v>1485.1485148514851</v>
      </c>
      <c r="J73" s="15">
        <v>204</v>
      </c>
      <c r="K73" s="32">
        <f t="shared" si="32"/>
        <v>9.9009900990099011E-3</v>
      </c>
      <c r="L73" s="18">
        <f>IF(ISNUMBER(J73), $B91 * K73, "")</f>
        <v>1485.1485148514851</v>
      </c>
      <c r="M73" s="31"/>
      <c r="N73" s="32" t="str">
        <f t="shared" si="33"/>
        <v/>
      </c>
      <c r="O73" s="18" t="str">
        <f>IF(ISNUMBER(M73), $B91 * N73, "")</f>
        <v/>
      </c>
      <c r="Q73" s="146"/>
      <c r="R73" s="146"/>
      <c r="S73" s="146"/>
    </row>
    <row r="74" spans="1:19" ht="17.25" thickBot="1">
      <c r="A74" s="109" t="s">
        <v>223</v>
      </c>
      <c r="B74" s="110">
        <v>189</v>
      </c>
      <c r="C74" s="70">
        <v>-5.2631579E-3</v>
      </c>
      <c r="D74" s="15">
        <v>191</v>
      </c>
      <c r="E74" s="32">
        <f t="shared" si="30"/>
        <v>1.0582010582010581E-2</v>
      </c>
      <c r="F74" s="18">
        <f>IF(ISNUMBER(D74), $B91 * E74, "")</f>
        <v>1587.3015873015872</v>
      </c>
      <c r="G74" s="31">
        <v>191</v>
      </c>
      <c r="H74" s="32">
        <f t="shared" si="31"/>
        <v>1.0582010582010581E-2</v>
      </c>
      <c r="I74" s="91">
        <f>IF(ISNUMBER(G74), $B91 * H74, "")</f>
        <v>1587.3015873015872</v>
      </c>
      <c r="J74" s="15">
        <v>190</v>
      </c>
      <c r="K74" s="32">
        <f t="shared" si="32"/>
        <v>5.2910052910052907E-3</v>
      </c>
      <c r="L74" s="18">
        <f>IF(ISNUMBER(J74), $B91 * K74, "")</f>
        <v>793.65079365079362</v>
      </c>
      <c r="M74" s="31"/>
      <c r="N74" s="32" t="str">
        <f t="shared" si="33"/>
        <v/>
      </c>
      <c r="O74" s="18" t="str">
        <f>IF(ISNUMBER(M74), $B91 * N74, "")</f>
        <v/>
      </c>
      <c r="Q74" s="146"/>
      <c r="R74" s="146"/>
      <c r="S74" s="146"/>
    </row>
    <row r="75" spans="1:19" ht="17.25" thickBot="1">
      <c r="A75" s="111" t="s">
        <v>81</v>
      </c>
      <c r="B75" s="112">
        <v>343</v>
      </c>
      <c r="C75" s="71">
        <v>-5.7971014E-3</v>
      </c>
      <c r="D75" s="20">
        <v>353</v>
      </c>
      <c r="E75" s="21">
        <f t="shared" si="30"/>
        <v>2.9154518950437316E-2</v>
      </c>
      <c r="F75" s="22">
        <f>IF(ISNUMBER(D75), $B91 * E75, "")</f>
        <v>4373.1778425655975</v>
      </c>
      <c r="G75" s="30">
        <v>349</v>
      </c>
      <c r="H75" s="21">
        <f t="shared" si="31"/>
        <v>1.7492711370262391E-2</v>
      </c>
      <c r="I75" s="95">
        <f>IF(ISNUMBER(G75), $B91 * H75, "")</f>
        <v>2623.9067055393589</v>
      </c>
      <c r="J75" s="20">
        <v>349</v>
      </c>
      <c r="K75" s="21">
        <f t="shared" si="32"/>
        <v>1.7492711370262391E-2</v>
      </c>
      <c r="L75" s="22">
        <f>IF(ISNUMBER(J75), $B91 * K75, "")</f>
        <v>2623.9067055393589</v>
      </c>
      <c r="M75" s="30"/>
      <c r="N75" s="21" t="str">
        <f t="shared" si="33"/>
        <v/>
      </c>
      <c r="O75" s="22" t="str">
        <f>IF(ISNUMBER(M75), $B91 * N75, "")</f>
        <v/>
      </c>
      <c r="Q75" s="146"/>
      <c r="R75" s="146"/>
      <c r="S75" s="146"/>
    </row>
    <row r="76" spans="1:19" ht="17.25" thickBot="1">
      <c r="A76" s="109" t="s">
        <v>345</v>
      </c>
      <c r="B76" s="113">
        <v>108</v>
      </c>
      <c r="C76" s="73">
        <v>-9.1743119000000008E-3</v>
      </c>
      <c r="D76" s="96">
        <v>109</v>
      </c>
      <c r="E76" s="97">
        <f>IF(ISNUMBER(D76), (D76 - $B76) / $B76, "")</f>
        <v>9.2592592592592587E-3</v>
      </c>
      <c r="F76" s="98">
        <f>IF(ISNUMBER(D76), $B91 * E76, "")</f>
        <v>1388.8888888888889</v>
      </c>
      <c r="G76" s="99">
        <v>110</v>
      </c>
      <c r="H76" s="97">
        <f>IF(ISNUMBER(G76), (G76 - $B76) / $B76, "")</f>
        <v>1.8518518518518517E-2</v>
      </c>
      <c r="I76" s="100">
        <f>IF(ISNUMBER(G76), $B91 * H76, "")</f>
        <v>2777.7777777777778</v>
      </c>
      <c r="J76" s="96">
        <v>110</v>
      </c>
      <c r="K76" s="97">
        <f>IF(ISNUMBER(J76), (J76 - $B76) / $B76, "")</f>
        <v>1.8518518518518517E-2</v>
      </c>
      <c r="L76" s="98">
        <f>IF(ISNUMBER(J76), $B91 * K76, "")</f>
        <v>2777.7777777777778</v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46"/>
      <c r="R76" s="146"/>
      <c r="S76" s="146"/>
    </row>
    <row r="77" spans="1:19" ht="17.25" thickBot="1">
      <c r="A77" s="109" t="s">
        <v>89</v>
      </c>
      <c r="B77" s="110">
        <v>429</v>
      </c>
      <c r="C77" s="70">
        <v>-9.2378753000000001E-3</v>
      </c>
      <c r="D77" s="15">
        <v>436</v>
      </c>
      <c r="E77" s="32">
        <f t="shared" ref="E77:E80" si="34">IF(ISNUMBER(D77), (D77 - $B77) / $B77, "")</f>
        <v>1.6317016317016316E-2</v>
      </c>
      <c r="F77" s="18">
        <f>IF(ISNUMBER(D77), $B91 * E77, "")</f>
        <v>2447.5524475524476</v>
      </c>
      <c r="G77" s="31">
        <v>435</v>
      </c>
      <c r="H77" s="32">
        <f t="shared" ref="H77:H80" si="35">IF(ISNUMBER(G77), (G77 - $B77) / $B77, "")</f>
        <v>1.3986013986013986E-2</v>
      </c>
      <c r="I77" s="91">
        <f>IF(ISNUMBER(G77), $B91 * H77, "")</f>
        <v>2097.9020979020979</v>
      </c>
      <c r="J77" s="15">
        <v>435</v>
      </c>
      <c r="K77" s="32">
        <f t="shared" ref="K77:K80" si="36">IF(ISNUMBER(J77), (J77 - $B77) / $B77, "")</f>
        <v>1.3986013986013986E-2</v>
      </c>
      <c r="L77" s="18">
        <f>IF(ISNUMBER(J77), $B91 * K77, "")</f>
        <v>2097.9020979020979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6"/>
      <c r="R77" s="146"/>
      <c r="S77" s="146"/>
    </row>
    <row r="78" spans="1:19" ht="17.25" thickBot="1">
      <c r="A78" s="109" t="s">
        <v>149</v>
      </c>
      <c r="B78" s="110">
        <v>317</v>
      </c>
      <c r="C78" s="70">
        <v>-1.2461059199999999E-2</v>
      </c>
      <c r="D78" s="15">
        <v>336</v>
      </c>
      <c r="E78" s="32">
        <f t="shared" si="34"/>
        <v>5.993690851735016E-2</v>
      </c>
      <c r="F78" s="18">
        <f>IF(ISNUMBER(D78), $B91 * E78, "")</f>
        <v>8990.5362776025231</v>
      </c>
      <c r="G78" s="31">
        <v>339</v>
      </c>
      <c r="H78" s="32">
        <f t="shared" si="35"/>
        <v>6.9400630914826497E-2</v>
      </c>
      <c r="I78" s="91">
        <f>IF(ISNUMBER(G78), $B91 * H78, "")</f>
        <v>10410.094637223974</v>
      </c>
      <c r="J78" s="15">
        <v>340</v>
      </c>
      <c r="K78" s="32">
        <f t="shared" si="36"/>
        <v>7.2555205047318619E-2</v>
      </c>
      <c r="L78" s="18">
        <f>IF(ISNUMBER(J78), $B91 * K78, "")</f>
        <v>10883.280757097793</v>
      </c>
      <c r="M78" s="31"/>
      <c r="N78" s="32" t="str">
        <f t="shared" si="37"/>
        <v/>
      </c>
      <c r="O78" s="18" t="str">
        <f>IF(ISNUMBER(M78), $B91 * N78, "")</f>
        <v/>
      </c>
      <c r="Q78" s="146"/>
      <c r="R78" s="146"/>
      <c r="S78" s="146"/>
    </row>
    <row r="79" spans="1:19" ht="17.25" thickBot="1">
      <c r="A79" s="109" t="s">
        <v>332</v>
      </c>
      <c r="B79" s="110">
        <v>492</v>
      </c>
      <c r="C79" s="70">
        <v>-1.6E-2</v>
      </c>
      <c r="D79" s="15">
        <v>505</v>
      </c>
      <c r="E79" s="32">
        <f t="shared" si="34"/>
        <v>2.6422764227642278E-2</v>
      </c>
      <c r="F79" s="18">
        <f>IF(ISNUMBER(D79), $B91 * E79, "")</f>
        <v>3963.4146341463415</v>
      </c>
      <c r="G79" s="31">
        <v>504</v>
      </c>
      <c r="H79" s="32">
        <f t="shared" si="35"/>
        <v>2.4390243902439025E-2</v>
      </c>
      <c r="I79" s="91">
        <f>IF(ISNUMBER(G79), $B91 * H79, "")</f>
        <v>3658.5365853658536</v>
      </c>
      <c r="J79" s="15">
        <v>502</v>
      </c>
      <c r="K79" s="32">
        <f t="shared" si="36"/>
        <v>2.032520325203252E-2</v>
      </c>
      <c r="L79" s="18">
        <f>IF(ISNUMBER(J79), $B91 * K79, "")</f>
        <v>3048.7804878048778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 t="s">
        <v>326</v>
      </c>
      <c r="B80" s="115">
        <v>231</v>
      </c>
      <c r="C80" s="72">
        <v>-1.7021276599999999E-2</v>
      </c>
      <c r="D80" s="24">
        <v>241</v>
      </c>
      <c r="E80" s="25">
        <f t="shared" si="34"/>
        <v>4.3290043290043288E-2</v>
      </c>
      <c r="F80" s="94">
        <f>IF(ISNUMBER(D80), $B91 * E80, "")</f>
        <v>6493.5064935064929</v>
      </c>
      <c r="G80" s="92">
        <v>242</v>
      </c>
      <c r="H80" s="25">
        <f t="shared" si="35"/>
        <v>4.7619047619047616E-2</v>
      </c>
      <c r="I80" s="93">
        <f>IF(ISNUMBER(G80), $B91 * H80, "")</f>
        <v>7142.8571428571422</v>
      </c>
      <c r="J80" s="24">
        <v>241</v>
      </c>
      <c r="K80" s="25">
        <f t="shared" si="36"/>
        <v>4.3290043290043288E-2</v>
      </c>
      <c r="L80" s="94">
        <f>IF(ISNUMBER(J80), $B91 * K80, "")</f>
        <v>6493.5064935064929</v>
      </c>
      <c r="M80" s="92"/>
      <c r="N80" s="25" t="str">
        <f t="shared" si="37"/>
        <v/>
      </c>
      <c r="O80" s="94" t="str">
        <f>IF(ISNUMBER(M80), $B91 * N80, "")</f>
        <v/>
      </c>
      <c r="Q80" s="147"/>
      <c r="R80" s="148"/>
      <c r="S80" s="149"/>
    </row>
    <row r="81" spans="1:19">
      <c r="A81" s="107" t="s">
        <v>130</v>
      </c>
      <c r="B81" s="108">
        <v>609</v>
      </c>
      <c r="C81" s="69">
        <v>-1.77419355E-2</v>
      </c>
      <c r="D81" s="13">
        <v>630</v>
      </c>
      <c r="E81" s="14">
        <f>IF(ISNUMBER(D81), (D81 - $B81) / $B81, "")</f>
        <v>3.4482758620689655E-2</v>
      </c>
      <c r="F81" s="16">
        <f>IF(ISNUMBER(D81), $B91 * E81, "")</f>
        <v>5172.4137931034484</v>
      </c>
      <c r="G81" s="29">
        <v>634</v>
      </c>
      <c r="H81" s="14">
        <f>IF(ISNUMBER(G81), (G81 - $B81) / $B81, "")</f>
        <v>4.1050903119868636E-2</v>
      </c>
      <c r="I81" s="90">
        <f>IF(ISNUMBER(G81), $B91 * H81, "")</f>
        <v>6157.6354679802953</v>
      </c>
      <c r="J81" s="13">
        <v>633</v>
      </c>
      <c r="K81" s="14">
        <f>IF(ISNUMBER(J81), (J81 - $B81) / $B81, "")</f>
        <v>3.9408866995073892E-2</v>
      </c>
      <c r="L81" s="16">
        <f>IF(ISNUMBER(J81), $B91 * K81, "")</f>
        <v>5911.3300492610842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0"/>
      <c r="R81" s="151"/>
      <c r="S81" s="152"/>
    </row>
    <row r="82" spans="1:19" ht="17.25" thickBot="1">
      <c r="A82" s="109" t="s">
        <v>161</v>
      </c>
      <c r="B82" s="110">
        <v>273</v>
      </c>
      <c r="C82" s="70">
        <v>-1.7985611499999998E-2</v>
      </c>
      <c r="D82" s="15">
        <v>279</v>
      </c>
      <c r="E82" s="32">
        <f t="shared" ref="E82:E85" si="38">IF(ISNUMBER(D82), (D82 - $B82) / $B82, "")</f>
        <v>2.197802197802198E-2</v>
      </c>
      <c r="F82" s="18">
        <f>IF(ISNUMBER(D82), $B91 * E82, "")</f>
        <v>3296.7032967032969</v>
      </c>
      <c r="G82" s="31">
        <v>278</v>
      </c>
      <c r="H82" s="32">
        <f t="shared" ref="H82:H85" si="39">IF(ISNUMBER(G82), (G82 - $B82) / $B82, "")</f>
        <v>1.8315018315018316E-2</v>
      </c>
      <c r="I82" s="91">
        <f>IF(ISNUMBER(G82), $B91 * H82, "")</f>
        <v>2747.2527472527472</v>
      </c>
      <c r="J82" s="15">
        <v>280</v>
      </c>
      <c r="K82" s="32">
        <f t="shared" ref="K82:K85" si="40">IF(ISNUMBER(J82), (J82 - $B82) / $B82, "")</f>
        <v>2.564102564102564E-2</v>
      </c>
      <c r="L82" s="18">
        <f>IF(ISNUMBER(J82), $B91 * K82, "")</f>
        <v>3846.1538461538462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3"/>
      <c r="R82" s="154"/>
      <c r="S82" s="155"/>
    </row>
    <row r="83" spans="1:19" ht="17.25" thickBot="1">
      <c r="A83" s="109" t="s">
        <v>167</v>
      </c>
      <c r="B83" s="110">
        <v>159</v>
      </c>
      <c r="C83" s="70">
        <v>-1.8518518500000001E-2</v>
      </c>
      <c r="D83" s="15">
        <v>161</v>
      </c>
      <c r="E83" s="32">
        <f t="shared" si="38"/>
        <v>1.2578616352201259E-2</v>
      </c>
      <c r="F83" s="18">
        <f>IF(ISNUMBER(D83), $B91 * E83, "")</f>
        <v>1886.7924528301887</v>
      </c>
      <c r="G83" s="31">
        <v>161</v>
      </c>
      <c r="H83" s="32">
        <f t="shared" si="39"/>
        <v>1.2578616352201259E-2</v>
      </c>
      <c r="I83" s="91">
        <f>IF(ISNUMBER(G83), $B91 * H83, "")</f>
        <v>1886.7924528301887</v>
      </c>
      <c r="J83" s="15">
        <v>161</v>
      </c>
      <c r="K83" s="32">
        <f t="shared" si="40"/>
        <v>1.2578616352201259E-2</v>
      </c>
      <c r="L83" s="18">
        <f>IF(ISNUMBER(J83), $B91 * K83, "")</f>
        <v>1886.7924528301887</v>
      </c>
      <c r="M83" s="31"/>
      <c r="N83" s="32" t="str">
        <f t="shared" si="41"/>
        <v/>
      </c>
      <c r="O83" s="18" t="str">
        <f>IF(ISNUMBER(M83), $B91 * N83, "")</f>
        <v/>
      </c>
      <c r="Q83" s="146"/>
      <c r="R83" s="146"/>
      <c r="S83" s="146"/>
    </row>
    <row r="84" spans="1:19" ht="17.25" thickBot="1">
      <c r="A84" s="109" t="s">
        <v>109</v>
      </c>
      <c r="B84" s="110">
        <v>945</v>
      </c>
      <c r="C84" s="70">
        <v>-1.8691588799999999E-2</v>
      </c>
      <c r="D84" s="15">
        <v>969</v>
      </c>
      <c r="E84" s="32">
        <f t="shared" si="38"/>
        <v>2.5396825396825397E-2</v>
      </c>
      <c r="F84" s="18">
        <f>IF(ISNUMBER(D84), $B91 * E84, "")</f>
        <v>3809.5238095238096</v>
      </c>
      <c r="G84" s="31">
        <v>976</v>
      </c>
      <c r="H84" s="32">
        <f t="shared" si="39"/>
        <v>3.2804232804232801E-2</v>
      </c>
      <c r="I84" s="91">
        <f>IF(ISNUMBER(G84), $B91 * H84, "")</f>
        <v>4920.6349206349205</v>
      </c>
      <c r="J84" s="15">
        <v>973</v>
      </c>
      <c r="K84" s="32">
        <f t="shared" si="40"/>
        <v>2.9629629629629631E-2</v>
      </c>
      <c r="L84" s="18">
        <f>IF(ISNUMBER(J84), $B91 * K84, "")</f>
        <v>4444.4444444444443</v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 t="s">
        <v>165</v>
      </c>
      <c r="B85" s="112">
        <v>873</v>
      </c>
      <c r="C85" s="71">
        <v>-1.9101123599999999E-2</v>
      </c>
      <c r="D85" s="20">
        <v>889</v>
      </c>
      <c r="E85" s="21">
        <f t="shared" si="38"/>
        <v>1.8327605956471937E-2</v>
      </c>
      <c r="F85" s="22">
        <f>IF(ISNUMBER(D85), $B91 * E85, "")</f>
        <v>2749.1408934707906</v>
      </c>
      <c r="G85" s="30">
        <v>885</v>
      </c>
      <c r="H85" s="21">
        <f t="shared" si="39"/>
        <v>1.3745704467353952E-2</v>
      </c>
      <c r="I85" s="95">
        <f>IF(ISNUMBER(G85), $B91 * H85, "")</f>
        <v>2061.855670103093</v>
      </c>
      <c r="J85" s="20">
        <v>888</v>
      </c>
      <c r="K85" s="21">
        <f t="shared" si="40"/>
        <v>1.7182130584192441E-2</v>
      </c>
      <c r="L85" s="22">
        <f>IF(ISNUMBER(J85), $B91 * K85, "")</f>
        <v>2577.319587628866</v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 t="s">
        <v>60</v>
      </c>
      <c r="B86" s="113">
        <v>404</v>
      </c>
      <c r="C86" s="73">
        <v>-1.9417475699999999E-2</v>
      </c>
      <c r="D86" s="96">
        <v>443</v>
      </c>
      <c r="E86" s="97">
        <f>IF(ISNUMBER(D86), (D86 - $B86) / $B86, "")</f>
        <v>9.6534653465346537E-2</v>
      </c>
      <c r="F86" s="98">
        <f>IF(ISNUMBER(D86), $B91 * E86, "")</f>
        <v>14480.198019801981</v>
      </c>
      <c r="G86" s="99">
        <v>452</v>
      </c>
      <c r="H86" s="97">
        <f>IF(ISNUMBER(G86), (G86 - $B86) / $B86, "")</f>
        <v>0.11881188118811881</v>
      </c>
      <c r="I86" s="100">
        <f>IF(ISNUMBER(G86), $B91 * H86, "")</f>
        <v>17821.782178217822</v>
      </c>
      <c r="J86" s="96">
        <v>449</v>
      </c>
      <c r="K86" s="97">
        <f>IF(ISNUMBER(J86), (J86 - $B86) / $B86, "")</f>
        <v>0.11138613861386139</v>
      </c>
      <c r="L86" s="98">
        <f>IF(ISNUMBER(J86), $B91 * K86, "")</f>
        <v>16707.920792079207</v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46"/>
      <c r="R86" s="146"/>
      <c r="S86" s="146"/>
    </row>
    <row r="87" spans="1:19" ht="17.25" thickBot="1">
      <c r="A87" s="109" t="s">
        <v>339</v>
      </c>
      <c r="B87" s="110">
        <v>990</v>
      </c>
      <c r="C87" s="70">
        <v>-1.9801980199999999E-2</v>
      </c>
      <c r="D87" s="15">
        <v>1020</v>
      </c>
      <c r="E87" s="32">
        <f t="shared" ref="E87:E90" si="42">IF(ISNUMBER(D87), (D87 - $B87) / $B87, "")</f>
        <v>3.0303030303030304E-2</v>
      </c>
      <c r="F87" s="18">
        <f>IF(ISNUMBER(D87), $B91 * E87, "")</f>
        <v>4545.454545454546</v>
      </c>
      <c r="G87" s="31">
        <v>1020</v>
      </c>
      <c r="H87" s="32">
        <f t="shared" ref="H87:H90" si="43">IF(ISNUMBER(G87), (G87 - $B87) / $B87, "")</f>
        <v>3.0303030303030304E-2</v>
      </c>
      <c r="I87" s="91">
        <f>IF(ISNUMBER(G87), $B91 * H87, "")</f>
        <v>4545.454545454546</v>
      </c>
      <c r="J87" s="15">
        <v>1015</v>
      </c>
      <c r="K87" s="32">
        <f t="shared" ref="K87:K90" si="44">IF(ISNUMBER(J87), (J87 - $B87) / $B87, "")</f>
        <v>2.5252525252525252E-2</v>
      </c>
      <c r="L87" s="18">
        <f>IF(ISNUMBER(J87), $B91 * K87, "")</f>
        <v>3787.878787878788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6"/>
      <c r="R87" s="146"/>
      <c r="S87" s="146"/>
    </row>
    <row r="88" spans="1:19" ht="17.25" thickBot="1">
      <c r="A88" s="109" t="s">
        <v>229</v>
      </c>
      <c r="B88" s="110">
        <v>230</v>
      </c>
      <c r="C88" s="70">
        <v>-2.1276595700000001E-2</v>
      </c>
      <c r="D88" s="15">
        <v>232</v>
      </c>
      <c r="E88" s="32">
        <f t="shared" si="42"/>
        <v>8.6956521739130436E-3</v>
      </c>
      <c r="F88" s="18">
        <f>IF(ISNUMBER(D88), $B91 * E88, "")</f>
        <v>1304.3478260869565</v>
      </c>
      <c r="G88" s="31">
        <v>234</v>
      </c>
      <c r="H88" s="32">
        <f t="shared" si="43"/>
        <v>1.7391304347826087E-2</v>
      </c>
      <c r="I88" s="91">
        <f>IF(ISNUMBER(G88), $B91 * H88, "")</f>
        <v>2608.695652173913</v>
      </c>
      <c r="J88" s="15">
        <v>233</v>
      </c>
      <c r="K88" s="32">
        <f t="shared" si="44"/>
        <v>1.3043478260869565E-2</v>
      </c>
      <c r="L88" s="18">
        <f>IF(ISNUMBER(J88), $B91 * K88, "")</f>
        <v>1956.5217391304348</v>
      </c>
      <c r="M88" s="31"/>
      <c r="N88" s="32" t="str">
        <f t="shared" si="45"/>
        <v/>
      </c>
      <c r="O88" s="18" t="str">
        <f>IF(ISNUMBER(M88), $B91 * N88, "")</f>
        <v/>
      </c>
      <c r="Q88" s="146"/>
      <c r="R88" s="146"/>
      <c r="S88" s="146"/>
    </row>
    <row r="89" spans="1:19">
      <c r="A89" s="109" t="s">
        <v>330</v>
      </c>
      <c r="B89" s="110">
        <v>262</v>
      </c>
      <c r="C89" s="70">
        <v>-2.2388059700000001E-2</v>
      </c>
      <c r="D89" s="15">
        <v>268</v>
      </c>
      <c r="E89" s="32">
        <f t="shared" si="42"/>
        <v>2.2900763358778626E-2</v>
      </c>
      <c r="F89" s="18">
        <f>IF(ISNUMBER(D89), $B91 * E89, "")</f>
        <v>3435.1145038167938</v>
      </c>
      <c r="G89" s="31">
        <v>269</v>
      </c>
      <c r="H89" s="32">
        <f t="shared" si="43"/>
        <v>2.6717557251908396E-2</v>
      </c>
      <c r="I89" s="91">
        <f>IF(ISNUMBER(G89), $B91 * H89, "")</f>
        <v>4007.6335877862593</v>
      </c>
      <c r="J89" s="15">
        <v>267</v>
      </c>
      <c r="K89" s="32">
        <f t="shared" si="44"/>
        <v>1.9083969465648856E-2</v>
      </c>
      <c r="L89" s="18">
        <f>IF(ISNUMBER(J89), $B91 * K89, "")</f>
        <v>2862.5954198473282</v>
      </c>
      <c r="M89" s="31"/>
      <c r="N89" s="32" t="str">
        <f t="shared" si="45"/>
        <v/>
      </c>
      <c r="O89" s="18" t="str">
        <f>IF(ISNUMBER(M89), $B91 * N89, "")</f>
        <v/>
      </c>
      <c r="Q89" s="135"/>
      <c r="R89" s="136"/>
      <c r="S89" s="137"/>
    </row>
    <row r="90" spans="1:19" ht="17.25" thickBot="1">
      <c r="A90" s="114" t="s">
        <v>95</v>
      </c>
      <c r="B90" s="115">
        <v>953</v>
      </c>
      <c r="C90" s="72">
        <v>-2.35655738E-2</v>
      </c>
      <c r="D90" s="24">
        <v>995</v>
      </c>
      <c r="E90" s="25">
        <f t="shared" si="42"/>
        <v>4.4071353620146907E-2</v>
      </c>
      <c r="F90" s="94">
        <f>IF(ISNUMBER(D90), $B91 * E90, "")</f>
        <v>6610.7030430220357</v>
      </c>
      <c r="G90" s="92">
        <v>1000</v>
      </c>
      <c r="H90" s="25">
        <f t="shared" si="43"/>
        <v>4.9317943336831059E-2</v>
      </c>
      <c r="I90" s="93">
        <f>IF(ISNUMBER(G90), $B91 * H90, "")</f>
        <v>7397.6915005246592</v>
      </c>
      <c r="J90" s="24">
        <v>998</v>
      </c>
      <c r="K90" s="25">
        <f t="shared" si="44"/>
        <v>4.7219307450157399E-2</v>
      </c>
      <c r="L90" s="94">
        <f>IF(ISNUMBER(J90), $B91 * K90, "")</f>
        <v>7082.89611752361</v>
      </c>
      <c r="M90" s="92"/>
      <c r="N90" s="25" t="str">
        <f t="shared" si="45"/>
        <v/>
      </c>
      <c r="O90" s="94" t="str">
        <f>IF(ISNUMBER(M90), $B91 * N90, "")</f>
        <v/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2.4368398370272354E-2</v>
      </c>
      <c r="F91" s="28">
        <f>SUM(F71:F90)</f>
        <v>73105.195110817076</v>
      </c>
      <c r="G91" s="26" t="s">
        <v>258</v>
      </c>
      <c r="H91" s="27">
        <f>IF(COUNT(H71:H90), SUM(H71:H90) / COUNT(H71:H90), 0)</f>
        <v>2.6468674209268673E-2</v>
      </c>
      <c r="I91" s="28">
        <f>SUM(I71:I90)</f>
        <v>79406.022627806014</v>
      </c>
      <c r="J91" s="26" t="s">
        <v>258</v>
      </c>
      <c r="K91" s="27">
        <f>IF(COUNT(K71:K90), SUM(K71:K90) / COUNT(K71:K90), 0)</f>
        <v>2.4848877651936434E-2</v>
      </c>
      <c r="L91" s="28">
        <f>SUM(L71:L90)</f>
        <v>74546.632955809313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21539000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1.0224474E-3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2023-01-07(토) 오전 00:00</v>
      </c>
      <c r="C96" s="198"/>
      <c r="D96" s="170" t="str">
        <f>TEXT($G$1, "[$-ko-KR]yyyy-mm-dd(ddd) ") &amp; "오후 14:00"</f>
        <v>2023-01-07(토) 오후 14:00</v>
      </c>
      <c r="E96" s="171"/>
      <c r="F96" s="172"/>
      <c r="G96" s="170" t="str">
        <f>TEXT($G$1, "[$-ko-KR]yyyy-mm-dd(ddd) ") &amp; "오후 19:00"</f>
        <v>2023-01-07(토) 오후 19:00</v>
      </c>
      <c r="H96" s="171"/>
      <c r="I96" s="172"/>
      <c r="J96" s="170" t="str">
        <f>TEXT($G$1, "[$-ko-KR]yyyy-mm-dd(ddd) ") &amp; "오후 21:00"</f>
        <v>2023-01-07(토) 오후 21:00</v>
      </c>
      <c r="K96" s="171"/>
      <c r="L96" s="172"/>
      <c r="M96" s="170" t="str">
        <f>TEXT($G$1+1, "[$-ko-KR]yyyy-mm-dd(ddd) ") &amp; "오전 00:00"</f>
        <v>2023-01-08(일)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107</v>
      </c>
      <c r="B98" s="108">
        <v>36</v>
      </c>
      <c r="C98" s="69">
        <v>3.1518624600000003E-2</v>
      </c>
      <c r="D98" s="13">
        <v>35.5</v>
      </c>
      <c r="E98" s="14">
        <f>IF(ISNUMBER(D98), (D98 - $B98) / $B98, "")</f>
        <v>-1.3888888888888888E-2</v>
      </c>
      <c r="F98" s="16">
        <f>IF(ISNUMBER(D98), $B118 * E98, "")</f>
        <v>-2083.333333333333</v>
      </c>
      <c r="G98" s="29">
        <v>35.299999999999997</v>
      </c>
      <c r="H98" s="14">
        <f>IF(ISNUMBER(G98), (G98 - $B98) / $B98, "")</f>
        <v>-1.9444444444444525E-2</v>
      </c>
      <c r="I98" s="90">
        <f>IF(ISNUMBER(G98), $B118 * H98, "")</f>
        <v>-2916.6666666666788</v>
      </c>
      <c r="J98" s="13">
        <v>35.4</v>
      </c>
      <c r="K98" s="14">
        <f>IF(ISNUMBER(J98), (J98 - $B98) / $B98, "")</f>
        <v>-1.6666666666666705E-2</v>
      </c>
      <c r="L98" s="16">
        <f>IF(ISNUMBER(J98), $B118 * K98, "")</f>
        <v>-2500.0000000000059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 t="s">
        <v>157</v>
      </c>
      <c r="B99" s="110">
        <v>219</v>
      </c>
      <c r="C99" s="70">
        <v>2.3364486E-2</v>
      </c>
      <c r="D99" s="15">
        <v>214</v>
      </c>
      <c r="E99" s="32">
        <f t="shared" ref="E99:E102" si="46">IF(ISNUMBER(D99), (D99 - $B99) / $B99, "")</f>
        <v>-2.2831050228310501E-2</v>
      </c>
      <c r="F99" s="18">
        <f>IF(ISNUMBER(D99), $B118 * E99, "")</f>
        <v>-3424.6575342465753</v>
      </c>
      <c r="G99" s="31">
        <v>212</v>
      </c>
      <c r="H99" s="32">
        <f t="shared" ref="H99:H102" si="47">IF(ISNUMBER(G99), (G99 - $B99) / $B99, "")</f>
        <v>-3.1963470319634701E-2</v>
      </c>
      <c r="I99" s="91">
        <f>IF(ISNUMBER(G99), $B118 * H99, "")</f>
        <v>-4794.5205479452052</v>
      </c>
      <c r="J99" s="15">
        <v>211</v>
      </c>
      <c r="K99" s="32">
        <f t="shared" ref="K99:K102" si="48">IF(ISNUMBER(J99), (J99 - $B99) / $B99, "")</f>
        <v>-3.6529680365296802E-2</v>
      </c>
      <c r="L99" s="18">
        <f>IF(ISNUMBER(J99), $B118 * K99, "")</f>
        <v>-5479.4520547945203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 t="s">
        <v>205</v>
      </c>
      <c r="B100" s="110">
        <v>93.2</v>
      </c>
      <c r="C100" s="70">
        <v>2.1929824600000002E-2</v>
      </c>
      <c r="D100" s="15">
        <v>93.2</v>
      </c>
      <c r="E100" s="32">
        <f t="shared" si="46"/>
        <v>0</v>
      </c>
      <c r="F100" s="18">
        <f>IF(ISNUMBER(D100), $B118 * E100, "")</f>
        <v>0</v>
      </c>
      <c r="G100" s="31">
        <v>93</v>
      </c>
      <c r="H100" s="32">
        <f t="shared" si="47"/>
        <v>-2.1459227467811462E-3</v>
      </c>
      <c r="I100" s="91">
        <f>IF(ISNUMBER(G100), $B118 * H100, "")</f>
        <v>-321.88841201717196</v>
      </c>
      <c r="J100" s="15">
        <v>93.1</v>
      </c>
      <c r="K100" s="32">
        <f t="shared" si="48"/>
        <v>-1.0729613733906494E-3</v>
      </c>
      <c r="L100" s="18">
        <f>IF(ISNUMBER(J100), $B118 * K100, "")</f>
        <v>-160.9442060085974</v>
      </c>
      <c r="M100" s="31"/>
      <c r="N100" s="32" t="str">
        <f t="shared" si="49"/>
        <v/>
      </c>
      <c r="O100" s="18" t="str">
        <f>IF(ISNUMBER(M100), $B118 * N100, "")</f>
        <v/>
      </c>
      <c r="Q100" s="146"/>
      <c r="R100" s="146"/>
      <c r="S100" s="146"/>
    </row>
    <row r="101" spans="1:19" ht="17.25" thickBot="1">
      <c r="A101" s="109" t="s">
        <v>51</v>
      </c>
      <c r="B101" s="110">
        <v>94.6</v>
      </c>
      <c r="C101" s="70">
        <v>1.28479657E-2</v>
      </c>
      <c r="D101" s="15">
        <v>94.7</v>
      </c>
      <c r="E101" s="32">
        <f t="shared" si="46"/>
        <v>1.0570824524313799E-3</v>
      </c>
      <c r="F101" s="18">
        <f>IF(ISNUMBER(D101), $B118 * E101, "")</f>
        <v>158.56236786470697</v>
      </c>
      <c r="G101" s="31">
        <v>95.4</v>
      </c>
      <c r="H101" s="32">
        <f t="shared" si="47"/>
        <v>8.4566596194504372E-3</v>
      </c>
      <c r="I101" s="91">
        <f>IF(ISNUMBER(G101), $B118 * H101, "")</f>
        <v>1268.4989429175655</v>
      </c>
      <c r="J101" s="15">
        <v>95.3</v>
      </c>
      <c r="K101" s="32">
        <f t="shared" si="48"/>
        <v>7.3995771670190584E-3</v>
      </c>
      <c r="L101" s="18">
        <f>IF(ISNUMBER(J101), $B118 * K101, "")</f>
        <v>1109.9365750528586</v>
      </c>
      <c r="M101" s="31"/>
      <c r="N101" s="32" t="str">
        <f t="shared" si="49"/>
        <v/>
      </c>
      <c r="O101" s="18" t="str">
        <f>IF(ISNUMBER(M101), $B118 * N101, "")</f>
        <v/>
      </c>
      <c r="Q101" s="146"/>
      <c r="R101" s="146"/>
      <c r="S101" s="146"/>
    </row>
    <row r="102" spans="1:19" ht="17.25" thickBot="1">
      <c r="A102" s="111" t="s">
        <v>178</v>
      </c>
      <c r="B102" s="112">
        <v>1385</v>
      </c>
      <c r="C102" s="71">
        <v>1.09489051E-2</v>
      </c>
      <c r="D102" s="20">
        <v>1395</v>
      </c>
      <c r="E102" s="21">
        <f t="shared" si="46"/>
        <v>7.2202166064981952E-3</v>
      </c>
      <c r="F102" s="22">
        <f>IF(ISNUMBER(D102), $B118 * E102, "")</f>
        <v>1083.0324909747292</v>
      </c>
      <c r="G102" s="30">
        <v>1390</v>
      </c>
      <c r="H102" s="21">
        <f t="shared" si="47"/>
        <v>3.6101083032490976E-3</v>
      </c>
      <c r="I102" s="95">
        <f>IF(ISNUMBER(G102), $B118 * H102, "")</f>
        <v>541.51624548736459</v>
      </c>
      <c r="J102" s="20">
        <v>1395</v>
      </c>
      <c r="K102" s="21">
        <f t="shared" si="48"/>
        <v>7.2202166064981952E-3</v>
      </c>
      <c r="L102" s="22">
        <f>IF(ISNUMBER(J102), $B118 * K102, "")</f>
        <v>1083.0324909747292</v>
      </c>
      <c r="M102" s="30"/>
      <c r="N102" s="21" t="str">
        <f t="shared" si="49"/>
        <v/>
      </c>
      <c r="O102" s="22" t="str">
        <f>IF(ISNUMBER(M102), $B118 * N102, "")</f>
        <v/>
      </c>
      <c r="Q102" s="146"/>
      <c r="R102" s="146"/>
      <c r="S102" s="146"/>
    </row>
    <row r="103" spans="1:19" ht="17.25" thickBot="1">
      <c r="A103" s="109" t="s">
        <v>66</v>
      </c>
      <c r="B103" s="113">
        <v>604</v>
      </c>
      <c r="C103" s="73">
        <v>1.0033444799999999E-2</v>
      </c>
      <c r="D103" s="96">
        <v>598</v>
      </c>
      <c r="E103" s="97">
        <f>IF(ISNUMBER(D103), (D103 - $B103) / $B103, "")</f>
        <v>-9.9337748344370865E-3</v>
      </c>
      <c r="F103" s="98">
        <f>IF(ISNUMBER(D103), $B118 * E103, "")</f>
        <v>-1490.0662251655631</v>
      </c>
      <c r="G103" s="99">
        <v>597</v>
      </c>
      <c r="H103" s="97">
        <f>IF(ISNUMBER(G103), (G103 - $B103) / $B103, "")</f>
        <v>-1.1589403973509934E-2</v>
      </c>
      <c r="I103" s="100">
        <f>IF(ISNUMBER(G103), $B118 * H103, "")</f>
        <v>-1738.4105960264901</v>
      </c>
      <c r="J103" s="96">
        <v>599</v>
      </c>
      <c r="K103" s="97">
        <f>IF(ISNUMBER(J103), (J103 - $B103) / $B103, "")</f>
        <v>-8.2781456953642391E-3</v>
      </c>
      <c r="L103" s="98">
        <f>IF(ISNUMBER(J103), $B118 * K103, "")</f>
        <v>-1241.7218543046358</v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46"/>
      <c r="R103" s="146"/>
      <c r="S103" s="146"/>
    </row>
    <row r="104" spans="1:19" ht="17.25" thickBot="1">
      <c r="A104" s="109" t="s">
        <v>195</v>
      </c>
      <c r="B104" s="110">
        <v>5.58</v>
      </c>
      <c r="C104" s="70">
        <v>1.7953321E-3</v>
      </c>
      <c r="D104" s="15">
        <v>5.63</v>
      </c>
      <c r="E104" s="32">
        <f t="shared" ref="E104:E107" si="50">IF(ISNUMBER(D104), (D104 - $B104) / $B104, "")</f>
        <v>8.9605734767024773E-3</v>
      </c>
      <c r="F104" s="18">
        <f>IF(ISNUMBER(D104), $B118 * E104, "")</f>
        <v>1344.0860215053715</v>
      </c>
      <c r="G104" s="31">
        <v>5.6</v>
      </c>
      <c r="H104" s="32">
        <f t="shared" ref="H104:H107" si="51">IF(ISNUMBER(G104), (G104 - $B104) / $B104, "")</f>
        <v>3.5842293906809273E-3</v>
      </c>
      <c r="I104" s="91">
        <f>IF(ISNUMBER(G104), $B118 * H104, "")</f>
        <v>537.63440860213905</v>
      </c>
      <c r="J104" s="15">
        <v>5.6</v>
      </c>
      <c r="K104" s="32">
        <f t="shared" ref="K104:K107" si="52">IF(ISNUMBER(J104), (J104 - $B104) / $B104, "")</f>
        <v>3.5842293906809273E-3</v>
      </c>
      <c r="L104" s="18">
        <f>IF(ISNUMBER(J104), $B118 * K104, "")</f>
        <v>537.63440860213905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6"/>
      <c r="R104" s="146"/>
      <c r="S104" s="146"/>
    </row>
    <row r="105" spans="1:19" ht="17.25" thickBot="1">
      <c r="A105" s="109" t="s">
        <v>324</v>
      </c>
      <c r="B105" s="110">
        <v>75.3</v>
      </c>
      <c r="C105" s="70">
        <v>-1.3262599000000001E-3</v>
      </c>
      <c r="D105" s="15">
        <v>76.7</v>
      </c>
      <c r="E105" s="32">
        <f t="shared" si="50"/>
        <v>1.8592297476759705E-2</v>
      </c>
      <c r="F105" s="18">
        <f>IF(ISNUMBER(D105), $B118 * E105, "")</f>
        <v>2788.8446215139556</v>
      </c>
      <c r="G105" s="31">
        <v>77.3</v>
      </c>
      <c r="H105" s="32">
        <f t="shared" si="51"/>
        <v>2.6560424966799469E-2</v>
      </c>
      <c r="I105" s="91">
        <f>IF(ISNUMBER(G105), $B118 * H105, "")</f>
        <v>3984.0637450199206</v>
      </c>
      <c r="J105" s="15">
        <v>77.400000000000006</v>
      </c>
      <c r="K105" s="32">
        <f t="shared" si="52"/>
        <v>2.7888446215139556E-2</v>
      </c>
      <c r="L105" s="18">
        <f>IF(ISNUMBER(J105), $B118 * K105, "")</f>
        <v>4183.2669322709335</v>
      </c>
      <c r="M105" s="31"/>
      <c r="N105" s="32" t="str">
        <f t="shared" si="53"/>
        <v/>
      </c>
      <c r="O105" s="18" t="str">
        <f>IF(ISNUMBER(M105), $B118 * N105, "")</f>
        <v/>
      </c>
      <c r="Q105" s="146"/>
      <c r="R105" s="146"/>
      <c r="S105" s="146"/>
    </row>
    <row r="106" spans="1:19" ht="17.25" thickBot="1">
      <c r="A106" s="109" t="s">
        <v>128</v>
      </c>
      <c r="B106" s="110">
        <v>5915</v>
      </c>
      <c r="C106" s="70">
        <v>-1.6877636999999999E-3</v>
      </c>
      <c r="D106" s="15">
        <v>5935</v>
      </c>
      <c r="E106" s="32">
        <f t="shared" si="50"/>
        <v>3.3812341504649195E-3</v>
      </c>
      <c r="F106" s="18">
        <f>IF(ISNUMBER(D106), $B118 * E106, "")</f>
        <v>507.18512256973793</v>
      </c>
      <c r="G106" s="31">
        <v>5930</v>
      </c>
      <c r="H106" s="32">
        <f t="shared" si="51"/>
        <v>2.5359256128486898E-3</v>
      </c>
      <c r="I106" s="91">
        <f>IF(ISNUMBER(G106), $B118 * H106, "")</f>
        <v>380.38884192730347</v>
      </c>
      <c r="J106" s="15">
        <v>5920</v>
      </c>
      <c r="K106" s="32">
        <f t="shared" si="52"/>
        <v>8.4530853761622987E-4</v>
      </c>
      <c r="L106" s="18">
        <f>IF(ISNUMBER(J106), $B118 * K106, "")</f>
        <v>126.79628064243448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 t="s">
        <v>101</v>
      </c>
      <c r="B107" s="115">
        <v>202</v>
      </c>
      <c r="C107" s="72">
        <v>-4.9261084000000004E-3</v>
      </c>
      <c r="D107" s="24">
        <v>204</v>
      </c>
      <c r="E107" s="25">
        <f t="shared" si="50"/>
        <v>9.9009900990099011E-3</v>
      </c>
      <c r="F107" s="94">
        <f>IF(ISNUMBER(D107), $B118 * E107, "")</f>
        <v>1485.1485148514851</v>
      </c>
      <c r="G107" s="92">
        <v>204</v>
      </c>
      <c r="H107" s="25">
        <f t="shared" si="51"/>
        <v>9.9009900990099011E-3</v>
      </c>
      <c r="I107" s="93">
        <f>IF(ISNUMBER(G107), $B118 * H107, "")</f>
        <v>1485.1485148514851</v>
      </c>
      <c r="J107" s="24">
        <v>204</v>
      </c>
      <c r="K107" s="25">
        <f t="shared" si="52"/>
        <v>9.9009900990099011E-3</v>
      </c>
      <c r="L107" s="94">
        <f>IF(ISNUMBER(J107), $B118 * K107, "")</f>
        <v>1485.1485148514851</v>
      </c>
      <c r="M107" s="92"/>
      <c r="N107" s="25" t="str">
        <f t="shared" si="53"/>
        <v/>
      </c>
      <c r="O107" s="94" t="str">
        <f>IF(ISNUMBER(M107), $B118 * N107, "")</f>
        <v/>
      </c>
      <c r="Q107" s="147"/>
      <c r="R107" s="148"/>
      <c r="S107" s="149"/>
    </row>
    <row r="108" spans="1:19">
      <c r="A108" s="107" t="s">
        <v>223</v>
      </c>
      <c r="B108" s="108">
        <v>189</v>
      </c>
      <c r="C108" s="69">
        <v>-5.2631579E-3</v>
      </c>
      <c r="D108" s="13">
        <v>191</v>
      </c>
      <c r="E108" s="14">
        <f>IF(ISNUMBER(D108), (D108 - $B108) / $B108, "")</f>
        <v>1.0582010582010581E-2</v>
      </c>
      <c r="F108" s="16">
        <f>IF(ISNUMBER(D108), $B118 * E108, "")</f>
        <v>1587.3015873015872</v>
      </c>
      <c r="G108" s="29">
        <v>191</v>
      </c>
      <c r="H108" s="14">
        <f>IF(ISNUMBER(G108), (G108 - $B108) / $B108, "")</f>
        <v>1.0582010582010581E-2</v>
      </c>
      <c r="I108" s="90">
        <f>IF(ISNUMBER(G108), $B118 * H108, "")</f>
        <v>1587.3015873015872</v>
      </c>
      <c r="J108" s="13">
        <v>190</v>
      </c>
      <c r="K108" s="14">
        <f>IF(ISNUMBER(J108), (J108 - $B108) / $B108, "")</f>
        <v>5.2910052910052907E-3</v>
      </c>
      <c r="L108" s="16">
        <f>IF(ISNUMBER(J108), $B118 * K108, "")</f>
        <v>793.65079365079362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0"/>
      <c r="R108" s="151"/>
      <c r="S108" s="152"/>
    </row>
    <row r="109" spans="1:19" ht="17.25" thickBot="1">
      <c r="A109" s="109" t="s">
        <v>81</v>
      </c>
      <c r="B109" s="110">
        <v>343</v>
      </c>
      <c r="C109" s="70">
        <v>-5.7971014E-3</v>
      </c>
      <c r="D109" s="15">
        <v>353</v>
      </c>
      <c r="E109" s="32">
        <f t="shared" ref="E109:E112" si="54">IF(ISNUMBER(D109), (D109 - $B109) / $B109, "")</f>
        <v>2.9154518950437316E-2</v>
      </c>
      <c r="F109" s="18">
        <f>IF(ISNUMBER(D109), $B118 * E109, "")</f>
        <v>4373.1778425655975</v>
      </c>
      <c r="G109" s="31">
        <v>349</v>
      </c>
      <c r="H109" s="32">
        <f t="shared" ref="H109:H112" si="55">IF(ISNUMBER(G109), (G109 - $B109) / $B109, "")</f>
        <v>1.7492711370262391E-2</v>
      </c>
      <c r="I109" s="91">
        <f>IF(ISNUMBER(G109), $B118 * H109, "")</f>
        <v>2623.9067055393589</v>
      </c>
      <c r="J109" s="15">
        <v>349</v>
      </c>
      <c r="K109" s="32">
        <f t="shared" ref="K109:K112" si="56">IF(ISNUMBER(J109), (J109 - $B109) / $B109, "")</f>
        <v>1.7492711370262391E-2</v>
      </c>
      <c r="L109" s="18">
        <f>IF(ISNUMBER(J109), $B118 * K109, "")</f>
        <v>2623.9067055393589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3"/>
      <c r="R109" s="154"/>
      <c r="S109" s="155"/>
    </row>
    <row r="110" spans="1:19" ht="17.25" thickBot="1">
      <c r="A110" s="109" t="s">
        <v>93</v>
      </c>
      <c r="B110" s="110">
        <v>1591500</v>
      </c>
      <c r="C110" s="70">
        <v>-6.8642746000000003E-3</v>
      </c>
      <c r="D110" s="15">
        <v>1606000</v>
      </c>
      <c r="E110" s="32">
        <f t="shared" si="54"/>
        <v>9.1109016650958215E-3</v>
      </c>
      <c r="F110" s="18">
        <f>IF(ISNUMBER(D110), $B118 * E110, "")</f>
        <v>1366.6352497643732</v>
      </c>
      <c r="G110" s="31">
        <v>1607500</v>
      </c>
      <c r="H110" s="32">
        <f t="shared" si="55"/>
        <v>1.0053408733898837E-2</v>
      </c>
      <c r="I110" s="91">
        <f>IF(ISNUMBER(G110), $B118 * H110, "")</f>
        <v>1508.0113100848257</v>
      </c>
      <c r="J110" s="15">
        <v>1606500</v>
      </c>
      <c r="K110" s="32">
        <f t="shared" si="56"/>
        <v>9.4250706880301596E-3</v>
      </c>
      <c r="L110" s="18">
        <f>IF(ISNUMBER(J110), $B118 * K110, "")</f>
        <v>1413.7606032045239</v>
      </c>
      <c r="M110" s="31"/>
      <c r="N110" s="32" t="str">
        <f t="shared" si="57"/>
        <v/>
      </c>
      <c r="O110" s="18" t="str">
        <f>IF(ISNUMBER(M110), $B118 * N110, "")</f>
        <v/>
      </c>
      <c r="Q110" s="146"/>
      <c r="R110" s="146"/>
      <c r="S110" s="146"/>
    </row>
    <row r="111" spans="1:19" ht="17.25" thickBot="1">
      <c r="A111" s="109" t="s">
        <v>99</v>
      </c>
      <c r="B111" s="110">
        <v>23200</v>
      </c>
      <c r="C111" s="70">
        <v>-8.1231294999999995E-3</v>
      </c>
      <c r="D111" s="15">
        <v>25570</v>
      </c>
      <c r="E111" s="32">
        <f t="shared" si="54"/>
        <v>0.1021551724137931</v>
      </c>
      <c r="F111" s="18">
        <f>IF(ISNUMBER(D111), $B118 * E111, "")</f>
        <v>15323.275862068966</v>
      </c>
      <c r="G111" s="31">
        <v>25640</v>
      </c>
      <c r="H111" s="32">
        <f t="shared" si="55"/>
        <v>0.10517241379310345</v>
      </c>
      <c r="I111" s="91">
        <f>IF(ISNUMBER(G111), $B118 * H111, "")</f>
        <v>15775.862068965518</v>
      </c>
      <c r="J111" s="15">
        <v>25740</v>
      </c>
      <c r="K111" s="32">
        <f t="shared" si="56"/>
        <v>0.10948275862068965</v>
      </c>
      <c r="L111" s="18">
        <f>IF(ISNUMBER(J111), $B118 * K111, "")</f>
        <v>16422.413793103449</v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 t="s">
        <v>345</v>
      </c>
      <c r="B112" s="112">
        <v>108</v>
      </c>
      <c r="C112" s="71">
        <v>-9.1743119000000008E-3</v>
      </c>
      <c r="D112" s="20">
        <v>109</v>
      </c>
      <c r="E112" s="21">
        <f t="shared" si="54"/>
        <v>9.2592592592592587E-3</v>
      </c>
      <c r="F112" s="22">
        <f>IF(ISNUMBER(D112), $B118 * E112, "")</f>
        <v>1388.8888888888889</v>
      </c>
      <c r="G112" s="30">
        <v>110</v>
      </c>
      <c r="H112" s="21">
        <f t="shared" si="55"/>
        <v>1.8518518518518517E-2</v>
      </c>
      <c r="I112" s="95">
        <f>IF(ISNUMBER(G112), $B118 * H112, "")</f>
        <v>2777.7777777777778</v>
      </c>
      <c r="J112" s="20">
        <v>110</v>
      </c>
      <c r="K112" s="21">
        <f t="shared" si="56"/>
        <v>1.8518518518518517E-2</v>
      </c>
      <c r="L112" s="22">
        <f>IF(ISNUMBER(J112), $B118 * K112, "")</f>
        <v>2777.7777777777778</v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 t="s">
        <v>89</v>
      </c>
      <c r="B113" s="113">
        <v>429</v>
      </c>
      <c r="C113" s="73">
        <v>-9.2378753000000001E-3</v>
      </c>
      <c r="D113" s="96">
        <v>436</v>
      </c>
      <c r="E113" s="97">
        <f>IF(ISNUMBER(D113), (D113 - $B113) / $B113, "")</f>
        <v>1.6317016317016316E-2</v>
      </c>
      <c r="F113" s="98">
        <f>IF(ISNUMBER(D113), $B118 * E113, "")</f>
        <v>2447.5524475524476</v>
      </c>
      <c r="G113" s="99">
        <v>435</v>
      </c>
      <c r="H113" s="97">
        <f>IF(ISNUMBER(G113), (G113 - $B113) / $B113, "")</f>
        <v>1.3986013986013986E-2</v>
      </c>
      <c r="I113" s="100">
        <f>IF(ISNUMBER(G113), $B118 * H113, "")</f>
        <v>2097.9020979020979</v>
      </c>
      <c r="J113" s="96">
        <v>435</v>
      </c>
      <c r="K113" s="97">
        <f>IF(ISNUMBER(J113), (J113 - $B113) / $B113, "")</f>
        <v>1.3986013986013986E-2</v>
      </c>
      <c r="L113" s="98">
        <f>IF(ISNUMBER(J113), $B118 * K113, "")</f>
        <v>2097.9020979020979</v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46"/>
      <c r="R113" s="146"/>
      <c r="S113" s="146"/>
    </row>
    <row r="114" spans="1:19" ht="17.25" thickBot="1">
      <c r="A114" s="109" t="s">
        <v>49</v>
      </c>
      <c r="B114" s="110">
        <v>21347000</v>
      </c>
      <c r="C114" s="70">
        <v>-1.0567786799999999E-2</v>
      </c>
      <c r="D114" s="15">
        <v>21538000</v>
      </c>
      <c r="E114" s="32">
        <f t="shared" ref="E114:E117" si="58">IF(ISNUMBER(D114), (D114 - $B114) / $B114, "")</f>
        <v>8.9473930763104888E-3</v>
      </c>
      <c r="F114" s="18">
        <f>IF(ISNUMBER(D114), $B118 * E114, "")</f>
        <v>1342.1089614465734</v>
      </c>
      <c r="G114" s="31">
        <v>21503000</v>
      </c>
      <c r="H114" s="32">
        <f t="shared" ref="H114:H117" si="59">IF(ISNUMBER(G114), (G114 - $B114) / $B114, "")</f>
        <v>7.3078184288190382E-3</v>
      </c>
      <c r="I114" s="91">
        <f>IF(ISNUMBER(G114), $B118 * H114, "")</f>
        <v>1096.1727643228558</v>
      </c>
      <c r="J114" s="15">
        <v>21515000</v>
      </c>
      <c r="K114" s="32">
        <f t="shared" ref="K114:K117" si="60">IF(ISNUMBER(J114), (J114 - $B114) / $B114, "")</f>
        <v>7.8699583079589637E-3</v>
      </c>
      <c r="L114" s="18">
        <f>IF(ISNUMBER(J114), $B118 * K114, "")</f>
        <v>1180.4937461938446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6"/>
      <c r="R114" s="146"/>
      <c r="S114" s="146"/>
    </row>
    <row r="115" spans="1:19" ht="17.25" thickBot="1">
      <c r="A115" s="109" t="s">
        <v>149</v>
      </c>
      <c r="B115" s="110">
        <v>317</v>
      </c>
      <c r="C115" s="70">
        <v>-1.2461059199999999E-2</v>
      </c>
      <c r="D115" s="15">
        <v>336</v>
      </c>
      <c r="E115" s="32">
        <f t="shared" si="58"/>
        <v>5.993690851735016E-2</v>
      </c>
      <c r="F115" s="18">
        <f>IF(ISNUMBER(D115), $B118 * E115, "")</f>
        <v>8990.5362776025231</v>
      </c>
      <c r="G115" s="31">
        <v>339</v>
      </c>
      <c r="H115" s="32">
        <f t="shared" si="59"/>
        <v>6.9400630914826497E-2</v>
      </c>
      <c r="I115" s="91">
        <f>IF(ISNUMBER(G115), $B118 * H115, "")</f>
        <v>10410.094637223974</v>
      </c>
      <c r="J115" s="15">
        <v>340</v>
      </c>
      <c r="K115" s="32">
        <f t="shared" si="60"/>
        <v>7.2555205047318619E-2</v>
      </c>
      <c r="L115" s="18">
        <f>IF(ISNUMBER(J115), $B118 * K115, "")</f>
        <v>10883.280757097793</v>
      </c>
      <c r="M115" s="31"/>
      <c r="N115" s="32" t="str">
        <f t="shared" si="61"/>
        <v/>
      </c>
      <c r="O115" s="18" t="str">
        <f>IF(ISNUMBER(M115), $B118 * N115, "")</f>
        <v/>
      </c>
      <c r="Q115" s="146"/>
      <c r="R115" s="146"/>
      <c r="S115" s="146"/>
    </row>
    <row r="116" spans="1:19">
      <c r="A116" s="109" t="s">
        <v>75</v>
      </c>
      <c r="B116" s="110">
        <v>7155</v>
      </c>
      <c r="C116" s="70">
        <v>-1.3103448300000001E-2</v>
      </c>
      <c r="D116" s="15">
        <v>7345</v>
      </c>
      <c r="E116" s="32">
        <f t="shared" si="58"/>
        <v>2.6554856743535988E-2</v>
      </c>
      <c r="F116" s="18">
        <f>IF(ISNUMBER(D116), $B118 * E116, "")</f>
        <v>3983.228511530398</v>
      </c>
      <c r="G116" s="31">
        <v>7330</v>
      </c>
      <c r="H116" s="32">
        <f t="shared" si="59"/>
        <v>2.445842068483578E-2</v>
      </c>
      <c r="I116" s="91">
        <f>IF(ISNUMBER(G116), $B118 * H116, "")</f>
        <v>3668.7631027253669</v>
      </c>
      <c r="J116" s="15">
        <v>7340</v>
      </c>
      <c r="K116" s="32">
        <f t="shared" si="60"/>
        <v>2.5856044723969251E-2</v>
      </c>
      <c r="L116" s="18">
        <f>IF(ISNUMBER(J116), $B118 * K116, "")</f>
        <v>3878.4067085953875</v>
      </c>
      <c r="M116" s="31"/>
      <c r="N116" s="32" t="str">
        <f t="shared" si="61"/>
        <v/>
      </c>
      <c r="O116" s="18" t="str">
        <f>IF(ISNUMBER(M116), $B118 * N116, "")</f>
        <v/>
      </c>
      <c r="Q116" s="135"/>
      <c r="R116" s="136"/>
      <c r="S116" s="137"/>
    </row>
    <row r="117" spans="1:19" ht="17.25" thickBot="1">
      <c r="A117" s="114" t="s">
        <v>126</v>
      </c>
      <c r="B117" s="115">
        <v>21.4</v>
      </c>
      <c r="C117" s="72">
        <v>-1.3824884799999999E-2</v>
      </c>
      <c r="D117" s="24">
        <v>22.2</v>
      </c>
      <c r="E117" s="25">
        <f t="shared" si="58"/>
        <v>3.7383177570093497E-2</v>
      </c>
      <c r="F117" s="94">
        <f>IF(ISNUMBER(D117), $B118 * E117, "")</f>
        <v>5607.4766355140246</v>
      </c>
      <c r="G117" s="92">
        <v>22.1</v>
      </c>
      <c r="H117" s="25">
        <f t="shared" si="59"/>
        <v>3.2710280373831911E-2</v>
      </c>
      <c r="I117" s="93">
        <f>IF(ISNUMBER(G117), $B118 * H117, "")</f>
        <v>4906.5420560747871</v>
      </c>
      <c r="J117" s="24">
        <v>22</v>
      </c>
      <c r="K117" s="25">
        <f t="shared" si="60"/>
        <v>2.8037383177570162E-2</v>
      </c>
      <c r="L117" s="94">
        <f>IF(ISNUMBER(J117), $B118 * K117, "")</f>
        <v>4205.6074766355241</v>
      </c>
      <c r="M117" s="92"/>
      <c r="N117" s="25" t="str">
        <f t="shared" si="61"/>
        <v/>
      </c>
      <c r="O117" s="94" t="str">
        <f>IF(ISNUMBER(M117), $B118 * N117, "")</f>
        <v/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1.5592994770256632E-2</v>
      </c>
      <c r="F118" s="28">
        <f>SUM(F98:F117)</f>
        <v>46778.984310769898</v>
      </c>
      <c r="G118" s="26" t="s">
        <v>258</v>
      </c>
      <c r="H118" s="27">
        <f>IF(COUNT(H98:H117), SUM(H98:H117) / COUNT(H98:H117), 0)</f>
        <v>1.4959366194689457E-2</v>
      </c>
      <c r="I118" s="28">
        <f>SUM(I98:I117)</f>
        <v>44878.098584068379</v>
      </c>
      <c r="J118" s="26" t="s">
        <v>258</v>
      </c>
      <c r="K118" s="27">
        <f>IF(COUNT(K98:K117), SUM(K98:K117) / COUNT(K98:K117), 0)</f>
        <v>1.5140299182329123E-2</v>
      </c>
      <c r="L118" s="28">
        <f>SUM(L98:L117)</f>
        <v>45420.897546987369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21539000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1.0224474E-3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2023-01-07(토) 오전 00:00</v>
      </c>
      <c r="C123" s="198"/>
      <c r="D123" s="170" t="str">
        <f>TEXT($G$1, "[$-ko-KR]yyyy-mm-dd(ddd) ") &amp; "오후 14:00"</f>
        <v>2023-01-07(토) 오후 14:00</v>
      </c>
      <c r="E123" s="171"/>
      <c r="F123" s="172"/>
      <c r="G123" s="170" t="str">
        <f>TEXT($G$1, "[$-ko-KR]yyyy-mm-dd(ddd) ") &amp; "오후 19:00"</f>
        <v>2023-01-07(토) 오후 19:00</v>
      </c>
      <c r="H123" s="171"/>
      <c r="I123" s="172"/>
      <c r="J123" s="170" t="str">
        <f>TEXT($G$1, "[$-ko-KR]yyyy-mm-dd(ddd) ") &amp; "오후 21:00"</f>
        <v>2023-01-07(토) 오후 21:00</v>
      </c>
      <c r="K123" s="171"/>
      <c r="L123" s="172"/>
      <c r="M123" s="170" t="str">
        <f>TEXT($G$1+1, "[$-ko-KR]yyyy-mm-dd(ddd) ") &amp; "오전 00:00"</f>
        <v>2023-01-08(일)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217</v>
      </c>
      <c r="B125" s="108">
        <v>54.4</v>
      </c>
      <c r="C125" s="69">
        <v>-2.68336315E-2</v>
      </c>
      <c r="D125" s="13">
        <v>56.7</v>
      </c>
      <c r="E125" s="14">
        <f>IF(ISNUMBER(D125), (D125 - $B125) / $B125, "")</f>
        <v>4.2279411764705961E-2</v>
      </c>
      <c r="F125" s="16">
        <f>IF(ISNUMBER(D125), $B145 * E125, "")</f>
        <v>6341.9117647058938</v>
      </c>
      <c r="G125" s="29">
        <v>57</v>
      </c>
      <c r="H125" s="14">
        <f>IF(ISNUMBER(G125), (G125 - $B125) / $B125, "")</f>
        <v>4.7794117647058848E-2</v>
      </c>
      <c r="I125" s="90">
        <f>IF(ISNUMBER(G125), $B145 * H125, "")</f>
        <v>7169.1176470588271</v>
      </c>
      <c r="J125" s="13">
        <v>56.9</v>
      </c>
      <c r="K125" s="14">
        <f>IF(ISNUMBER(J125), (J125 - $B125) / $B125, "")</f>
        <v>4.595588235294118E-2</v>
      </c>
      <c r="L125" s="16">
        <f>IF(ISNUMBER(J125), $B145 * K125, "")</f>
        <v>6893.3823529411766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 t="s">
        <v>237</v>
      </c>
      <c r="B126" s="110">
        <v>25.1</v>
      </c>
      <c r="C126" s="70">
        <v>-2.7131782900000002E-2</v>
      </c>
      <c r="D126" s="15">
        <v>25.4</v>
      </c>
      <c r="E126" s="32">
        <f t="shared" ref="E126:E129" si="62">IF(ISNUMBER(D126), (D126 - $B126) / $B126, "")</f>
        <v>1.1952191235059646E-2</v>
      </c>
      <c r="F126" s="18">
        <f>IF(ISNUMBER(D126), $B145 * E126, "")</f>
        <v>1792.828685258947</v>
      </c>
      <c r="G126" s="31">
        <v>25.5</v>
      </c>
      <c r="H126" s="32">
        <f t="shared" ref="H126:H129" si="63">IF(ISNUMBER(G126), (G126 - $B126) / $B126, "")</f>
        <v>1.5936254980079625E-2</v>
      </c>
      <c r="I126" s="91">
        <f>IF(ISNUMBER(G126), $B145 * H126, "")</f>
        <v>2390.438247011944</v>
      </c>
      <c r="J126" s="15">
        <v>25.4</v>
      </c>
      <c r="K126" s="32">
        <f t="shared" ref="K126:K129" si="64">IF(ISNUMBER(J126), (J126 - $B126) / $B126, "")</f>
        <v>1.1952191235059646E-2</v>
      </c>
      <c r="L126" s="18">
        <f>IF(ISNUMBER(J126), $B145 * K126, "")</f>
        <v>1792.828685258947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 t="s">
        <v>241</v>
      </c>
      <c r="B127" s="110">
        <v>83.6</v>
      </c>
      <c r="C127" s="70">
        <v>-2.7906976699999999E-2</v>
      </c>
      <c r="D127" s="15">
        <v>85.7</v>
      </c>
      <c r="E127" s="32">
        <f t="shared" si="62"/>
        <v>2.5119617224880486E-2</v>
      </c>
      <c r="F127" s="18">
        <f>IF(ISNUMBER(D127), $B145 * E127, "")</f>
        <v>3767.9425837320728</v>
      </c>
      <c r="G127" s="31">
        <v>86</v>
      </c>
      <c r="H127" s="32">
        <f t="shared" si="63"/>
        <v>2.8708133971291936E-2</v>
      </c>
      <c r="I127" s="91">
        <f>IF(ISNUMBER(G127), $B145 * H127, "")</f>
        <v>4306.2200956937904</v>
      </c>
      <c r="J127" s="15">
        <v>85.8</v>
      </c>
      <c r="K127" s="32">
        <f t="shared" si="64"/>
        <v>2.6315789473684247E-2</v>
      </c>
      <c r="L127" s="18">
        <f>IF(ISNUMBER(J127), $B145 * K127, "")</f>
        <v>3947.3684210526371</v>
      </c>
      <c r="M127" s="31"/>
      <c r="N127" s="32" t="str">
        <f t="shared" si="65"/>
        <v/>
      </c>
      <c r="O127" s="18" t="str">
        <f>IF(ISNUMBER(M127), $B145 * N127, "")</f>
        <v/>
      </c>
      <c r="Q127" s="146"/>
      <c r="R127" s="146"/>
      <c r="S127" s="146"/>
    </row>
    <row r="128" spans="1:19" ht="17.25" thickBot="1">
      <c r="A128" s="109" t="s">
        <v>118</v>
      </c>
      <c r="B128" s="110">
        <v>4.67</v>
      </c>
      <c r="C128" s="70">
        <v>-2.91060291E-2</v>
      </c>
      <c r="D128" s="15">
        <v>4.8499999999999996</v>
      </c>
      <c r="E128" s="32">
        <f t="shared" si="62"/>
        <v>3.8543897216274027E-2</v>
      </c>
      <c r="F128" s="18">
        <f>IF(ISNUMBER(D128), $B145 * E128, "")</f>
        <v>5781.5845824411044</v>
      </c>
      <c r="G128" s="31">
        <v>4.84</v>
      </c>
      <c r="H128" s="32">
        <f t="shared" si="63"/>
        <v>3.6402569593147735E-2</v>
      </c>
      <c r="I128" s="91">
        <f>IF(ISNUMBER(G128), $B145 * H128, "")</f>
        <v>5460.38543897216</v>
      </c>
      <c r="J128" s="15">
        <v>4.82</v>
      </c>
      <c r="K128" s="32">
        <f t="shared" si="64"/>
        <v>3.2119914346895151E-2</v>
      </c>
      <c r="L128" s="18">
        <f>IF(ISNUMBER(J128), $B145 * K128, "")</f>
        <v>4817.9871520342722</v>
      </c>
      <c r="M128" s="31"/>
      <c r="N128" s="32" t="str">
        <f t="shared" si="65"/>
        <v/>
      </c>
      <c r="O128" s="18" t="str">
        <f>IF(ISNUMBER(M128), $B145 * N128, "")</f>
        <v/>
      </c>
      <c r="Q128" s="146"/>
      <c r="R128" s="146"/>
      <c r="S128" s="146"/>
    </row>
    <row r="129" spans="1:19" ht="17.25" thickBot="1">
      <c r="A129" s="111" t="s">
        <v>209</v>
      </c>
      <c r="B129" s="112">
        <v>69.3</v>
      </c>
      <c r="C129" s="71">
        <v>-2.9411764699999999E-2</v>
      </c>
      <c r="D129" s="20">
        <v>70.900000000000006</v>
      </c>
      <c r="E129" s="21">
        <f t="shared" si="62"/>
        <v>2.3088023088023213E-2</v>
      </c>
      <c r="F129" s="22">
        <f>IF(ISNUMBER(D129), $B145 * E129, "")</f>
        <v>3463.203463203482</v>
      </c>
      <c r="G129" s="30">
        <v>71</v>
      </c>
      <c r="H129" s="21">
        <f t="shared" si="63"/>
        <v>2.4531024531024574E-2</v>
      </c>
      <c r="I129" s="95">
        <f>IF(ISNUMBER(G129), $B145 * H129, "")</f>
        <v>3679.6536796536861</v>
      </c>
      <c r="J129" s="20">
        <v>71.099999999999994</v>
      </c>
      <c r="K129" s="21">
        <f t="shared" si="64"/>
        <v>2.5974025974025934E-2</v>
      </c>
      <c r="L129" s="22">
        <f>IF(ISNUMBER(J129), $B145 * K129, "")</f>
        <v>3896.1038961038903</v>
      </c>
      <c r="M129" s="30"/>
      <c r="N129" s="21" t="str">
        <f t="shared" si="65"/>
        <v/>
      </c>
      <c r="O129" s="22" t="str">
        <f>IF(ISNUMBER(M129), $B145 * N129, "")</f>
        <v/>
      </c>
      <c r="Q129" s="146"/>
      <c r="R129" s="146"/>
      <c r="S129" s="146"/>
    </row>
    <row r="130" spans="1:19" ht="17.25" thickBot="1">
      <c r="A130" s="109" t="s">
        <v>185</v>
      </c>
      <c r="B130" s="113">
        <v>22.9</v>
      </c>
      <c r="C130" s="73">
        <v>-2.96610169E-2</v>
      </c>
      <c r="D130" s="96">
        <v>23.7</v>
      </c>
      <c r="E130" s="97">
        <f>IF(ISNUMBER(D130), (D130 - $B130) / $B130, "")</f>
        <v>3.4934497816593919E-2</v>
      </c>
      <c r="F130" s="98">
        <f>IF(ISNUMBER(D130), $B145 * E130, "")</f>
        <v>5240.1746724890882</v>
      </c>
      <c r="G130" s="99">
        <v>23.6</v>
      </c>
      <c r="H130" s="97">
        <f>IF(ISNUMBER(G130), (G130 - $B130) / $B130, "")</f>
        <v>3.0567685589519777E-2</v>
      </c>
      <c r="I130" s="100">
        <f>IF(ISNUMBER(G130), $B145 * H130, "")</f>
        <v>4585.1528384279663</v>
      </c>
      <c r="J130" s="96">
        <v>23.8</v>
      </c>
      <c r="K130" s="97">
        <f>IF(ISNUMBER(J130), (J130 - $B130) / $B130, "")</f>
        <v>3.9301310043668221E-2</v>
      </c>
      <c r="L130" s="98">
        <f>IF(ISNUMBER(J130), $B145 * K130, "")</f>
        <v>5895.1965065502327</v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46"/>
      <c r="R130" s="146"/>
      <c r="S130" s="146"/>
    </row>
    <row r="131" spans="1:19" ht="17.25" thickBot="1">
      <c r="A131" s="109" t="s">
        <v>71</v>
      </c>
      <c r="B131" s="110">
        <v>9.44</v>
      </c>
      <c r="C131" s="70">
        <v>-2.9804727600000001E-2</v>
      </c>
      <c r="D131" s="15">
        <v>9.58</v>
      </c>
      <c r="E131" s="32">
        <f t="shared" ref="E131:E134" si="66">IF(ISNUMBER(D131), (D131 - $B131) / $B131, "")</f>
        <v>1.4830508474576332E-2</v>
      </c>
      <c r="F131" s="18">
        <f>IF(ISNUMBER(D131), $B145 * E131, "")</f>
        <v>2224.57627118645</v>
      </c>
      <c r="G131" s="31">
        <v>9.61</v>
      </c>
      <c r="H131" s="32">
        <f t="shared" ref="H131:H134" si="67">IF(ISNUMBER(G131), (G131 - $B131) / $B131, "")</f>
        <v>1.800847457627118E-2</v>
      </c>
      <c r="I131" s="91">
        <f>IF(ISNUMBER(G131), $B145 * H131, "")</f>
        <v>2701.271186440677</v>
      </c>
      <c r="J131" s="15">
        <v>9.6</v>
      </c>
      <c r="K131" s="32">
        <f t="shared" ref="K131:K134" si="68">IF(ISNUMBER(J131), (J131 - $B131) / $B131, "")</f>
        <v>1.6949152542372899E-2</v>
      </c>
      <c r="L131" s="18">
        <f>IF(ISNUMBER(J131), $B145 * K131, "")</f>
        <v>2542.3728813559346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6"/>
      <c r="R131" s="146"/>
      <c r="S131" s="146"/>
    </row>
    <row r="132" spans="1:19" ht="17.25" thickBot="1">
      <c r="A132" s="109" t="s">
        <v>333</v>
      </c>
      <c r="B132" s="110">
        <v>3.96</v>
      </c>
      <c r="C132" s="70">
        <v>-3.1784841100000003E-2</v>
      </c>
      <c r="D132" s="15">
        <v>4.0199999999999996</v>
      </c>
      <c r="E132" s="32">
        <f t="shared" si="66"/>
        <v>1.5151515151515053E-2</v>
      </c>
      <c r="F132" s="18">
        <f>IF(ISNUMBER(D132), $B145 * E132, "")</f>
        <v>2272.727272727258</v>
      </c>
      <c r="G132" s="31">
        <v>4.0199999999999996</v>
      </c>
      <c r="H132" s="32">
        <f t="shared" si="67"/>
        <v>1.5151515151515053E-2</v>
      </c>
      <c r="I132" s="91">
        <f>IF(ISNUMBER(G132), $B145 * H132, "")</f>
        <v>2272.727272727258</v>
      </c>
      <c r="J132" s="15">
        <v>4.0199999999999996</v>
      </c>
      <c r="K132" s="32">
        <f t="shared" si="68"/>
        <v>1.5151515151515053E-2</v>
      </c>
      <c r="L132" s="18">
        <f>IF(ISNUMBER(J132), $B145 * K132, "")</f>
        <v>2272.727272727258</v>
      </c>
      <c r="M132" s="31"/>
      <c r="N132" s="32" t="str">
        <f t="shared" si="69"/>
        <v/>
      </c>
      <c r="O132" s="18" t="str">
        <f>IF(ISNUMBER(M132), $B145 * N132, "")</f>
        <v/>
      </c>
      <c r="Q132" s="146"/>
      <c r="R132" s="146"/>
      <c r="S132" s="146"/>
    </row>
    <row r="133" spans="1:19" ht="17.25" thickBot="1">
      <c r="A133" s="109" t="s">
        <v>329</v>
      </c>
      <c r="B133" s="110">
        <v>47.6</v>
      </c>
      <c r="C133" s="70">
        <v>-3.2520325199999998E-2</v>
      </c>
      <c r="D133" s="15">
        <v>49.7</v>
      </c>
      <c r="E133" s="32">
        <f t="shared" si="66"/>
        <v>4.411764705882356E-2</v>
      </c>
      <c r="F133" s="18">
        <f>IF(ISNUMBER(D133), $B145 * E133, "")</f>
        <v>6617.6470588235343</v>
      </c>
      <c r="G133" s="31">
        <v>49.4</v>
      </c>
      <c r="H133" s="32">
        <f t="shared" si="67"/>
        <v>3.781512605042011E-2</v>
      </c>
      <c r="I133" s="91">
        <f>IF(ISNUMBER(G133), $B145 * H133, "")</f>
        <v>5672.2689075630169</v>
      </c>
      <c r="J133" s="15">
        <v>49.3</v>
      </c>
      <c r="K133" s="32">
        <f t="shared" si="68"/>
        <v>3.5714285714285622E-2</v>
      </c>
      <c r="L133" s="18">
        <f>IF(ISNUMBER(J133), $B145 * K133, "")</f>
        <v>5357.1428571428432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 t="s">
        <v>191</v>
      </c>
      <c r="B134" s="115">
        <v>49.1</v>
      </c>
      <c r="C134" s="72">
        <v>-3.3464566899999999E-2</v>
      </c>
      <c r="D134" s="24">
        <v>49.5</v>
      </c>
      <c r="E134" s="25">
        <f t="shared" si="66"/>
        <v>8.1466395112016008E-3</v>
      </c>
      <c r="F134" s="94">
        <f>IF(ISNUMBER(D134), $B145 * E134, "")</f>
        <v>1221.99592668024</v>
      </c>
      <c r="G134" s="92">
        <v>49.3</v>
      </c>
      <c r="H134" s="25">
        <f t="shared" si="67"/>
        <v>4.0733197556007275E-3</v>
      </c>
      <c r="I134" s="93">
        <f>IF(ISNUMBER(G134), $B145 * H134, "")</f>
        <v>610.9979633401091</v>
      </c>
      <c r="J134" s="24">
        <v>49.3</v>
      </c>
      <c r="K134" s="25">
        <f t="shared" si="68"/>
        <v>4.0733197556007275E-3</v>
      </c>
      <c r="L134" s="94">
        <f>IF(ISNUMBER(J134), $B145 * K134, "")</f>
        <v>610.9979633401091</v>
      </c>
      <c r="M134" s="92"/>
      <c r="N134" s="25" t="str">
        <f t="shared" si="69"/>
        <v/>
      </c>
      <c r="O134" s="94" t="str">
        <f>IF(ISNUMBER(M134), $B145 * N134, "")</f>
        <v/>
      </c>
      <c r="Q134" s="147"/>
      <c r="R134" s="148"/>
      <c r="S134" s="149"/>
    </row>
    <row r="135" spans="1:19">
      <c r="A135" s="107" t="s">
        <v>349</v>
      </c>
      <c r="B135" s="108">
        <v>20.2</v>
      </c>
      <c r="C135" s="69">
        <v>-3.3492822999999998E-2</v>
      </c>
      <c r="D135" s="13">
        <v>20.6</v>
      </c>
      <c r="E135" s="14">
        <f>IF(ISNUMBER(D135), (D135 - $B135) / $B135, "")</f>
        <v>1.980198019801991E-2</v>
      </c>
      <c r="F135" s="16">
        <f>IF(ISNUMBER(D135), $B145 * E135, "")</f>
        <v>2970.2970297029865</v>
      </c>
      <c r="G135" s="29">
        <v>20.8</v>
      </c>
      <c r="H135" s="14">
        <f>IF(ISNUMBER(G135), (G135 - $B135) / $B135, "")</f>
        <v>2.9702970297029774E-2</v>
      </c>
      <c r="I135" s="90">
        <f>IF(ISNUMBER(G135), $B145 * H135, "")</f>
        <v>4455.4455445544663</v>
      </c>
      <c r="J135" s="13">
        <v>20.7</v>
      </c>
      <c r="K135" s="14">
        <f>IF(ISNUMBER(J135), (J135 - $B135) / $B135, "")</f>
        <v>2.4752475247524754E-2</v>
      </c>
      <c r="L135" s="16">
        <f>IF(ISNUMBER(J135), $B145 * K135, "")</f>
        <v>3712.871287128713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0"/>
      <c r="R135" s="151"/>
      <c r="S135" s="152"/>
    </row>
    <row r="136" spans="1:19" ht="17.25" thickBot="1">
      <c r="A136" s="109" t="s">
        <v>350</v>
      </c>
      <c r="B136" s="110">
        <v>5.46</v>
      </c>
      <c r="C136" s="70">
        <v>-3.3628318599999998E-2</v>
      </c>
      <c r="D136" s="15">
        <v>5.52</v>
      </c>
      <c r="E136" s="32">
        <f t="shared" ref="E136:E139" si="70">IF(ISNUMBER(D136), (D136 - $B136) / $B136, "")</f>
        <v>1.0989010989010917E-2</v>
      </c>
      <c r="F136" s="18">
        <f>IF(ISNUMBER(D136), $B145 * E136, "")</f>
        <v>1648.3516483516376</v>
      </c>
      <c r="G136" s="31">
        <v>5.54</v>
      </c>
      <c r="H136" s="32">
        <f t="shared" ref="H136:H139" si="71">IF(ISNUMBER(G136), (G136 - $B136) / $B136, "")</f>
        <v>1.4652014652014666E-2</v>
      </c>
      <c r="I136" s="91">
        <f>IF(ISNUMBER(G136), $B145 * H136, "")</f>
        <v>2197.8021978021998</v>
      </c>
      <c r="J136" s="15">
        <v>5.54</v>
      </c>
      <c r="K136" s="32">
        <f t="shared" ref="K136:K139" si="72">IF(ISNUMBER(J136), (J136 - $B136) / $B136, "")</f>
        <v>1.4652014652014666E-2</v>
      </c>
      <c r="L136" s="18">
        <f>IF(ISNUMBER(J136), $B145 * K136, "")</f>
        <v>2197.8021978021998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3"/>
      <c r="R136" s="154"/>
      <c r="S136" s="155"/>
    </row>
    <row r="137" spans="1:19" ht="17.25" thickBot="1">
      <c r="A137" s="109" t="s">
        <v>124</v>
      </c>
      <c r="B137" s="110">
        <v>27.1</v>
      </c>
      <c r="C137" s="70">
        <v>-3.55871886E-2</v>
      </c>
      <c r="D137" s="15">
        <v>27.8</v>
      </c>
      <c r="E137" s="32">
        <f t="shared" si="70"/>
        <v>2.5830258302582999E-2</v>
      </c>
      <c r="F137" s="18">
        <f>IF(ISNUMBER(D137), $B145 * E137, "")</f>
        <v>3874.5387453874496</v>
      </c>
      <c r="G137" s="31">
        <v>27.8</v>
      </c>
      <c r="H137" s="32">
        <f t="shared" si="71"/>
        <v>2.5830258302582999E-2</v>
      </c>
      <c r="I137" s="91">
        <f>IF(ISNUMBER(G137), $B145 * H137, "")</f>
        <v>3874.5387453874496</v>
      </c>
      <c r="J137" s="15">
        <v>27.9</v>
      </c>
      <c r="K137" s="32">
        <f t="shared" si="72"/>
        <v>2.9520295202951925E-2</v>
      </c>
      <c r="L137" s="18">
        <f>IF(ISNUMBER(J137), $B145 * K137, "")</f>
        <v>4428.0442804427885</v>
      </c>
      <c r="M137" s="31"/>
      <c r="N137" s="32" t="str">
        <f t="shared" si="73"/>
        <v/>
      </c>
      <c r="O137" s="18" t="str">
        <f>IF(ISNUMBER(M137), $B145 * N137, "")</f>
        <v/>
      </c>
      <c r="Q137" s="146"/>
      <c r="R137" s="146"/>
      <c r="S137" s="146"/>
    </row>
    <row r="138" spans="1:19" ht="17.25" thickBot="1">
      <c r="A138" s="109" t="s">
        <v>132</v>
      </c>
      <c r="B138" s="110">
        <v>40.5</v>
      </c>
      <c r="C138" s="70">
        <v>-3.5714285700000001E-2</v>
      </c>
      <c r="D138" s="15">
        <v>41.4</v>
      </c>
      <c r="E138" s="32">
        <f t="shared" si="70"/>
        <v>2.2222222222222188E-2</v>
      </c>
      <c r="F138" s="18">
        <f>IF(ISNUMBER(D138), $B145 * E138, "")</f>
        <v>3333.3333333333285</v>
      </c>
      <c r="G138" s="31">
        <v>41.6</v>
      </c>
      <c r="H138" s="32">
        <f t="shared" si="71"/>
        <v>2.7160493827160528E-2</v>
      </c>
      <c r="I138" s="91">
        <f>IF(ISNUMBER(G138), $B145 * H138, "")</f>
        <v>4074.0740740740794</v>
      </c>
      <c r="J138" s="15">
        <v>41.5</v>
      </c>
      <c r="K138" s="32">
        <f t="shared" si="72"/>
        <v>2.4691358024691357E-2</v>
      </c>
      <c r="L138" s="18">
        <f>IF(ISNUMBER(J138), $B145 * K138, "")</f>
        <v>3703.7037037037035</v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 t="s">
        <v>225</v>
      </c>
      <c r="B139" s="112">
        <v>50.7</v>
      </c>
      <c r="C139" s="71">
        <v>-3.6121673E-2</v>
      </c>
      <c r="D139" s="20">
        <v>52.8</v>
      </c>
      <c r="E139" s="21">
        <f t="shared" si="70"/>
        <v>4.1420118343195152E-2</v>
      </c>
      <c r="F139" s="22">
        <f>IF(ISNUMBER(D139), $B145 * E139, "")</f>
        <v>6213.0177514792731</v>
      </c>
      <c r="G139" s="30">
        <v>53</v>
      </c>
      <c r="H139" s="21">
        <f t="shared" si="71"/>
        <v>4.5364891518737613E-2</v>
      </c>
      <c r="I139" s="95">
        <f>IF(ISNUMBER(G139), $B145 * H139, "")</f>
        <v>6804.7337278106415</v>
      </c>
      <c r="J139" s="20">
        <v>52.7</v>
      </c>
      <c r="K139" s="21">
        <f t="shared" si="72"/>
        <v>3.9447731755424063E-2</v>
      </c>
      <c r="L139" s="22">
        <f>IF(ISNUMBER(J139), $B145 * K139, "")</f>
        <v>5917.1597633136098</v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 t="s">
        <v>120</v>
      </c>
      <c r="B140" s="113">
        <v>95.8</v>
      </c>
      <c r="C140" s="73">
        <v>-4.2000000000000003E-2</v>
      </c>
      <c r="D140" s="96">
        <v>98</v>
      </c>
      <c r="E140" s="97">
        <f>IF(ISNUMBER(D140), (D140 - $B140) / $B140, "")</f>
        <v>2.2964509394572057E-2</v>
      </c>
      <c r="F140" s="98">
        <f>IF(ISNUMBER(D140), $B145 * E140, "")</f>
        <v>3444.6764091858086</v>
      </c>
      <c r="G140" s="99">
        <v>97.8</v>
      </c>
      <c r="H140" s="97">
        <f>IF(ISNUMBER(G140), (G140 - $B140) / $B140, "")</f>
        <v>2.0876826722338204E-2</v>
      </c>
      <c r="I140" s="100">
        <f>IF(ISNUMBER(G140), $B145 * H140, "")</f>
        <v>3131.5240083507306</v>
      </c>
      <c r="J140" s="96">
        <v>98</v>
      </c>
      <c r="K140" s="97">
        <f>IF(ISNUMBER(J140), (J140 - $B140) / $B140, "")</f>
        <v>2.2964509394572057E-2</v>
      </c>
      <c r="L140" s="98">
        <f>IF(ISNUMBER(J140), $B145 * K140, "")</f>
        <v>3444.6764091858086</v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46"/>
      <c r="R140" s="146"/>
      <c r="S140" s="146"/>
    </row>
    <row r="141" spans="1:19" ht="17.25" thickBot="1">
      <c r="A141" s="109" t="s">
        <v>207</v>
      </c>
      <c r="B141" s="110">
        <v>59</v>
      </c>
      <c r="C141" s="70">
        <v>-4.3760129699999997E-2</v>
      </c>
      <c r="D141" s="15">
        <v>60.1</v>
      </c>
      <c r="E141" s="32">
        <f t="shared" ref="E141:E144" si="74">IF(ISNUMBER(D141), (D141 - $B141) / $B141, "")</f>
        <v>1.8644067796610195E-2</v>
      </c>
      <c r="F141" s="18">
        <f>IF(ISNUMBER(D141), $B145 * E141, "")</f>
        <v>2796.6101694915292</v>
      </c>
      <c r="G141" s="31">
        <v>60</v>
      </c>
      <c r="H141" s="32">
        <f t="shared" ref="H141:H144" si="75">IF(ISNUMBER(G141), (G141 - $B141) / $B141, "")</f>
        <v>1.6949152542372881E-2</v>
      </c>
      <c r="I141" s="91">
        <f>IF(ISNUMBER(G141), $B145 * H141, "")</f>
        <v>2542.3728813559323</v>
      </c>
      <c r="J141" s="15">
        <v>60</v>
      </c>
      <c r="K141" s="32">
        <f t="shared" ref="K141:K144" si="76">IF(ISNUMBER(J141), (J141 - $B141) / $B141, "")</f>
        <v>1.6949152542372881E-2</v>
      </c>
      <c r="L141" s="18">
        <f>IF(ISNUMBER(J141), $B145 * K141, "")</f>
        <v>2542.3728813559323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6"/>
      <c r="R141" s="146"/>
      <c r="S141" s="146"/>
    </row>
    <row r="142" spans="1:19" ht="17.25" thickBot="1">
      <c r="A142" s="109" t="s">
        <v>323</v>
      </c>
      <c r="B142" s="110">
        <v>3.0300000000000001E-2</v>
      </c>
      <c r="C142" s="70">
        <v>-4.4164037900000001E-2</v>
      </c>
      <c r="D142" s="15">
        <v>3.1099999999999999E-2</v>
      </c>
      <c r="E142" s="32">
        <f t="shared" si="74"/>
        <v>2.6402640264026358E-2</v>
      </c>
      <c r="F142" s="18">
        <f>IF(ISNUMBER(D142), $B145 * E142, "")</f>
        <v>3960.3960396039538</v>
      </c>
      <c r="G142" s="31">
        <v>3.1E-2</v>
      </c>
      <c r="H142" s="32">
        <f t="shared" si="75"/>
        <v>2.3102310231023077E-2</v>
      </c>
      <c r="I142" s="91">
        <f>IF(ISNUMBER(G142), $B145 * H142, "")</f>
        <v>3465.3465346534613</v>
      </c>
      <c r="J142" s="15">
        <v>3.09E-2</v>
      </c>
      <c r="K142" s="32">
        <f t="shared" si="76"/>
        <v>1.9801980198019795E-2</v>
      </c>
      <c r="L142" s="18">
        <f>IF(ISNUMBER(J142), $B145 * K142, "")</f>
        <v>2970.2970297029692</v>
      </c>
      <c r="M142" s="31"/>
      <c r="N142" s="32" t="str">
        <f t="shared" si="77"/>
        <v/>
      </c>
      <c r="O142" s="18" t="str">
        <f>IF(ISNUMBER(M142), $B145 * N142, "")</f>
        <v/>
      </c>
      <c r="Q142" s="146"/>
      <c r="R142" s="146"/>
      <c r="S142" s="146"/>
    </row>
    <row r="143" spans="1:19">
      <c r="A143" s="109" t="s">
        <v>145</v>
      </c>
      <c r="B143" s="110">
        <v>64.599999999999994</v>
      </c>
      <c r="C143" s="70">
        <v>-6.2409288799999997E-2</v>
      </c>
      <c r="D143" s="15">
        <v>66.099999999999994</v>
      </c>
      <c r="E143" s="32">
        <f t="shared" si="74"/>
        <v>2.3219814241486069E-2</v>
      </c>
      <c r="F143" s="18">
        <f>IF(ISNUMBER(D143), $B145 * E143, "")</f>
        <v>3482.9721362229102</v>
      </c>
      <c r="G143" s="31">
        <v>66.2</v>
      </c>
      <c r="H143" s="32">
        <f t="shared" si="75"/>
        <v>2.4767801857585273E-2</v>
      </c>
      <c r="I143" s="91">
        <f>IF(ISNUMBER(G143), $B145 * H143, "")</f>
        <v>3715.1702786377909</v>
      </c>
      <c r="J143" s="15">
        <v>65.8</v>
      </c>
      <c r="K143" s="32">
        <f t="shared" si="76"/>
        <v>1.8575851393188899E-2</v>
      </c>
      <c r="L143" s="18">
        <f>IF(ISNUMBER(J143), $B145 * K143, "")</f>
        <v>2786.3777089783348</v>
      </c>
      <c r="M143" s="31"/>
      <c r="N143" s="32" t="str">
        <f t="shared" si="77"/>
        <v/>
      </c>
      <c r="O143" s="18" t="str">
        <f>IF(ISNUMBER(M143), $B145 * N143, "")</f>
        <v/>
      </c>
      <c r="Q143" s="135"/>
      <c r="R143" s="136"/>
      <c r="S143" s="137"/>
    </row>
    <row r="144" spans="1:19" ht="17.25" thickBot="1">
      <c r="A144" s="114" t="s">
        <v>97</v>
      </c>
      <c r="B144" s="115">
        <v>6.9999999999999999E-4</v>
      </c>
      <c r="C144" s="72">
        <v>-0.22222222220000001</v>
      </c>
      <c r="D144" s="24">
        <v>8.0000000000000004E-4</v>
      </c>
      <c r="E144" s="25">
        <f t="shared" si="74"/>
        <v>0.14285714285714293</v>
      </c>
      <c r="F144" s="94">
        <f>IF(ISNUMBER(D144), $B145 * E144, "")</f>
        <v>21428.571428571438</v>
      </c>
      <c r="G144" s="92">
        <v>8.0000000000000004E-4</v>
      </c>
      <c r="H144" s="25">
        <f t="shared" si="75"/>
        <v>0.14285714285714293</v>
      </c>
      <c r="I144" s="93">
        <f>IF(ISNUMBER(G144), $B145 * H144, "")</f>
        <v>21428.571428571438</v>
      </c>
      <c r="J144" s="24">
        <v>8.9999999999999998E-4</v>
      </c>
      <c r="K144" s="25">
        <f t="shared" si="76"/>
        <v>0.2857142857142857</v>
      </c>
      <c r="L144" s="94">
        <f>IF(ISNUMBER(J144), $B145 * K144, "")</f>
        <v>42857.142857142855</v>
      </c>
      <c r="M144" s="92"/>
      <c r="N144" s="25" t="str">
        <f t="shared" si="77"/>
        <v/>
      </c>
      <c r="O144" s="94" t="str">
        <f>IF(ISNUMBER(M144), $B145 * N144, "")</f>
        <v/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3.0625785657526126E-2</v>
      </c>
      <c r="F145" s="28">
        <f>SUM(F125:F144)</f>
        <v>91877.356972578375</v>
      </c>
      <c r="G145" s="26" t="s">
        <v>258</v>
      </c>
      <c r="H145" s="27">
        <f>IF(COUNT(H125:H144), SUM(H125:H144) / COUNT(H125:H144), 0)</f>
        <v>3.1512604232695876E-2</v>
      </c>
      <c r="I145" s="28">
        <f>SUM(I125:I144)</f>
        <v>94537.812698087626</v>
      </c>
      <c r="J145" s="26" t="s">
        <v>258</v>
      </c>
      <c r="K145" s="27">
        <f>IF(COUNT(K125:K144), SUM(K125:K144) / COUNT(K125:K144), 0)</f>
        <v>3.7528852035754741E-2</v>
      </c>
      <c r="L145" s="28">
        <f>SUM(L125:L144)</f>
        <v>112586.55610726422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21539000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1.0224474E-3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2023-01-07(토) 오전 00:00</v>
      </c>
      <c r="C150" s="198"/>
      <c r="D150" s="170" t="str">
        <f>TEXT($G$1, "[$-ko-KR]yyyy-mm-dd(ddd) ") &amp; "오후 14:00"</f>
        <v>2023-01-07(토) 오후 14:00</v>
      </c>
      <c r="E150" s="171"/>
      <c r="F150" s="172"/>
      <c r="G150" s="170" t="str">
        <f>TEXT($G$1, "[$-ko-KR]yyyy-mm-dd(ddd) ") &amp; "오후 19:00"</f>
        <v>2023-01-07(토) 오후 19:00</v>
      </c>
      <c r="H150" s="171"/>
      <c r="I150" s="172"/>
      <c r="J150" s="170" t="str">
        <f>TEXT($G$1, "[$-ko-KR]yyyy-mm-dd(ddd) ") &amp; "오후 21:00"</f>
        <v>2023-01-07(토) 오후 21:00</v>
      </c>
      <c r="K150" s="171"/>
      <c r="L150" s="172"/>
      <c r="M150" s="170" t="str">
        <f>TEXT($G$1+1, "[$-ko-KR]yyyy-mm-dd(ddd) ") &amp; "오전 00:00"</f>
        <v>2023-01-08(일)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215</v>
      </c>
      <c r="B152" s="108">
        <v>281</v>
      </c>
      <c r="C152" s="69">
        <v>-2.7681660899999998E-2</v>
      </c>
      <c r="D152" s="13">
        <v>286</v>
      </c>
      <c r="E152" s="14">
        <f>IF(ISNUMBER(D152), (D152 - $B152) / $B152, "")</f>
        <v>1.7793594306049824E-2</v>
      </c>
      <c r="F152" s="16">
        <f>IF(ISNUMBER(D152), $B172 * E152, "")</f>
        <v>2669.0391459074735</v>
      </c>
      <c r="G152" s="29">
        <v>286</v>
      </c>
      <c r="H152" s="14">
        <f>IF(ISNUMBER(G152), (G152 - $B152) / $B152, "")</f>
        <v>1.7793594306049824E-2</v>
      </c>
      <c r="I152" s="90">
        <f>IF(ISNUMBER(G152), $B172 * H152, "")</f>
        <v>2669.0391459074735</v>
      </c>
      <c r="J152" s="13">
        <v>287</v>
      </c>
      <c r="K152" s="14">
        <f>IF(ISNUMBER(J152), (J152 - $B152) / $B152, "")</f>
        <v>2.1352313167259787E-2</v>
      </c>
      <c r="L152" s="16">
        <f>IF(ISNUMBER(J152), $B172 * K152, "")</f>
        <v>3202.8469750889681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 t="s">
        <v>211</v>
      </c>
      <c r="B153" s="110">
        <v>903</v>
      </c>
      <c r="C153" s="70">
        <v>-2.7987082900000002E-2</v>
      </c>
      <c r="D153" s="15">
        <v>914</v>
      </c>
      <c r="E153" s="32">
        <f t="shared" ref="E153:E156" si="78">IF(ISNUMBER(D153), (D153 - $B153) / $B153, "")</f>
        <v>1.2181616832779624E-2</v>
      </c>
      <c r="F153" s="18">
        <f>IF(ISNUMBER(D153), $B172 * E153, "")</f>
        <v>1827.2425249169437</v>
      </c>
      <c r="G153" s="31">
        <v>909</v>
      </c>
      <c r="H153" s="32">
        <f t="shared" ref="H153:H156" si="79">IF(ISNUMBER(G153), (G153 - $B153) / $B153, "")</f>
        <v>6.6445182724252493E-3</v>
      </c>
      <c r="I153" s="91">
        <f>IF(ISNUMBER(G153), $B172 * H153, "")</f>
        <v>996.67774086378745</v>
      </c>
      <c r="J153" s="15">
        <v>911</v>
      </c>
      <c r="K153" s="32">
        <f t="shared" ref="K153:K156" si="80">IF(ISNUMBER(J153), (J153 - $B153) / $B153, "")</f>
        <v>8.8593576965669985E-3</v>
      </c>
      <c r="L153" s="18">
        <f>IF(ISNUMBER(J153), $B172 * K153, "")</f>
        <v>1328.9036544850499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 t="s">
        <v>79</v>
      </c>
      <c r="B154" s="110">
        <v>219</v>
      </c>
      <c r="C154" s="70">
        <v>-3.09734513E-2</v>
      </c>
      <c r="D154" s="15">
        <v>229</v>
      </c>
      <c r="E154" s="32">
        <f t="shared" si="78"/>
        <v>4.5662100456621002E-2</v>
      </c>
      <c r="F154" s="18">
        <f>IF(ISNUMBER(D154), $B172 * E154, "")</f>
        <v>6849.3150684931506</v>
      </c>
      <c r="G154" s="31">
        <v>231</v>
      </c>
      <c r="H154" s="32">
        <f t="shared" si="79"/>
        <v>5.4794520547945202E-2</v>
      </c>
      <c r="I154" s="91">
        <f>IF(ISNUMBER(G154), $B172 * H154, "")</f>
        <v>8219.17808219178</v>
      </c>
      <c r="J154" s="15">
        <v>231</v>
      </c>
      <c r="K154" s="32">
        <f t="shared" si="80"/>
        <v>5.4794520547945202E-2</v>
      </c>
      <c r="L154" s="18">
        <f>IF(ISNUMBER(J154), $B172 * K154, "")</f>
        <v>8219.17808219178</v>
      </c>
      <c r="M154" s="31"/>
      <c r="N154" s="32" t="str">
        <f t="shared" si="81"/>
        <v/>
      </c>
      <c r="O154" s="18" t="str">
        <f>IF(ISNUMBER(M154), $B172 * N154, "")</f>
        <v/>
      </c>
      <c r="Q154" s="146"/>
      <c r="R154" s="146"/>
      <c r="S154" s="146"/>
    </row>
    <row r="155" spans="1:19" ht="17.25" thickBot="1">
      <c r="A155" s="109" t="s">
        <v>341</v>
      </c>
      <c r="B155" s="110">
        <v>613</v>
      </c>
      <c r="C155" s="70">
        <v>-3.1595576600000001E-2</v>
      </c>
      <c r="D155" s="15">
        <v>649</v>
      </c>
      <c r="E155" s="32">
        <f t="shared" si="78"/>
        <v>5.872756933115824E-2</v>
      </c>
      <c r="F155" s="18">
        <f>IF(ISNUMBER(D155), $B172 * E155, "")</f>
        <v>8809.1353996737362</v>
      </c>
      <c r="G155" s="31">
        <v>648</v>
      </c>
      <c r="H155" s="32">
        <f t="shared" si="79"/>
        <v>5.7096247960848286E-2</v>
      </c>
      <c r="I155" s="91">
        <f>IF(ISNUMBER(G155), $B172 * H155, "")</f>
        <v>8564.437194127242</v>
      </c>
      <c r="J155" s="15">
        <v>647</v>
      </c>
      <c r="K155" s="32">
        <f t="shared" si="80"/>
        <v>5.5464926590538338E-2</v>
      </c>
      <c r="L155" s="18">
        <f>IF(ISNUMBER(J155), $B172 * K155, "")</f>
        <v>8319.7389885807515</v>
      </c>
      <c r="M155" s="31"/>
      <c r="N155" s="32" t="str">
        <f t="shared" si="81"/>
        <v/>
      </c>
      <c r="O155" s="18" t="str">
        <f>IF(ISNUMBER(M155), $B172 * N155, "")</f>
        <v/>
      </c>
      <c r="Q155" s="146"/>
      <c r="R155" s="146"/>
      <c r="S155" s="146"/>
    </row>
    <row r="156" spans="1:19" ht="17.25" thickBot="1">
      <c r="A156" s="111" t="s">
        <v>235</v>
      </c>
      <c r="B156" s="112">
        <v>506</v>
      </c>
      <c r="C156" s="71">
        <v>-3.2504780099999998E-2</v>
      </c>
      <c r="D156" s="20">
        <v>514</v>
      </c>
      <c r="E156" s="21">
        <f t="shared" si="78"/>
        <v>1.5810276679841896E-2</v>
      </c>
      <c r="F156" s="22">
        <f>IF(ISNUMBER(D156), $B172 * E156, "")</f>
        <v>2371.5415019762845</v>
      </c>
      <c r="G156" s="30">
        <v>514</v>
      </c>
      <c r="H156" s="21">
        <f t="shared" si="79"/>
        <v>1.5810276679841896E-2</v>
      </c>
      <c r="I156" s="95">
        <f>IF(ISNUMBER(G156), $B172 * H156, "")</f>
        <v>2371.5415019762845</v>
      </c>
      <c r="J156" s="20">
        <v>515</v>
      </c>
      <c r="K156" s="21">
        <f t="shared" si="80"/>
        <v>1.7786561264822136E-2</v>
      </c>
      <c r="L156" s="22">
        <f>IF(ISNUMBER(J156), $B172 * K156, "")</f>
        <v>2667.9841897233205</v>
      </c>
      <c r="M156" s="30"/>
      <c r="N156" s="21" t="str">
        <f t="shared" si="81"/>
        <v/>
      </c>
      <c r="O156" s="22" t="str">
        <f>IF(ISNUMBER(M156), $B172 * N156, "")</f>
        <v/>
      </c>
      <c r="Q156" s="146"/>
      <c r="R156" s="146"/>
      <c r="S156" s="146"/>
    </row>
    <row r="157" spans="1:19" ht="17.25" thickBot="1">
      <c r="A157" s="109" t="s">
        <v>199</v>
      </c>
      <c r="B157" s="113">
        <v>262</v>
      </c>
      <c r="C157" s="73">
        <v>-3.3210332100000003E-2</v>
      </c>
      <c r="D157" s="96">
        <v>266</v>
      </c>
      <c r="E157" s="97">
        <f>IF(ISNUMBER(D157), (D157 - $B157) / $B157, "")</f>
        <v>1.5267175572519083E-2</v>
      </c>
      <c r="F157" s="98">
        <f>IF(ISNUMBER(D157), $B172 * E157, "")</f>
        <v>2290.0763358778627</v>
      </c>
      <c r="G157" s="99">
        <v>265</v>
      </c>
      <c r="H157" s="97">
        <f>IF(ISNUMBER(G157), (G157 - $B157) / $B157, "")</f>
        <v>1.1450381679389313E-2</v>
      </c>
      <c r="I157" s="100">
        <f>IF(ISNUMBER(G157), $B172 * H157, "")</f>
        <v>1717.5572519083969</v>
      </c>
      <c r="J157" s="96">
        <v>266</v>
      </c>
      <c r="K157" s="97">
        <f>IF(ISNUMBER(J157), (J157 - $B157) / $B157, "")</f>
        <v>1.5267175572519083E-2</v>
      </c>
      <c r="L157" s="98">
        <f>IF(ISNUMBER(J157), $B172 * K157, "")</f>
        <v>2290.0763358778627</v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46"/>
      <c r="R157" s="146"/>
      <c r="S157" s="146"/>
    </row>
    <row r="158" spans="1:19" ht="17.25" thickBot="1">
      <c r="A158" s="109" t="s">
        <v>213</v>
      </c>
      <c r="B158" s="110">
        <v>402</v>
      </c>
      <c r="C158" s="70">
        <v>-3.3653846199999997E-2</v>
      </c>
      <c r="D158" s="15">
        <v>410</v>
      </c>
      <c r="E158" s="32">
        <f t="shared" ref="E158:E161" si="82">IF(ISNUMBER(D158), (D158 - $B158) / $B158, "")</f>
        <v>1.9900497512437811E-2</v>
      </c>
      <c r="F158" s="18">
        <f>IF(ISNUMBER(D158), $B172 * E158, "")</f>
        <v>2985.0746268656717</v>
      </c>
      <c r="G158" s="31">
        <v>410</v>
      </c>
      <c r="H158" s="32">
        <f t="shared" ref="H158:H161" si="83">IF(ISNUMBER(G158), (G158 - $B158) / $B158, "")</f>
        <v>1.9900497512437811E-2</v>
      </c>
      <c r="I158" s="91">
        <f>IF(ISNUMBER(G158), $B172 * H158, "")</f>
        <v>2985.0746268656717</v>
      </c>
      <c r="J158" s="15">
        <v>410</v>
      </c>
      <c r="K158" s="32">
        <f t="shared" ref="K158:K161" si="84">IF(ISNUMBER(J158), (J158 - $B158) / $B158, "")</f>
        <v>1.9900497512437811E-2</v>
      </c>
      <c r="L158" s="18">
        <f>IF(ISNUMBER(J158), $B172 * K158, "")</f>
        <v>2985.0746268656717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6"/>
      <c r="R158" s="146"/>
      <c r="S158" s="146"/>
    </row>
    <row r="159" spans="1:19" ht="17.25" thickBot="1">
      <c r="A159" s="109" t="s">
        <v>183</v>
      </c>
      <c r="B159" s="110">
        <v>112</v>
      </c>
      <c r="C159" s="70">
        <v>-3.4482758600000003E-2</v>
      </c>
      <c r="D159" s="15">
        <v>114</v>
      </c>
      <c r="E159" s="32">
        <f t="shared" si="82"/>
        <v>1.7857142857142856E-2</v>
      </c>
      <c r="F159" s="18">
        <f>IF(ISNUMBER(D159), $B172 * E159, "")</f>
        <v>2678.5714285714284</v>
      </c>
      <c r="G159" s="31">
        <v>115</v>
      </c>
      <c r="H159" s="32">
        <f t="shared" si="83"/>
        <v>2.6785714285714284E-2</v>
      </c>
      <c r="I159" s="91">
        <f>IF(ISNUMBER(G159), $B172 * H159, "")</f>
        <v>4017.8571428571427</v>
      </c>
      <c r="J159" s="15">
        <v>114</v>
      </c>
      <c r="K159" s="32">
        <f t="shared" si="84"/>
        <v>1.7857142857142856E-2</v>
      </c>
      <c r="L159" s="18">
        <f>IF(ISNUMBER(J159), $B172 * K159, "")</f>
        <v>2678.5714285714284</v>
      </c>
      <c r="M159" s="31"/>
      <c r="N159" s="32" t="str">
        <f t="shared" si="85"/>
        <v/>
      </c>
      <c r="O159" s="18" t="str">
        <f>IF(ISNUMBER(M159), $B172 * N159, "")</f>
        <v/>
      </c>
      <c r="Q159" s="146"/>
      <c r="R159" s="146"/>
      <c r="S159" s="146"/>
    </row>
    <row r="160" spans="1:19" ht="17.25" thickBot="1">
      <c r="A160" s="109" t="s">
        <v>159</v>
      </c>
      <c r="B160" s="110">
        <v>136</v>
      </c>
      <c r="C160" s="70">
        <v>-3.5460992900000002E-2</v>
      </c>
      <c r="D160" s="15">
        <v>140</v>
      </c>
      <c r="E160" s="32">
        <f t="shared" si="82"/>
        <v>2.9411764705882353E-2</v>
      </c>
      <c r="F160" s="18">
        <f>IF(ISNUMBER(D160), $B172 * E160, "")</f>
        <v>4411.7647058823532</v>
      </c>
      <c r="G160" s="31">
        <v>139</v>
      </c>
      <c r="H160" s="32">
        <f t="shared" si="83"/>
        <v>2.2058823529411766E-2</v>
      </c>
      <c r="I160" s="91">
        <f>IF(ISNUMBER(G160), $B172 * H160, "")</f>
        <v>3308.8235294117649</v>
      </c>
      <c r="J160" s="15">
        <v>140</v>
      </c>
      <c r="K160" s="32">
        <f t="shared" si="84"/>
        <v>2.9411764705882353E-2</v>
      </c>
      <c r="L160" s="18">
        <f>IF(ISNUMBER(J160), $B172 * K160, "")</f>
        <v>4411.7647058823532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 t="s">
        <v>219</v>
      </c>
      <c r="B161" s="115">
        <v>333</v>
      </c>
      <c r="C161" s="72">
        <v>-3.7572254300000003E-2</v>
      </c>
      <c r="D161" s="24">
        <v>341</v>
      </c>
      <c r="E161" s="25">
        <f t="shared" si="82"/>
        <v>2.4024024024024024E-2</v>
      </c>
      <c r="F161" s="94">
        <f>IF(ISNUMBER(D161), $B172 * E161, "")</f>
        <v>3603.6036036036035</v>
      </c>
      <c r="G161" s="92">
        <v>343</v>
      </c>
      <c r="H161" s="25">
        <f t="shared" si="83"/>
        <v>3.003003003003003E-2</v>
      </c>
      <c r="I161" s="93">
        <f>IF(ISNUMBER(G161), $B172 * H161, "")</f>
        <v>4504.5045045045044</v>
      </c>
      <c r="J161" s="24">
        <v>342</v>
      </c>
      <c r="K161" s="25">
        <f t="shared" si="84"/>
        <v>2.7027027027027029E-2</v>
      </c>
      <c r="L161" s="94">
        <f>IF(ISNUMBER(J161), $B172 * K161, "")</f>
        <v>4054.0540540540542</v>
      </c>
      <c r="M161" s="92"/>
      <c r="N161" s="25" t="str">
        <f t="shared" si="85"/>
        <v/>
      </c>
      <c r="O161" s="94" t="str">
        <f>IF(ISNUMBER(M161), $B172 * N161, "")</f>
        <v/>
      </c>
      <c r="Q161" s="147"/>
      <c r="R161" s="148"/>
      <c r="S161" s="149"/>
    </row>
    <row r="162" spans="1:19">
      <c r="A162" s="107" t="s">
        <v>111</v>
      </c>
      <c r="B162" s="108">
        <v>525</v>
      </c>
      <c r="C162" s="69">
        <v>-3.8461538500000003E-2</v>
      </c>
      <c r="D162" s="13">
        <v>596</v>
      </c>
      <c r="E162" s="14">
        <f>IF(ISNUMBER(D162), (D162 - $B162) / $B162, "")</f>
        <v>0.13523809523809524</v>
      </c>
      <c r="F162" s="16">
        <f>IF(ISNUMBER(D162), $B172 * E162, "")</f>
        <v>20285.714285714286</v>
      </c>
      <c r="G162" s="29">
        <v>596</v>
      </c>
      <c r="H162" s="14">
        <f>IF(ISNUMBER(G162), (G162 - $B162) / $B162, "")</f>
        <v>0.13523809523809524</v>
      </c>
      <c r="I162" s="90">
        <f>IF(ISNUMBER(G162), $B172 * H162, "")</f>
        <v>20285.714285714286</v>
      </c>
      <c r="J162" s="13">
        <v>588</v>
      </c>
      <c r="K162" s="14">
        <f>IF(ISNUMBER(J162), (J162 - $B162) / $B162, "")</f>
        <v>0.12</v>
      </c>
      <c r="L162" s="16">
        <f>IF(ISNUMBER(J162), $B172 * K162, "")</f>
        <v>18000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0"/>
      <c r="R162" s="151"/>
      <c r="S162" s="152"/>
    </row>
    <row r="163" spans="1:19" ht="17.25" thickBot="1">
      <c r="A163" s="109" t="s">
        <v>231</v>
      </c>
      <c r="B163" s="110">
        <v>298</v>
      </c>
      <c r="C163" s="70">
        <v>-3.8709677400000003E-2</v>
      </c>
      <c r="D163" s="15">
        <v>305</v>
      </c>
      <c r="E163" s="32">
        <f t="shared" ref="E163:E166" si="86">IF(ISNUMBER(D163), (D163 - $B163) / $B163, "")</f>
        <v>2.3489932885906041E-2</v>
      </c>
      <c r="F163" s="18">
        <f>IF(ISNUMBER(D163), $B172 * E163, "")</f>
        <v>3523.489932885906</v>
      </c>
      <c r="G163" s="31">
        <v>305</v>
      </c>
      <c r="H163" s="32">
        <f t="shared" ref="H163:H166" si="87">IF(ISNUMBER(G163), (G163 - $B163) / $B163, "")</f>
        <v>2.3489932885906041E-2</v>
      </c>
      <c r="I163" s="91">
        <f>IF(ISNUMBER(G163), $B172 * H163, "")</f>
        <v>3523.489932885906</v>
      </c>
      <c r="J163" s="15">
        <v>305</v>
      </c>
      <c r="K163" s="32">
        <f t="shared" ref="K163:K166" si="88">IF(ISNUMBER(J163), (J163 - $B163) / $B163, "")</f>
        <v>2.3489932885906041E-2</v>
      </c>
      <c r="L163" s="18">
        <f>IF(ISNUMBER(J163), $B172 * K163, "")</f>
        <v>3523.489932885906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3"/>
      <c r="R163" s="154"/>
      <c r="S163" s="155"/>
    </row>
    <row r="164" spans="1:19" ht="17.25" thickBot="1">
      <c r="A164" s="109" t="s">
        <v>103</v>
      </c>
      <c r="B164" s="110">
        <v>195</v>
      </c>
      <c r="C164" s="70">
        <v>-3.9408867E-2</v>
      </c>
      <c r="D164" s="15">
        <v>203</v>
      </c>
      <c r="E164" s="32">
        <f t="shared" si="86"/>
        <v>4.1025641025641026E-2</v>
      </c>
      <c r="F164" s="18">
        <f>IF(ISNUMBER(D164), $B172 * E164, "")</f>
        <v>6153.8461538461543</v>
      </c>
      <c r="G164" s="31">
        <v>203</v>
      </c>
      <c r="H164" s="32">
        <f t="shared" si="87"/>
        <v>4.1025641025641026E-2</v>
      </c>
      <c r="I164" s="91">
        <f>IF(ISNUMBER(G164), $B172 * H164, "")</f>
        <v>6153.8461538461543</v>
      </c>
      <c r="J164" s="15">
        <v>203</v>
      </c>
      <c r="K164" s="32">
        <f t="shared" si="88"/>
        <v>4.1025641025641026E-2</v>
      </c>
      <c r="L164" s="18">
        <f>IF(ISNUMBER(J164), $B172 * K164, "")</f>
        <v>6153.8461538461543</v>
      </c>
      <c r="M164" s="31"/>
      <c r="N164" s="32" t="str">
        <f t="shared" si="89"/>
        <v/>
      </c>
      <c r="O164" s="18" t="str">
        <f>IF(ISNUMBER(M164), $B172 * N164, "")</f>
        <v/>
      </c>
      <c r="Q164" s="146"/>
      <c r="R164" s="146"/>
      <c r="S164" s="146"/>
    </row>
    <row r="165" spans="1:19" ht="17.25" thickBot="1">
      <c r="A165" s="109" t="s">
        <v>317</v>
      </c>
      <c r="B165" s="110">
        <v>541</v>
      </c>
      <c r="C165" s="70">
        <v>-4.0780141800000003E-2</v>
      </c>
      <c r="D165" s="15">
        <v>549</v>
      </c>
      <c r="E165" s="32">
        <f t="shared" si="86"/>
        <v>1.4787430683918669E-2</v>
      </c>
      <c r="F165" s="18">
        <f>IF(ISNUMBER(D165), $B172 * E165, "")</f>
        <v>2218.1146025878002</v>
      </c>
      <c r="G165" s="31">
        <v>551</v>
      </c>
      <c r="H165" s="32">
        <f t="shared" si="87"/>
        <v>1.8484288354898338E-2</v>
      </c>
      <c r="I165" s="91">
        <f>IF(ISNUMBER(G165), $B172 * H165, "")</f>
        <v>2772.6432532347508</v>
      </c>
      <c r="J165" s="15">
        <v>550</v>
      </c>
      <c r="K165" s="32">
        <f t="shared" si="88"/>
        <v>1.6635859519408502E-2</v>
      </c>
      <c r="L165" s="18">
        <f>IF(ISNUMBER(J165), $B172 * K165, "")</f>
        <v>2495.3789279112752</v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 t="s">
        <v>189</v>
      </c>
      <c r="B166" s="112">
        <v>868</v>
      </c>
      <c r="C166" s="71">
        <v>-4.19426049E-2</v>
      </c>
      <c r="D166" s="20">
        <v>893</v>
      </c>
      <c r="E166" s="21">
        <f t="shared" si="86"/>
        <v>2.880184331797235E-2</v>
      </c>
      <c r="F166" s="22">
        <f>IF(ISNUMBER(D166), $B172 * E166, "")</f>
        <v>4320.2764976958524</v>
      </c>
      <c r="G166" s="30">
        <v>905</v>
      </c>
      <c r="H166" s="21">
        <f t="shared" si="87"/>
        <v>4.2626728110599081E-2</v>
      </c>
      <c r="I166" s="95">
        <f>IF(ISNUMBER(G166), $B172 * H166, "")</f>
        <v>6394.0092165898623</v>
      </c>
      <c r="J166" s="20">
        <v>895</v>
      </c>
      <c r="K166" s="21">
        <f t="shared" si="88"/>
        <v>3.1105990783410139E-2</v>
      </c>
      <c r="L166" s="22">
        <f>IF(ISNUMBER(J166), $B172 * K166, "")</f>
        <v>4665.8986175115206</v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 t="s">
        <v>319</v>
      </c>
      <c r="B167" s="113">
        <v>315</v>
      </c>
      <c r="C167" s="73">
        <v>-4.2553191499999997E-2</v>
      </c>
      <c r="D167" s="96">
        <v>336</v>
      </c>
      <c r="E167" s="97">
        <f>IF(ISNUMBER(D167), (D167 - $B167) / $B167, "")</f>
        <v>6.6666666666666666E-2</v>
      </c>
      <c r="F167" s="98">
        <f>IF(ISNUMBER(D167), $B172 * E167, "")</f>
        <v>10000</v>
      </c>
      <c r="G167" s="99">
        <v>336</v>
      </c>
      <c r="H167" s="97">
        <f>IF(ISNUMBER(G167), (G167 - $B167) / $B167, "")</f>
        <v>6.6666666666666666E-2</v>
      </c>
      <c r="I167" s="100">
        <f>IF(ISNUMBER(G167), $B172 * H167, "")</f>
        <v>10000</v>
      </c>
      <c r="J167" s="96">
        <v>336</v>
      </c>
      <c r="K167" s="97">
        <f>IF(ISNUMBER(J167), (J167 - $B167) / $B167, "")</f>
        <v>6.6666666666666666E-2</v>
      </c>
      <c r="L167" s="98">
        <f>IF(ISNUMBER(J167), $B172 * K167, "")</f>
        <v>10000</v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46"/>
      <c r="R167" s="146"/>
      <c r="S167" s="146"/>
    </row>
    <row r="168" spans="1:19" ht="17.25" thickBot="1">
      <c r="A168" s="109" t="s">
        <v>321</v>
      </c>
      <c r="B168" s="110">
        <v>153</v>
      </c>
      <c r="C168" s="70">
        <v>-4.3749999999999997E-2</v>
      </c>
      <c r="D168" s="15">
        <v>156</v>
      </c>
      <c r="E168" s="32">
        <f t="shared" ref="E168:E171" si="90">IF(ISNUMBER(D168), (D168 - $B168) / $B168, "")</f>
        <v>1.9607843137254902E-2</v>
      </c>
      <c r="F168" s="18">
        <f>IF(ISNUMBER(D168), $B172 * E168, "")</f>
        <v>2941.1764705882351</v>
      </c>
      <c r="G168" s="31">
        <v>157</v>
      </c>
      <c r="H168" s="32">
        <f t="shared" ref="H168:H171" si="91">IF(ISNUMBER(G168), (G168 - $B168) / $B168, "")</f>
        <v>2.6143790849673203E-2</v>
      </c>
      <c r="I168" s="91">
        <f>IF(ISNUMBER(G168), $B172 * H168, "")</f>
        <v>3921.5686274509803</v>
      </c>
      <c r="J168" s="15">
        <v>157</v>
      </c>
      <c r="K168" s="32">
        <f t="shared" ref="K168:K171" si="92">IF(ISNUMBER(J168), (J168 - $B168) / $B168, "")</f>
        <v>2.6143790849673203E-2</v>
      </c>
      <c r="L168" s="18">
        <f>IF(ISNUMBER(J168), $B172 * K168, "")</f>
        <v>3921.5686274509803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6"/>
      <c r="R168" s="146"/>
      <c r="S168" s="146"/>
    </row>
    <row r="169" spans="1:19" ht="17.25" thickBot="1">
      <c r="A169" s="109" t="s">
        <v>68</v>
      </c>
      <c r="B169" s="110">
        <v>246</v>
      </c>
      <c r="C169" s="70">
        <v>-4.6511627899999998E-2</v>
      </c>
      <c r="D169" s="15">
        <v>252</v>
      </c>
      <c r="E169" s="32">
        <f t="shared" si="90"/>
        <v>2.4390243902439025E-2</v>
      </c>
      <c r="F169" s="18">
        <f>IF(ISNUMBER(D169), $B172 * E169, "")</f>
        <v>3658.5365853658536</v>
      </c>
      <c r="G169" s="31">
        <v>253</v>
      </c>
      <c r="H169" s="32">
        <f t="shared" si="91"/>
        <v>2.8455284552845527E-2</v>
      </c>
      <c r="I169" s="91">
        <f>IF(ISNUMBER(G169), $B172 * H169, "")</f>
        <v>4268.292682926829</v>
      </c>
      <c r="J169" s="15">
        <v>250</v>
      </c>
      <c r="K169" s="32">
        <f t="shared" si="92"/>
        <v>1.6260162601626018E-2</v>
      </c>
      <c r="L169" s="18">
        <f>IF(ISNUMBER(J169), $B172 * K169, "")</f>
        <v>2439.0243902439029</v>
      </c>
      <c r="M169" s="31"/>
      <c r="N169" s="32" t="str">
        <f t="shared" si="93"/>
        <v/>
      </c>
      <c r="O169" s="18" t="str">
        <f>IF(ISNUMBER(M169), $B172 * N169, "")</f>
        <v/>
      </c>
      <c r="Q169" s="146"/>
      <c r="R169" s="146"/>
      <c r="S169" s="146"/>
    </row>
    <row r="170" spans="1:19">
      <c r="A170" s="109" t="s">
        <v>201</v>
      </c>
      <c r="B170" s="110">
        <v>176</v>
      </c>
      <c r="C170" s="70">
        <v>-4.8648648599999997E-2</v>
      </c>
      <c r="D170" s="15">
        <v>186</v>
      </c>
      <c r="E170" s="32">
        <f t="shared" si="90"/>
        <v>5.6818181818181816E-2</v>
      </c>
      <c r="F170" s="18">
        <f>IF(ISNUMBER(D170), $B172 * E170, "")</f>
        <v>8522.7272727272721</v>
      </c>
      <c r="G170" s="31">
        <v>185</v>
      </c>
      <c r="H170" s="32">
        <f t="shared" si="91"/>
        <v>5.113636363636364E-2</v>
      </c>
      <c r="I170" s="91">
        <f>IF(ISNUMBER(G170), $B172 * H170, "")</f>
        <v>7670.454545454546</v>
      </c>
      <c r="J170" s="15">
        <v>185</v>
      </c>
      <c r="K170" s="32">
        <f t="shared" si="92"/>
        <v>5.113636363636364E-2</v>
      </c>
      <c r="L170" s="18">
        <f>IF(ISNUMBER(J170), $B172 * K170, "")</f>
        <v>7670.454545454546</v>
      </c>
      <c r="M170" s="31"/>
      <c r="N170" s="32" t="str">
        <f t="shared" si="93"/>
        <v/>
      </c>
      <c r="O170" s="18" t="str">
        <f>IF(ISNUMBER(M170), $B172 * N170, "")</f>
        <v/>
      </c>
      <c r="Q170" s="135"/>
      <c r="R170" s="136"/>
      <c r="S170" s="137"/>
    </row>
    <row r="171" spans="1:19" ht="17.25" thickBot="1">
      <c r="A171" s="114" t="s">
        <v>85</v>
      </c>
      <c r="B171" s="115">
        <v>136</v>
      </c>
      <c r="C171" s="72">
        <v>-5.5555555600000001E-2</v>
      </c>
      <c r="D171" s="24">
        <v>138</v>
      </c>
      <c r="E171" s="25">
        <f t="shared" si="90"/>
        <v>1.4705882352941176E-2</v>
      </c>
      <c r="F171" s="94">
        <f>IF(ISNUMBER(D171), $B172 * E171, "")</f>
        <v>2205.8823529411766</v>
      </c>
      <c r="G171" s="92">
        <v>140</v>
      </c>
      <c r="H171" s="25">
        <f t="shared" si="91"/>
        <v>2.9411764705882353E-2</v>
      </c>
      <c r="I171" s="93">
        <f>IF(ISNUMBER(G171), $B172 * H171, "")</f>
        <v>4411.7647058823532</v>
      </c>
      <c r="J171" s="24">
        <v>138</v>
      </c>
      <c r="K171" s="25">
        <f t="shared" si="92"/>
        <v>1.4705882352941176E-2</v>
      </c>
      <c r="L171" s="94">
        <f>IF(ISNUMBER(J171), $B172 * K171, "")</f>
        <v>2205.8823529411766</v>
      </c>
      <c r="M171" s="92"/>
      <c r="N171" s="25" t="str">
        <f t="shared" si="93"/>
        <v/>
      </c>
      <c r="O171" s="94" t="str">
        <f>IF(ISNUMBER(M171), $B172 * N171, "")</f>
        <v/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3.4108376165373683E-2</v>
      </c>
      <c r="F172" s="28">
        <f>SUM(F152:F171)</f>
        <v>102325.12849612106</v>
      </c>
      <c r="G172" s="26" t="s">
        <v>258</v>
      </c>
      <c r="H172" s="27">
        <f>IF(COUNT(H152:H171), SUM(H152:H171) / COUNT(H152:H171), 0)</f>
        <v>3.6252158041533242E-2</v>
      </c>
      <c r="I172" s="28">
        <f>SUM(I152:I171)</f>
        <v>108756.47412459971</v>
      </c>
      <c r="J172" s="26" t="s">
        <v>258</v>
      </c>
      <c r="K172" s="27">
        <f>IF(COUNT(K152:K171), SUM(K152:K171) / COUNT(K152:K171), 0)</f>
        <v>3.37445788631889E-2</v>
      </c>
      <c r="L172" s="28">
        <f>SUM(L152:L171)</f>
        <v>101233.73658956669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21539000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1.0224474E-3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2023-01-07(토) 오전 00:00</v>
      </c>
      <c r="C177" s="198"/>
      <c r="D177" s="170" t="str">
        <f>TEXT($G$1, "[$-ko-KR]yyyy-mm-dd(ddd) ") &amp; "오후 14:00"</f>
        <v>2023-01-07(토) 오후 14:00</v>
      </c>
      <c r="E177" s="171"/>
      <c r="F177" s="172"/>
      <c r="G177" s="170" t="str">
        <f>TEXT($G$1, "[$-ko-KR]yyyy-mm-dd(ddd) ") &amp; "오후 19:00"</f>
        <v>2023-01-07(토) 오후 19:00</v>
      </c>
      <c r="H177" s="171"/>
      <c r="I177" s="172"/>
      <c r="J177" s="170" t="str">
        <f>TEXT($G$1, "[$-ko-KR]yyyy-mm-dd(ddd) ") &amp; "오후 21:00"</f>
        <v>2023-01-07(토) 오후 21:00</v>
      </c>
      <c r="K177" s="171"/>
      <c r="L177" s="172"/>
      <c r="M177" s="170" t="str">
        <f>TEXT($G$1+1, "[$-ko-KR]yyyy-mm-dd(ddd) ") &amp; "오전 00:00"</f>
        <v>2023-01-08(일)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343</v>
      </c>
      <c r="B179" s="108">
        <v>16600</v>
      </c>
      <c r="C179" s="69">
        <v>-3.6564132300000003E-2</v>
      </c>
      <c r="D179" s="13">
        <v>16820</v>
      </c>
      <c r="E179" s="14">
        <f>IF(ISNUMBER(D179), (D179 - $B179) / $B179, "")</f>
        <v>1.3253012048192771E-2</v>
      </c>
      <c r="F179" s="16">
        <f>IF(ISNUMBER(D179), $B199 * E179, "")</f>
        <v>1987.9518072289156</v>
      </c>
      <c r="G179" s="29">
        <v>16770</v>
      </c>
      <c r="H179" s="14">
        <f>IF(ISNUMBER(G179), (G179 - $B179) / $B179, "")</f>
        <v>1.0240963855421687E-2</v>
      </c>
      <c r="I179" s="90">
        <f>IF(ISNUMBER(G179), $B199 * H179, "")</f>
        <v>1536.1445783132531</v>
      </c>
      <c r="J179" s="13">
        <v>16740</v>
      </c>
      <c r="K179" s="14">
        <f>IF(ISNUMBER(J179), (J179 - $B179) / $B179, "")</f>
        <v>8.4337349397590362E-3</v>
      </c>
      <c r="L179" s="16">
        <f>IF(ISNUMBER(J179), $B199 * K179, "")</f>
        <v>1265.0602409638554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 t="s">
        <v>219</v>
      </c>
      <c r="B180" s="110">
        <v>333</v>
      </c>
      <c r="C180" s="70">
        <v>-3.7572254300000003E-2</v>
      </c>
      <c r="D180" s="15">
        <v>341</v>
      </c>
      <c r="E180" s="32">
        <f t="shared" ref="E180:E183" si="94">IF(ISNUMBER(D180), (D180 - $B180) / $B180, "")</f>
        <v>2.4024024024024024E-2</v>
      </c>
      <c r="F180" s="18">
        <f>IF(ISNUMBER(D180), $B199 * E180, "")</f>
        <v>3603.6036036036035</v>
      </c>
      <c r="G180" s="31">
        <v>343</v>
      </c>
      <c r="H180" s="32">
        <f t="shared" ref="H180:H183" si="95">IF(ISNUMBER(G180), (G180 - $B180) / $B180, "")</f>
        <v>3.003003003003003E-2</v>
      </c>
      <c r="I180" s="91">
        <f>IF(ISNUMBER(G180), $B199 * H180, "")</f>
        <v>4504.5045045045044</v>
      </c>
      <c r="J180" s="15">
        <v>342</v>
      </c>
      <c r="K180" s="32">
        <f t="shared" ref="K180:K183" si="96">IF(ISNUMBER(J180), (J180 - $B180) / $B180, "")</f>
        <v>2.7027027027027029E-2</v>
      </c>
      <c r="L180" s="18">
        <f>IF(ISNUMBER(J180), $B199 * K180, "")</f>
        <v>4054.0540540540542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 t="s">
        <v>111</v>
      </c>
      <c r="B181" s="110">
        <v>525</v>
      </c>
      <c r="C181" s="70">
        <v>-3.8461538500000003E-2</v>
      </c>
      <c r="D181" s="15">
        <v>596</v>
      </c>
      <c r="E181" s="32">
        <f t="shared" si="94"/>
        <v>0.13523809523809524</v>
      </c>
      <c r="F181" s="18">
        <f>IF(ISNUMBER(D181), $B199 * E181, "")</f>
        <v>20285.714285714286</v>
      </c>
      <c r="G181" s="31">
        <v>596</v>
      </c>
      <c r="H181" s="32">
        <f t="shared" si="95"/>
        <v>0.13523809523809524</v>
      </c>
      <c r="I181" s="91">
        <f>IF(ISNUMBER(G181), $B199 * H181, "")</f>
        <v>20285.714285714286</v>
      </c>
      <c r="J181" s="15">
        <v>588</v>
      </c>
      <c r="K181" s="32">
        <f t="shared" si="96"/>
        <v>0.12</v>
      </c>
      <c r="L181" s="18">
        <f>IF(ISNUMBER(J181), $B199 * K181, "")</f>
        <v>18000</v>
      </c>
      <c r="M181" s="31"/>
      <c r="N181" s="32" t="str">
        <f t="shared" si="97"/>
        <v/>
      </c>
      <c r="O181" s="18" t="str">
        <f>IF(ISNUMBER(M181), $B199 * N181, "")</f>
        <v/>
      </c>
      <c r="Q181" s="146"/>
      <c r="R181" s="146"/>
      <c r="S181" s="146"/>
    </row>
    <row r="182" spans="1:19" ht="17.25" thickBot="1">
      <c r="A182" s="109" t="s">
        <v>231</v>
      </c>
      <c r="B182" s="110">
        <v>298</v>
      </c>
      <c r="C182" s="70">
        <v>-3.8709677400000003E-2</v>
      </c>
      <c r="D182" s="15">
        <v>305</v>
      </c>
      <c r="E182" s="32">
        <f t="shared" si="94"/>
        <v>2.3489932885906041E-2</v>
      </c>
      <c r="F182" s="18">
        <f>IF(ISNUMBER(D182), $B199 * E182, "")</f>
        <v>3523.489932885906</v>
      </c>
      <c r="G182" s="31">
        <v>305</v>
      </c>
      <c r="H182" s="32">
        <f t="shared" si="95"/>
        <v>2.3489932885906041E-2</v>
      </c>
      <c r="I182" s="91">
        <f>IF(ISNUMBER(G182), $B199 * H182, "")</f>
        <v>3523.489932885906</v>
      </c>
      <c r="J182" s="15">
        <v>305</v>
      </c>
      <c r="K182" s="32">
        <f t="shared" si="96"/>
        <v>2.3489932885906041E-2</v>
      </c>
      <c r="L182" s="18">
        <f>IF(ISNUMBER(J182), $B199 * K182, "")</f>
        <v>3523.489932885906</v>
      </c>
      <c r="M182" s="31"/>
      <c r="N182" s="32" t="str">
        <f t="shared" si="97"/>
        <v/>
      </c>
      <c r="O182" s="18" t="str">
        <f>IF(ISNUMBER(M182), $B199 * N182, "")</f>
        <v/>
      </c>
      <c r="Q182" s="146"/>
      <c r="R182" s="146"/>
      <c r="S182" s="146"/>
    </row>
    <row r="183" spans="1:19" ht="17.25" thickBot="1">
      <c r="A183" s="111" t="s">
        <v>103</v>
      </c>
      <c r="B183" s="112">
        <v>195</v>
      </c>
      <c r="C183" s="71">
        <v>-3.9408867E-2</v>
      </c>
      <c r="D183" s="20">
        <v>203</v>
      </c>
      <c r="E183" s="21">
        <f t="shared" si="94"/>
        <v>4.1025641025641026E-2</v>
      </c>
      <c r="F183" s="22">
        <f>IF(ISNUMBER(D183), $B199 * E183, "")</f>
        <v>6153.8461538461543</v>
      </c>
      <c r="G183" s="30">
        <v>203</v>
      </c>
      <c r="H183" s="21">
        <f t="shared" si="95"/>
        <v>4.1025641025641026E-2</v>
      </c>
      <c r="I183" s="95">
        <f>IF(ISNUMBER(G183), $B199 * H183, "")</f>
        <v>6153.8461538461543</v>
      </c>
      <c r="J183" s="20">
        <v>203</v>
      </c>
      <c r="K183" s="21">
        <f t="shared" si="96"/>
        <v>4.1025641025641026E-2</v>
      </c>
      <c r="L183" s="22">
        <f>IF(ISNUMBER(J183), $B199 * K183, "")</f>
        <v>6153.8461538461543</v>
      </c>
      <c r="M183" s="30"/>
      <c r="N183" s="21" t="str">
        <f t="shared" si="97"/>
        <v/>
      </c>
      <c r="O183" s="22" t="str">
        <f>IF(ISNUMBER(M183), $B199 * N183, "")</f>
        <v/>
      </c>
      <c r="Q183" s="146"/>
      <c r="R183" s="146"/>
      <c r="S183" s="146"/>
    </row>
    <row r="184" spans="1:19" ht="17.25" thickBot="1">
      <c r="A184" s="109" t="s">
        <v>147</v>
      </c>
      <c r="B184" s="113">
        <v>8320</v>
      </c>
      <c r="C184" s="73">
        <v>-3.9815349100000001E-2</v>
      </c>
      <c r="D184" s="96">
        <v>8875</v>
      </c>
      <c r="E184" s="97">
        <f>IF(ISNUMBER(D184), (D184 - $B184) / $B184, "")</f>
        <v>6.6706730769230768E-2</v>
      </c>
      <c r="F184" s="98">
        <f>IF(ISNUMBER(D184), $B199 * E184, "")</f>
        <v>10006.009615384615</v>
      </c>
      <c r="G184" s="99">
        <v>8890</v>
      </c>
      <c r="H184" s="97">
        <f>IF(ISNUMBER(G184), (G184 - $B184) / $B184, "")</f>
        <v>6.8509615384615391E-2</v>
      </c>
      <c r="I184" s="100">
        <f>IF(ISNUMBER(G184), $B199 * H184, "")</f>
        <v>10276.442307692309</v>
      </c>
      <c r="J184" s="96">
        <v>8885</v>
      </c>
      <c r="K184" s="97">
        <f>IF(ISNUMBER(J184), (J184 - $B184) / $B184, "")</f>
        <v>6.7908653846153841E-2</v>
      </c>
      <c r="L184" s="98">
        <f>IF(ISNUMBER(J184), $B199 * K184, "")</f>
        <v>10186.298076923076</v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46"/>
      <c r="R184" s="146"/>
      <c r="S184" s="146"/>
    </row>
    <row r="185" spans="1:19" ht="17.25" thickBot="1">
      <c r="A185" s="109" t="s">
        <v>317</v>
      </c>
      <c r="B185" s="110">
        <v>541</v>
      </c>
      <c r="C185" s="70">
        <v>-4.0780141800000003E-2</v>
      </c>
      <c r="D185" s="15">
        <v>549</v>
      </c>
      <c r="E185" s="32">
        <f t="shared" ref="E185:E188" si="98">IF(ISNUMBER(D185), (D185 - $B185) / $B185, "")</f>
        <v>1.4787430683918669E-2</v>
      </c>
      <c r="F185" s="18">
        <f>IF(ISNUMBER(D185), $B199 * E185, "")</f>
        <v>2218.1146025878002</v>
      </c>
      <c r="G185" s="31">
        <v>551</v>
      </c>
      <c r="H185" s="32">
        <f t="shared" ref="H185:H188" si="99">IF(ISNUMBER(G185), (G185 - $B185) / $B185, "")</f>
        <v>1.8484288354898338E-2</v>
      </c>
      <c r="I185" s="91">
        <f>IF(ISNUMBER(G185), $B199 * H185, "")</f>
        <v>2772.6432532347508</v>
      </c>
      <c r="J185" s="15">
        <v>550</v>
      </c>
      <c r="K185" s="32">
        <f t="shared" ref="K185:K188" si="100">IF(ISNUMBER(J185), (J185 - $B185) / $B185, "")</f>
        <v>1.6635859519408502E-2</v>
      </c>
      <c r="L185" s="18">
        <f>IF(ISNUMBER(J185), $B199 * K185, "")</f>
        <v>2495.3789279112752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6"/>
      <c r="R185" s="146"/>
      <c r="S185" s="146"/>
    </row>
    <row r="186" spans="1:19" ht="17.25" thickBot="1">
      <c r="A186" s="109" t="s">
        <v>189</v>
      </c>
      <c r="B186" s="110">
        <v>868</v>
      </c>
      <c r="C186" s="70">
        <v>-4.19426049E-2</v>
      </c>
      <c r="D186" s="15">
        <v>893</v>
      </c>
      <c r="E186" s="32">
        <f t="shared" si="98"/>
        <v>2.880184331797235E-2</v>
      </c>
      <c r="F186" s="18">
        <f>IF(ISNUMBER(D186), $B199 * E186, "")</f>
        <v>4320.2764976958524</v>
      </c>
      <c r="G186" s="31">
        <v>905</v>
      </c>
      <c r="H186" s="32">
        <f t="shared" si="99"/>
        <v>4.2626728110599081E-2</v>
      </c>
      <c r="I186" s="91">
        <f>IF(ISNUMBER(G186), $B199 * H186, "")</f>
        <v>6394.0092165898623</v>
      </c>
      <c r="J186" s="15">
        <v>895</v>
      </c>
      <c r="K186" s="32">
        <f t="shared" si="100"/>
        <v>3.1105990783410139E-2</v>
      </c>
      <c r="L186" s="18">
        <f>IF(ISNUMBER(J186), $B199 * K186, "")</f>
        <v>4665.8986175115206</v>
      </c>
      <c r="M186" s="31"/>
      <c r="N186" s="32" t="str">
        <f t="shared" si="101"/>
        <v/>
      </c>
      <c r="O186" s="18" t="str">
        <f>IF(ISNUMBER(M186), $B199 * N186, "")</f>
        <v/>
      </c>
      <c r="Q186" s="146"/>
      <c r="R186" s="146"/>
      <c r="S186" s="146"/>
    </row>
    <row r="187" spans="1:19" ht="17.25" thickBot="1">
      <c r="A187" s="109" t="s">
        <v>120</v>
      </c>
      <c r="B187" s="110">
        <v>95.8</v>
      </c>
      <c r="C187" s="70">
        <v>-4.2000000000000003E-2</v>
      </c>
      <c r="D187" s="15">
        <v>98</v>
      </c>
      <c r="E187" s="32">
        <f t="shared" si="98"/>
        <v>2.2964509394572057E-2</v>
      </c>
      <c r="F187" s="18">
        <f>IF(ISNUMBER(D187), $B199 * E187, "")</f>
        <v>3444.6764091858086</v>
      </c>
      <c r="G187" s="31">
        <v>97.8</v>
      </c>
      <c r="H187" s="32">
        <f t="shared" si="99"/>
        <v>2.0876826722338204E-2</v>
      </c>
      <c r="I187" s="91">
        <f>IF(ISNUMBER(G187), $B199 * H187, "")</f>
        <v>3131.5240083507306</v>
      </c>
      <c r="J187" s="15">
        <v>98</v>
      </c>
      <c r="K187" s="32">
        <f t="shared" si="100"/>
        <v>2.2964509394572057E-2</v>
      </c>
      <c r="L187" s="18">
        <f>IF(ISNUMBER(J187), $B199 * K187, "")</f>
        <v>3444.6764091858086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 t="s">
        <v>319</v>
      </c>
      <c r="B188" s="115">
        <v>315</v>
      </c>
      <c r="C188" s="72">
        <v>-4.2553191499999997E-2</v>
      </c>
      <c r="D188" s="24">
        <v>336</v>
      </c>
      <c r="E188" s="25">
        <f t="shared" si="98"/>
        <v>6.6666666666666666E-2</v>
      </c>
      <c r="F188" s="94">
        <f>IF(ISNUMBER(D188), $B199 * E188, "")</f>
        <v>10000</v>
      </c>
      <c r="G188" s="92">
        <v>336</v>
      </c>
      <c r="H188" s="25">
        <f t="shared" si="99"/>
        <v>6.6666666666666666E-2</v>
      </c>
      <c r="I188" s="93">
        <f>IF(ISNUMBER(G188), $B199 * H188, "")</f>
        <v>10000</v>
      </c>
      <c r="J188" s="24">
        <v>336</v>
      </c>
      <c r="K188" s="25">
        <f t="shared" si="100"/>
        <v>6.6666666666666666E-2</v>
      </c>
      <c r="L188" s="94">
        <f>IF(ISNUMBER(J188), $B199 * K188, "")</f>
        <v>10000</v>
      </c>
      <c r="M188" s="92"/>
      <c r="N188" s="25" t="str">
        <f t="shared" si="101"/>
        <v/>
      </c>
      <c r="O188" s="94" t="str">
        <f>IF(ISNUMBER(M188), $B199 * N188, "")</f>
        <v/>
      </c>
      <c r="Q188" s="147"/>
      <c r="R188" s="148"/>
      <c r="S188" s="149"/>
    </row>
    <row r="189" spans="1:19">
      <c r="A189" s="107" t="s">
        <v>321</v>
      </c>
      <c r="B189" s="108">
        <v>153</v>
      </c>
      <c r="C189" s="69">
        <v>-4.3749999999999997E-2</v>
      </c>
      <c r="D189" s="13">
        <v>156</v>
      </c>
      <c r="E189" s="14">
        <f>IF(ISNUMBER(D189), (D189 - $B189) / $B189, "")</f>
        <v>1.9607843137254902E-2</v>
      </c>
      <c r="F189" s="16">
        <f>IF(ISNUMBER(D189), $B199 * E189, "")</f>
        <v>2941.1764705882351</v>
      </c>
      <c r="G189" s="29">
        <v>157</v>
      </c>
      <c r="H189" s="14">
        <f>IF(ISNUMBER(G189), (G189 - $B189) / $B189, "")</f>
        <v>2.6143790849673203E-2</v>
      </c>
      <c r="I189" s="90">
        <f>IF(ISNUMBER(G189), $B199 * H189, "")</f>
        <v>3921.5686274509803</v>
      </c>
      <c r="J189" s="13">
        <v>157</v>
      </c>
      <c r="K189" s="14">
        <f>IF(ISNUMBER(J189), (J189 - $B189) / $B189, "")</f>
        <v>2.6143790849673203E-2</v>
      </c>
      <c r="L189" s="16">
        <f>IF(ISNUMBER(J189), $B199 * K189, "")</f>
        <v>3921.5686274509803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0"/>
      <c r="R189" s="151"/>
      <c r="S189" s="152"/>
    </row>
    <row r="190" spans="1:19" ht="17.25" thickBot="1">
      <c r="A190" s="109" t="s">
        <v>207</v>
      </c>
      <c r="B190" s="110">
        <v>59</v>
      </c>
      <c r="C190" s="70">
        <v>-4.3760129699999997E-2</v>
      </c>
      <c r="D190" s="15">
        <v>60.1</v>
      </c>
      <c r="E190" s="32">
        <f t="shared" ref="E190:E193" si="102">IF(ISNUMBER(D190), (D190 - $B190) / $B190, "")</f>
        <v>1.8644067796610195E-2</v>
      </c>
      <c r="F190" s="18">
        <f>IF(ISNUMBER(D190), $B199 * E190, "")</f>
        <v>2796.6101694915292</v>
      </c>
      <c r="G190" s="31">
        <v>60</v>
      </c>
      <c r="H190" s="32">
        <f t="shared" ref="H190:H193" si="103">IF(ISNUMBER(G190), (G190 - $B190) / $B190, "")</f>
        <v>1.6949152542372881E-2</v>
      </c>
      <c r="I190" s="91">
        <f>IF(ISNUMBER(G190), $B199 * H190, "")</f>
        <v>2542.3728813559323</v>
      </c>
      <c r="J190" s="15">
        <v>60</v>
      </c>
      <c r="K190" s="32">
        <f t="shared" ref="K190:K193" si="104">IF(ISNUMBER(J190), (J190 - $B190) / $B190, "")</f>
        <v>1.6949152542372881E-2</v>
      </c>
      <c r="L190" s="18">
        <f>IF(ISNUMBER(J190), $B199 * K190, "")</f>
        <v>2542.3728813559323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3"/>
      <c r="R190" s="154"/>
      <c r="S190" s="155"/>
    </row>
    <row r="191" spans="1:19" ht="17.25" thickBot="1">
      <c r="A191" s="109" t="s">
        <v>323</v>
      </c>
      <c r="B191" s="110">
        <v>3.0300000000000001E-2</v>
      </c>
      <c r="C191" s="70">
        <v>-4.4164037900000001E-2</v>
      </c>
      <c r="D191" s="15">
        <v>3.1099999999999999E-2</v>
      </c>
      <c r="E191" s="32">
        <f t="shared" si="102"/>
        <v>2.6402640264026358E-2</v>
      </c>
      <c r="F191" s="18">
        <f>IF(ISNUMBER(D191), $B199 * E191, "")</f>
        <v>3960.3960396039538</v>
      </c>
      <c r="G191" s="31">
        <v>3.1E-2</v>
      </c>
      <c r="H191" s="32">
        <f t="shared" si="103"/>
        <v>2.3102310231023077E-2</v>
      </c>
      <c r="I191" s="91">
        <f>IF(ISNUMBER(G191), $B199 * H191, "")</f>
        <v>3465.3465346534613</v>
      </c>
      <c r="J191" s="15">
        <v>3.09E-2</v>
      </c>
      <c r="K191" s="32">
        <f t="shared" si="104"/>
        <v>1.9801980198019795E-2</v>
      </c>
      <c r="L191" s="18">
        <f>IF(ISNUMBER(J191), $B199 * K191, "")</f>
        <v>2970.2970297029692</v>
      </c>
      <c r="M191" s="31"/>
      <c r="N191" s="32" t="str">
        <f t="shared" si="105"/>
        <v/>
      </c>
      <c r="O191" s="18" t="str">
        <f>IF(ISNUMBER(M191), $B199 * N191, "")</f>
        <v/>
      </c>
      <c r="Q191" s="146"/>
      <c r="R191" s="146"/>
      <c r="S191" s="146"/>
    </row>
    <row r="192" spans="1:19" ht="17.25" thickBot="1">
      <c r="A192" s="109" t="s">
        <v>68</v>
      </c>
      <c r="B192" s="110">
        <v>246</v>
      </c>
      <c r="C192" s="70">
        <v>-4.6511627899999998E-2</v>
      </c>
      <c r="D192" s="15">
        <v>252</v>
      </c>
      <c r="E192" s="32">
        <f t="shared" si="102"/>
        <v>2.4390243902439025E-2</v>
      </c>
      <c r="F192" s="18">
        <f>IF(ISNUMBER(D192), $B199 * E192, "")</f>
        <v>3658.5365853658536</v>
      </c>
      <c r="G192" s="31">
        <v>253</v>
      </c>
      <c r="H192" s="32">
        <f t="shared" si="103"/>
        <v>2.8455284552845527E-2</v>
      </c>
      <c r="I192" s="91">
        <f>IF(ISNUMBER(G192), $B199 * H192, "")</f>
        <v>4268.292682926829</v>
      </c>
      <c r="J192" s="15">
        <v>250</v>
      </c>
      <c r="K192" s="32">
        <f t="shared" si="104"/>
        <v>1.6260162601626018E-2</v>
      </c>
      <c r="L192" s="18">
        <f>IF(ISNUMBER(J192), $B199 * K192, "")</f>
        <v>2439.0243902439029</v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 t="s">
        <v>201</v>
      </c>
      <c r="B193" s="112">
        <v>176</v>
      </c>
      <c r="C193" s="71">
        <v>-4.8648648599999997E-2</v>
      </c>
      <c r="D193" s="20">
        <v>186</v>
      </c>
      <c r="E193" s="21">
        <f t="shared" si="102"/>
        <v>5.6818181818181816E-2</v>
      </c>
      <c r="F193" s="22">
        <f>IF(ISNUMBER(D193), $B199 * E193, "")</f>
        <v>8522.7272727272721</v>
      </c>
      <c r="G193" s="30">
        <v>185</v>
      </c>
      <c r="H193" s="21">
        <f t="shared" si="103"/>
        <v>5.113636363636364E-2</v>
      </c>
      <c r="I193" s="95">
        <f>IF(ISNUMBER(G193), $B199 * H193, "")</f>
        <v>7670.454545454546</v>
      </c>
      <c r="J193" s="20">
        <v>185</v>
      </c>
      <c r="K193" s="21">
        <f t="shared" si="104"/>
        <v>5.113636363636364E-2</v>
      </c>
      <c r="L193" s="22">
        <f>IF(ISNUMBER(J193), $B199 * K193, "")</f>
        <v>7670.454545454546</v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 t="s">
        <v>174</v>
      </c>
      <c r="B194" s="113">
        <v>11740</v>
      </c>
      <c r="C194" s="73">
        <v>-5.24616626E-2</v>
      </c>
      <c r="D194" s="96">
        <v>11920</v>
      </c>
      <c r="E194" s="97">
        <f>IF(ISNUMBER(D194), (D194 - $B194) / $B194, "")</f>
        <v>1.5332197614991482E-2</v>
      </c>
      <c r="F194" s="98">
        <f>IF(ISNUMBER(D194), $B199 * E194, "")</f>
        <v>2299.8296422487224</v>
      </c>
      <c r="G194" s="99">
        <v>11900</v>
      </c>
      <c r="H194" s="97">
        <f>IF(ISNUMBER(G194), (G194 - $B194) / $B194, "")</f>
        <v>1.3628620102214651E-2</v>
      </c>
      <c r="I194" s="100">
        <f>IF(ISNUMBER(G194), $B199 * H194, "")</f>
        <v>2044.2930153321977</v>
      </c>
      <c r="J194" s="96">
        <v>11910</v>
      </c>
      <c r="K194" s="97">
        <f>IF(ISNUMBER(J194), (J194 - $B194) / $B194, "")</f>
        <v>1.4480408858603067E-2</v>
      </c>
      <c r="L194" s="98">
        <f>IF(ISNUMBER(J194), $B199 * K194, "")</f>
        <v>2172.0613287904603</v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46"/>
      <c r="R194" s="146"/>
      <c r="S194" s="146"/>
    </row>
    <row r="195" spans="1:19" ht="17.25" thickBot="1">
      <c r="A195" s="109" t="s">
        <v>85</v>
      </c>
      <c r="B195" s="110">
        <v>136</v>
      </c>
      <c r="C195" s="70">
        <v>-5.5555555600000001E-2</v>
      </c>
      <c r="D195" s="15">
        <v>138</v>
      </c>
      <c r="E195" s="32">
        <f t="shared" ref="E195:E198" si="106">IF(ISNUMBER(D195), (D195 - $B195) / $B195, "")</f>
        <v>1.4705882352941176E-2</v>
      </c>
      <c r="F195" s="18">
        <f>IF(ISNUMBER(D195), $B199 * E195, "")</f>
        <v>2205.8823529411766</v>
      </c>
      <c r="G195" s="31">
        <v>140</v>
      </c>
      <c r="H195" s="32">
        <f t="shared" ref="H195:H198" si="107">IF(ISNUMBER(G195), (G195 - $B195) / $B195, "")</f>
        <v>2.9411764705882353E-2</v>
      </c>
      <c r="I195" s="91">
        <f>IF(ISNUMBER(G195), $B199 * H195, "")</f>
        <v>4411.7647058823532</v>
      </c>
      <c r="J195" s="15">
        <v>138</v>
      </c>
      <c r="K195" s="32">
        <f t="shared" ref="K195:K198" si="108">IF(ISNUMBER(J195), (J195 - $B195) / $B195, "")</f>
        <v>1.4705882352941176E-2</v>
      </c>
      <c r="L195" s="18">
        <f>IF(ISNUMBER(J195), $B199 * K195, "")</f>
        <v>2205.8823529411766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6"/>
      <c r="R195" s="146"/>
      <c r="S195" s="146"/>
    </row>
    <row r="196" spans="1:19" ht="17.25" thickBot="1">
      <c r="A196" s="109" t="s">
        <v>145</v>
      </c>
      <c r="B196" s="110">
        <v>64.599999999999994</v>
      </c>
      <c r="C196" s="70">
        <v>-6.2409288799999997E-2</v>
      </c>
      <c r="D196" s="15">
        <v>66.099999999999994</v>
      </c>
      <c r="E196" s="32">
        <f t="shared" si="106"/>
        <v>2.3219814241486069E-2</v>
      </c>
      <c r="F196" s="18">
        <f>IF(ISNUMBER(D196), $B199 * E196, "")</f>
        <v>3482.9721362229102</v>
      </c>
      <c r="G196" s="31">
        <v>66.2</v>
      </c>
      <c r="H196" s="32">
        <f t="shared" si="107"/>
        <v>2.4767801857585273E-2</v>
      </c>
      <c r="I196" s="91">
        <f>IF(ISNUMBER(G196), $B199 * H196, "")</f>
        <v>3715.1702786377909</v>
      </c>
      <c r="J196" s="15">
        <v>65.8</v>
      </c>
      <c r="K196" s="32">
        <f t="shared" si="108"/>
        <v>1.8575851393188899E-2</v>
      </c>
      <c r="L196" s="18">
        <f>IF(ISNUMBER(J196), $B199 * K196, "")</f>
        <v>2786.3777089783348</v>
      </c>
      <c r="M196" s="31"/>
      <c r="N196" s="32" t="str">
        <f t="shared" si="109"/>
        <v/>
      </c>
      <c r="O196" s="18" t="str">
        <f>IF(ISNUMBER(M196), $B199 * N196, "")</f>
        <v/>
      </c>
      <c r="Q196" s="146"/>
      <c r="R196" s="146"/>
      <c r="S196" s="146"/>
    </row>
    <row r="197" spans="1:19">
      <c r="A197" s="109" t="s">
        <v>91</v>
      </c>
      <c r="B197" s="110">
        <v>16470</v>
      </c>
      <c r="C197" s="70">
        <v>-6.52667423E-2</v>
      </c>
      <c r="D197" s="15">
        <v>17530</v>
      </c>
      <c r="E197" s="32">
        <f t="shared" si="106"/>
        <v>6.4359441408621737E-2</v>
      </c>
      <c r="F197" s="18">
        <f>IF(ISNUMBER(D197), $B199 * E197, "")</f>
        <v>9653.9162112932609</v>
      </c>
      <c r="G197" s="31">
        <v>17430</v>
      </c>
      <c r="H197" s="32">
        <f t="shared" si="107"/>
        <v>5.8287795992714025E-2</v>
      </c>
      <c r="I197" s="91">
        <f>IF(ISNUMBER(G197), $B199 * H197, "")</f>
        <v>8743.1693989071046</v>
      </c>
      <c r="J197" s="15">
        <v>17420</v>
      </c>
      <c r="K197" s="32">
        <f t="shared" si="108"/>
        <v>5.7680631451123253E-2</v>
      </c>
      <c r="L197" s="18">
        <f>IF(ISNUMBER(J197), $B199 * K197, "")</f>
        <v>8652.0947176684876</v>
      </c>
      <c r="M197" s="31"/>
      <c r="N197" s="32" t="str">
        <f t="shared" si="109"/>
        <v/>
      </c>
      <c r="O197" s="18" t="str">
        <f>IF(ISNUMBER(M197), $B199 * N197, "")</f>
        <v/>
      </c>
      <c r="Q197" s="135"/>
      <c r="R197" s="136"/>
      <c r="S197" s="137"/>
    </row>
    <row r="198" spans="1:19" ht="17.25" thickBot="1">
      <c r="A198" s="114" t="s">
        <v>97</v>
      </c>
      <c r="B198" s="115">
        <v>6.9999999999999999E-4</v>
      </c>
      <c r="C198" s="72">
        <v>-0.22222222220000001</v>
      </c>
      <c r="D198" s="24">
        <v>8.0000000000000004E-4</v>
      </c>
      <c r="E198" s="25">
        <f t="shared" si="106"/>
        <v>0.14285714285714293</v>
      </c>
      <c r="F198" s="94">
        <f>IF(ISNUMBER(D198), $B199 * E198, "")</f>
        <v>21428.571428571438</v>
      </c>
      <c r="G198" s="92">
        <v>8.0000000000000004E-4</v>
      </c>
      <c r="H198" s="25">
        <f t="shared" si="107"/>
        <v>0.14285714285714293</v>
      </c>
      <c r="I198" s="93">
        <f>IF(ISNUMBER(G198), $B199 * H198, "")</f>
        <v>21428.571428571438</v>
      </c>
      <c r="J198" s="24">
        <v>8.9999999999999998E-4</v>
      </c>
      <c r="K198" s="25">
        <f t="shared" si="108"/>
        <v>0.2857142857142857</v>
      </c>
      <c r="L198" s="94">
        <f>IF(ISNUMBER(J198), $B199 * K198, "")</f>
        <v>42857.142857142855</v>
      </c>
      <c r="M198" s="92"/>
      <c r="N198" s="25" t="str">
        <f t="shared" si="109"/>
        <v/>
      </c>
      <c r="O198" s="94" t="str">
        <f>IF(ISNUMBER(M198), $B199 * N198, "")</f>
        <v/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4.2164767072395762E-2</v>
      </c>
      <c r="F199" s="28">
        <f>SUM(F179:F198)</f>
        <v>126494.30121718727</v>
      </c>
      <c r="G199" s="26" t="s">
        <v>258</v>
      </c>
      <c r="H199" s="27">
        <f>IF(COUNT(H179:H198), SUM(H179:H198) / COUNT(H179:H198), 0)</f>
        <v>4.3596440780101463E-2</v>
      </c>
      <c r="I199" s="28">
        <f>SUM(I179:I198)</f>
        <v>130789.32234030437</v>
      </c>
      <c r="J199" s="26" t="s">
        <v>258</v>
      </c>
      <c r="K199" s="27">
        <f>IF(COUNT(K179:K198), SUM(K179:K198) / COUNT(K179:K198), 0)</f>
        <v>4.7335326284337093E-2</v>
      </c>
      <c r="L199" s="28">
        <f>SUM(L179:L198)</f>
        <v>142005.97885301127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4FF43-50D4-45A0-8298-0EC09D14E5BC}">
  <sheetPr codeName="Sheet14"/>
  <dimension ref="A1:S199"/>
  <sheetViews>
    <sheetView tabSelected="1" zoomScaleNormal="100" workbookViewId="0">
      <selection activeCell="B37" sqref="B37:C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57" t="s">
        <v>0</v>
      </c>
      <c r="B1" s="158"/>
      <c r="C1" s="158"/>
      <c r="D1" s="158"/>
      <c r="E1" s="158"/>
      <c r="F1" s="159"/>
      <c r="G1" s="188">
        <v>44934</v>
      </c>
      <c r="H1" s="189"/>
      <c r="I1" s="190"/>
      <c r="J1" s="157" t="s">
        <v>1</v>
      </c>
      <c r="K1" s="158"/>
      <c r="L1" s="158"/>
      <c r="M1" s="158"/>
      <c r="N1" s="158"/>
      <c r="O1" s="159"/>
      <c r="Q1" s="157" t="s">
        <v>2</v>
      </c>
      <c r="R1" s="159"/>
    </row>
    <row r="2" spans="1:19" ht="17.25" customHeight="1">
      <c r="A2" s="101" t="s">
        <v>3</v>
      </c>
      <c r="B2" s="191" t="s">
        <v>8</v>
      </c>
      <c r="C2" s="192"/>
      <c r="D2" s="192"/>
      <c r="E2" s="192"/>
      <c r="F2" s="193"/>
      <c r="G2" s="185" t="s">
        <v>46</v>
      </c>
      <c r="H2" s="186"/>
      <c r="I2" s="187"/>
      <c r="J2" s="1" t="s">
        <v>3</v>
      </c>
      <c r="K2" s="191" t="s">
        <v>307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02" t="s">
        <v>7</v>
      </c>
      <c r="B3" s="182" t="s">
        <v>315</v>
      </c>
      <c r="C3" s="183"/>
      <c r="D3" s="183"/>
      <c r="E3" s="183"/>
      <c r="F3" s="184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82" t="s">
        <v>308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82" t="s">
        <v>16</v>
      </c>
      <c r="C4" s="183"/>
      <c r="D4" s="183"/>
      <c r="E4" s="183"/>
      <c r="F4" s="184"/>
      <c r="G4" s="185" t="s">
        <v>44</v>
      </c>
      <c r="H4" s="186"/>
      <c r="I4" s="187"/>
      <c r="J4" s="4" t="s">
        <v>11</v>
      </c>
      <c r="K4" s="182" t="s">
        <v>309</v>
      </c>
      <c r="L4" s="183"/>
      <c r="M4" s="183"/>
      <c r="N4" s="183"/>
      <c r="O4" s="184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82" t="s">
        <v>306</v>
      </c>
      <c r="C5" s="183"/>
      <c r="D5" s="183"/>
      <c r="E5" s="183"/>
      <c r="F5" s="184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82" t="s">
        <v>310</v>
      </c>
      <c r="L5" s="183"/>
      <c r="M5" s="183"/>
      <c r="N5" s="183"/>
      <c r="O5" s="184"/>
    </row>
    <row r="6" spans="1:19">
      <c r="A6" s="102" t="s">
        <v>18</v>
      </c>
      <c r="B6" s="182"/>
      <c r="C6" s="183"/>
      <c r="D6" s="183"/>
      <c r="E6" s="183"/>
      <c r="F6" s="184"/>
      <c r="G6" s="185" t="s">
        <v>45</v>
      </c>
      <c r="H6" s="186"/>
      <c r="I6" s="187"/>
      <c r="J6" s="4" t="s">
        <v>18</v>
      </c>
      <c r="K6" s="182" t="s">
        <v>311</v>
      </c>
      <c r="L6" s="183"/>
      <c r="M6" s="183"/>
      <c r="N6" s="183"/>
      <c r="O6" s="184"/>
    </row>
    <row r="7" spans="1:19" ht="17.25" thickBot="1">
      <c r="A7" s="102" t="s">
        <v>21</v>
      </c>
      <c r="B7" s="182"/>
      <c r="C7" s="183"/>
      <c r="D7" s="183"/>
      <c r="E7" s="183"/>
      <c r="F7" s="184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82" t="s">
        <v>312</v>
      </c>
      <c r="L7" s="183"/>
      <c r="M7" s="183"/>
      <c r="N7" s="183"/>
      <c r="O7" s="184"/>
    </row>
    <row r="8" spans="1:19" ht="17.25" thickBot="1">
      <c r="A8" s="102" t="s">
        <v>24</v>
      </c>
      <c r="B8" s="182"/>
      <c r="C8" s="183"/>
      <c r="D8" s="183"/>
      <c r="E8" s="183"/>
      <c r="F8" s="184"/>
      <c r="G8" s="185" t="s">
        <v>242</v>
      </c>
      <c r="H8" s="186"/>
      <c r="I8" s="187"/>
      <c r="J8" s="4" t="s">
        <v>24</v>
      </c>
      <c r="K8" s="182"/>
      <c r="L8" s="183"/>
      <c r="M8" s="183"/>
      <c r="N8" s="183"/>
      <c r="O8" s="184"/>
      <c r="Q8" s="157" t="s">
        <v>27</v>
      </c>
      <c r="R8" s="159"/>
    </row>
    <row r="9" spans="1:19" ht="17.25" thickBot="1">
      <c r="A9" s="102" t="s">
        <v>28</v>
      </c>
      <c r="B9" s="182"/>
      <c r="C9" s="183"/>
      <c r="D9" s="183"/>
      <c r="E9" s="183"/>
      <c r="F9" s="184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02" t="s">
        <v>30</v>
      </c>
      <c r="B10" s="182"/>
      <c r="C10" s="183"/>
      <c r="D10" s="183"/>
      <c r="E10" s="183"/>
      <c r="F10" s="184"/>
      <c r="G10" s="185" t="s">
        <v>47</v>
      </c>
      <c r="H10" s="186"/>
      <c r="I10" s="187"/>
      <c r="J10" s="4" t="s">
        <v>30</v>
      </c>
      <c r="K10" s="182" t="s">
        <v>313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03" t="s">
        <v>32</v>
      </c>
      <c r="B11" s="175" t="s">
        <v>314</v>
      </c>
      <c r="C11" s="176"/>
      <c r="D11" s="176"/>
      <c r="E11" s="176"/>
      <c r="F11" s="177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75" t="s">
        <v>305</v>
      </c>
      <c r="L11" s="176"/>
      <c r="M11" s="176"/>
      <c r="N11" s="176"/>
      <c r="O11" s="177"/>
      <c r="Q11" s="61" t="s">
        <v>33</v>
      </c>
      <c r="R11" s="8">
        <v>1000</v>
      </c>
    </row>
    <row r="12" spans="1:19" ht="17.25" thickBot="1"/>
    <row r="13" spans="1:19" ht="17.25" customHeight="1" thickBot="1">
      <c r="A13" s="157" t="s">
        <v>34</v>
      </c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9"/>
      <c r="Q13" s="156"/>
      <c r="R13" s="156"/>
      <c r="S13" s="156"/>
    </row>
    <row r="14" spans="1:19" ht="17.25" customHeight="1" thickBot="1">
      <c r="A14" s="9" t="s">
        <v>35</v>
      </c>
      <c r="B14" s="157" t="s">
        <v>36</v>
      </c>
      <c r="C14" s="159"/>
      <c r="D14" s="157" t="s">
        <v>37</v>
      </c>
      <c r="E14" s="158"/>
      <c r="F14" s="159"/>
      <c r="G14" s="160">
        <f>_xlfn.IFNA(VLOOKUP(B14, 현재가테이블!$B$2:$D$200, 2, FALSE), "-")</f>
        <v>21539000</v>
      </c>
      <c r="H14" s="161"/>
      <c r="I14" s="162"/>
      <c r="J14" s="157" t="s">
        <v>38</v>
      </c>
      <c r="K14" s="158"/>
      <c r="L14" s="159"/>
      <c r="M14" s="163">
        <f>_xlfn.IFNA(VLOOKUP(B14, 현재가테이블!$B$2:$D$200, 3, FALSE), "-")</f>
        <v>1.0224474E-3</v>
      </c>
      <c r="N14" s="164"/>
      <c r="O14" s="165"/>
      <c r="Q14" s="156"/>
      <c r="R14" s="156"/>
      <c r="S14" s="156"/>
    </row>
    <row r="15" spans="1:19" ht="17.25" customHeight="1" thickBot="1">
      <c r="A15" s="194" t="s">
        <v>39</v>
      </c>
      <c r="B15" s="195" t="str">
        <f>TEXT($G$1, "[$-ko-KR]yyyy-mm-dd(ddd) ") &amp; "오전 00:00"</f>
        <v>2023-01-08(일) 오전 00:00</v>
      </c>
      <c r="C15" s="196"/>
      <c r="D15" s="170" t="str">
        <f>TEXT($G$1, "[$-ko-KR]yyyy-mm-dd(ddd) ") &amp; "오후 14:00"</f>
        <v>2023-01-08(일) 오후 14:00</v>
      </c>
      <c r="E15" s="171"/>
      <c r="F15" s="172"/>
      <c r="G15" s="170" t="str">
        <f>TEXT($G$1, "[$-ko-KR]yyyy-mm-dd(ddd) ") &amp; "오후 19:00"</f>
        <v>2023-01-08(일) 오후 19:00</v>
      </c>
      <c r="H15" s="171"/>
      <c r="I15" s="172"/>
      <c r="J15" s="170" t="str">
        <f>TEXT($G$1, "[$-ko-KR]yyyy-mm-dd(ddd) ") &amp; "오후 21:00"</f>
        <v>2023-01-08(일) 오후 21:00</v>
      </c>
      <c r="K15" s="171"/>
      <c r="L15" s="172"/>
      <c r="M15" s="170" t="str">
        <f>TEXT($G$1+1, "[$-ko-KR]yyyy-mm-dd(ddd) ") &amp; "오전 00:00"</f>
        <v>2023-01-09(월) 오전 00:00</v>
      </c>
      <c r="N15" s="171"/>
      <c r="O15" s="172"/>
      <c r="Q15" s="156"/>
      <c r="R15" s="156"/>
      <c r="S15" s="156"/>
    </row>
    <row r="16" spans="1:19" ht="17.25" customHeight="1" thickBot="1">
      <c r="A16" s="194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46"/>
      <c r="R16" s="146"/>
      <c r="S16" s="146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46"/>
      <c r="R19" s="146"/>
      <c r="S19" s="146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46"/>
      <c r="R20" s="146"/>
      <c r="S20" s="146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46"/>
      <c r="R21" s="146"/>
      <c r="S21" s="146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46"/>
      <c r="R22" s="146"/>
      <c r="S22" s="146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46"/>
      <c r="R23" s="146"/>
      <c r="S23" s="146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46"/>
      <c r="R24" s="146"/>
      <c r="S24" s="146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47"/>
      <c r="R26" s="148"/>
      <c r="S26" s="149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50"/>
      <c r="R27" s="151"/>
      <c r="S27" s="152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53"/>
      <c r="R28" s="154"/>
      <c r="S28" s="155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46"/>
      <c r="R29" s="146"/>
      <c r="S29" s="146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46"/>
      <c r="R32" s="146"/>
      <c r="S32" s="146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46"/>
      <c r="R33" s="146"/>
      <c r="S33" s="146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46"/>
      <c r="R34" s="146"/>
      <c r="S34" s="146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35"/>
      <c r="R35" s="136"/>
      <c r="S35" s="137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38"/>
      <c r="R36" s="139"/>
      <c r="S36" s="140"/>
    </row>
    <row r="37" spans="1:19" ht="17.25" customHeight="1" thickBot="1">
      <c r="A37" s="116" t="s">
        <v>42</v>
      </c>
      <c r="B37" s="199">
        <v>150000</v>
      </c>
      <c r="C37" s="20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41"/>
      <c r="R37" s="142"/>
      <c r="S37" s="143"/>
    </row>
    <row r="38" spans="1:19" ht="17.25" customHeight="1"/>
    <row r="39" spans="1:19" ht="17.25" customHeight="1" thickBot="1"/>
    <row r="40" spans="1:19" ht="17.25" customHeight="1" thickBot="1">
      <c r="A40" s="157" t="s">
        <v>44</v>
      </c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9"/>
      <c r="Q40" s="156"/>
      <c r="R40" s="156"/>
      <c r="S40" s="156"/>
    </row>
    <row r="41" spans="1:19" ht="17.25" customHeight="1" thickBot="1">
      <c r="A41" s="9" t="s">
        <v>254</v>
      </c>
      <c r="B41" s="157" t="s">
        <v>49</v>
      </c>
      <c r="C41" s="159"/>
      <c r="D41" s="157" t="s">
        <v>57</v>
      </c>
      <c r="E41" s="158"/>
      <c r="F41" s="159"/>
      <c r="G41" s="160">
        <f>_xlfn.IFNA(VLOOKUP(B41, 현재가테이블!$B$2:$D$200, 2, FALSE), "-")</f>
        <v>21539000</v>
      </c>
      <c r="H41" s="161"/>
      <c r="I41" s="162"/>
      <c r="J41" s="157" t="s">
        <v>58</v>
      </c>
      <c r="K41" s="158"/>
      <c r="L41" s="159"/>
      <c r="M41" s="163">
        <f>_xlfn.IFNA(VLOOKUP(B41, 현재가테이블!$B$2:$D$200, 3, FALSE), "-")</f>
        <v>1.0224474E-3</v>
      </c>
      <c r="N41" s="164"/>
      <c r="O41" s="165"/>
      <c r="Q41" s="156"/>
      <c r="R41" s="156"/>
      <c r="S41" s="156"/>
    </row>
    <row r="42" spans="1:19" ht="17.25" customHeight="1" thickBot="1">
      <c r="A42" s="201" t="s">
        <v>54</v>
      </c>
      <c r="B42" s="197" t="str">
        <f>TEXT($G$1, "[$-ko-KR]yyyy-mm-dd(ddd) ") &amp; "오전 00:00"</f>
        <v>2023-01-08(일) 오전 00:00</v>
      </c>
      <c r="C42" s="198"/>
      <c r="D42" s="170" t="str">
        <f>TEXT($G$1, "[$-ko-KR]yyyy-mm-dd(ddd) ") &amp; "오후 14:00"</f>
        <v>2023-01-08(일) 오후 14:00</v>
      </c>
      <c r="E42" s="171"/>
      <c r="F42" s="172"/>
      <c r="G42" s="170" t="str">
        <f>TEXT($G$1, "[$-ko-KR]yyyy-mm-dd(ddd) ") &amp; "오후 19:00"</f>
        <v>2023-01-08(일) 오후 19:00</v>
      </c>
      <c r="H42" s="171"/>
      <c r="I42" s="172"/>
      <c r="J42" s="170" t="str">
        <f>TEXT($G$1, "[$-ko-KR]yyyy-mm-dd(ddd) ") &amp; "오후 21:00"</f>
        <v>2023-01-08(일) 오후 21:00</v>
      </c>
      <c r="K42" s="171"/>
      <c r="L42" s="172"/>
      <c r="M42" s="170" t="str">
        <f>TEXT($G$1+1, "[$-ko-KR]yyyy-mm-dd(ddd) ") &amp; "오전 00:00"</f>
        <v>2023-01-09(월) 오전 00:00</v>
      </c>
      <c r="N42" s="171"/>
      <c r="O42" s="172"/>
      <c r="Q42" s="156"/>
      <c r="R42" s="156"/>
      <c r="S42" s="156"/>
    </row>
    <row r="43" spans="1:19" ht="17.25" customHeight="1" thickBot="1">
      <c r="A43" s="202"/>
      <c r="B43" s="105" t="s">
        <v>57</v>
      </c>
      <c r="C43" s="106" t="s">
        <v>58</v>
      </c>
      <c r="D43" s="2" t="s">
        <v>57</v>
      </c>
      <c r="E43" s="10" t="s">
        <v>255</v>
      </c>
      <c r="F43" s="11" t="s">
        <v>256</v>
      </c>
      <c r="G43" s="57" t="s">
        <v>57</v>
      </c>
      <c r="H43" s="58" t="s">
        <v>255</v>
      </c>
      <c r="I43" s="59" t="s">
        <v>256</v>
      </c>
      <c r="J43" s="10" t="s">
        <v>57</v>
      </c>
      <c r="K43" s="10" t="s">
        <v>255</v>
      </c>
      <c r="L43" s="60" t="s">
        <v>256</v>
      </c>
      <c r="M43" s="2" t="s">
        <v>57</v>
      </c>
      <c r="N43" s="10" t="s">
        <v>255</v>
      </c>
      <c r="O43" s="62" t="s">
        <v>256</v>
      </c>
      <c r="Q43" s="146"/>
      <c r="R43" s="146"/>
      <c r="S43" s="146"/>
    </row>
    <row r="44" spans="1:19" ht="17.25" customHeight="1" thickBot="1">
      <c r="A44" s="107" t="s">
        <v>217</v>
      </c>
      <c r="B44" s="108">
        <v>56.9</v>
      </c>
      <c r="C44" s="69">
        <v>2.1543985599999999E-2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 t="s">
        <v>324</v>
      </c>
      <c r="B45" s="110">
        <v>78.7</v>
      </c>
      <c r="C45" s="70">
        <v>1.8111254899999998E-2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 t="s">
        <v>225</v>
      </c>
      <c r="B46" s="110">
        <v>52.8</v>
      </c>
      <c r="C46" s="70">
        <v>1.7341040499999998E-2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46"/>
      <c r="R46" s="146"/>
      <c r="S46" s="146"/>
    </row>
    <row r="47" spans="1:19" ht="17.25" customHeight="1" thickBot="1">
      <c r="A47" s="109" t="s">
        <v>185</v>
      </c>
      <c r="B47" s="110">
        <v>23.7</v>
      </c>
      <c r="C47" s="70">
        <v>1.7167381999999998E-2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46"/>
      <c r="R47" s="146"/>
      <c r="S47" s="146"/>
    </row>
    <row r="48" spans="1:19" ht="17.25" customHeight="1" thickBot="1">
      <c r="A48" s="111" t="s">
        <v>227</v>
      </c>
      <c r="B48" s="112">
        <v>35.5</v>
      </c>
      <c r="C48" s="71">
        <v>1.42857143E-2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46"/>
      <c r="R48" s="146"/>
      <c r="S48" s="146"/>
    </row>
    <row r="49" spans="1:19" ht="17.25" customHeight="1" thickBot="1">
      <c r="A49" s="109" t="s">
        <v>51</v>
      </c>
      <c r="B49" s="113">
        <v>96.1</v>
      </c>
      <c r="C49" s="73">
        <v>1.05152471E-2</v>
      </c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46"/>
      <c r="R49" s="146"/>
      <c r="S49" s="146"/>
    </row>
    <row r="50" spans="1:19" ht="17.25" customHeight="1" thickBot="1">
      <c r="A50" s="109" t="s">
        <v>195</v>
      </c>
      <c r="B50" s="110">
        <v>5.68</v>
      </c>
      <c r="C50" s="70">
        <v>8.8809947000000004E-3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46"/>
      <c r="R50" s="146"/>
      <c r="S50" s="146"/>
    </row>
    <row r="51" spans="1:19" ht="17.25" customHeight="1" thickBot="1">
      <c r="A51" s="109" t="s">
        <v>241</v>
      </c>
      <c r="B51" s="110">
        <v>85.5</v>
      </c>
      <c r="C51" s="70">
        <v>8.254717E-3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46"/>
      <c r="R51" s="146"/>
      <c r="S51" s="146"/>
    </row>
    <row r="52" spans="1:19" ht="17.25" customHeight="1" thickBot="1">
      <c r="A52" s="109" t="s">
        <v>197</v>
      </c>
      <c r="B52" s="110">
        <v>5.62</v>
      </c>
      <c r="C52" s="70">
        <v>3.5714286E-3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 t="s">
        <v>329</v>
      </c>
      <c r="B53" s="115">
        <v>49.7</v>
      </c>
      <c r="C53" s="72">
        <v>2.0161290000000002E-3</v>
      </c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47"/>
      <c r="R53" s="148"/>
      <c r="S53" s="149"/>
    </row>
    <row r="54" spans="1:19" ht="17.25" customHeight="1">
      <c r="A54" s="107" t="s">
        <v>138</v>
      </c>
      <c r="B54" s="108">
        <v>21</v>
      </c>
      <c r="C54" s="69">
        <v>0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50"/>
      <c r="R54" s="151"/>
      <c r="S54" s="152"/>
    </row>
    <row r="55" spans="1:19" ht="17.25" customHeight="1" thickBot="1">
      <c r="A55" s="109" t="s">
        <v>97</v>
      </c>
      <c r="B55" s="110">
        <v>8.0000000000000004E-4</v>
      </c>
      <c r="C55" s="70">
        <v>0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53"/>
      <c r="R55" s="154"/>
      <c r="S55" s="155"/>
    </row>
    <row r="56" spans="1:19" ht="17.25" customHeight="1" thickBot="1">
      <c r="A56" s="109" t="s">
        <v>143</v>
      </c>
      <c r="B56" s="110">
        <v>3.38</v>
      </c>
      <c r="C56" s="70">
        <v>0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46"/>
      <c r="R56" s="146"/>
      <c r="S56" s="146"/>
    </row>
    <row r="57" spans="1:19" ht="17.25" customHeight="1" thickBot="1">
      <c r="A57" s="109" t="s">
        <v>203</v>
      </c>
      <c r="B57" s="110">
        <v>3</v>
      </c>
      <c r="C57" s="70">
        <v>0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 t="s">
        <v>155</v>
      </c>
      <c r="B58" s="112">
        <v>24.8</v>
      </c>
      <c r="C58" s="71">
        <v>0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 t="s">
        <v>56</v>
      </c>
      <c r="B59" s="113">
        <v>37</v>
      </c>
      <c r="C59" s="73">
        <v>0</v>
      </c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46"/>
      <c r="R59" s="146"/>
      <c r="S59" s="146"/>
    </row>
    <row r="60" spans="1:19" ht="17.25" customHeight="1" thickBot="1">
      <c r="A60" s="109" t="s">
        <v>205</v>
      </c>
      <c r="B60" s="110">
        <v>93.2</v>
      </c>
      <c r="C60" s="70">
        <v>-1.0718113999999999E-3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46"/>
      <c r="R60" s="146"/>
      <c r="S60" s="146"/>
    </row>
    <row r="61" spans="1:19" ht="17.25" customHeight="1" thickBot="1">
      <c r="A61" s="109" t="s">
        <v>253</v>
      </c>
      <c r="B61" s="110">
        <v>91.8</v>
      </c>
      <c r="C61" s="70">
        <v>-1.0881393E-3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46"/>
      <c r="R61" s="146"/>
      <c r="S61" s="146"/>
    </row>
    <row r="62" spans="1:19" ht="17.25" customHeight="1">
      <c r="A62" s="109" t="s">
        <v>350</v>
      </c>
      <c r="B62" s="110">
        <v>5.55</v>
      </c>
      <c r="C62" s="70">
        <v>-1.7985612E-3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35"/>
      <c r="R62" s="136"/>
      <c r="S62" s="137"/>
    </row>
    <row r="63" spans="1:19" ht="17.25" customHeight="1" thickBot="1">
      <c r="A63" s="114" t="s">
        <v>132</v>
      </c>
      <c r="B63" s="115">
        <v>41.4</v>
      </c>
      <c r="C63" s="72">
        <v>-2.4096386000000002E-3</v>
      </c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38"/>
      <c r="R63" s="139"/>
      <c r="S63" s="140"/>
    </row>
    <row r="64" spans="1:19" ht="17.25" customHeight="1" thickBot="1">
      <c r="A64" s="116" t="s">
        <v>257</v>
      </c>
      <c r="B64" s="199">
        <f>$B$37</f>
        <v>150000</v>
      </c>
      <c r="C64" s="200"/>
      <c r="D64" s="26" t="s">
        <v>258</v>
      </c>
      <c r="E64" s="27">
        <f>IF(COUNT(E44:E63), SUM(E44:E63) / COUNT(E44:E63), 0)</f>
        <v>0</v>
      </c>
      <c r="F64" s="28">
        <f>SUM(F44:F63)</f>
        <v>0</v>
      </c>
      <c r="G64" s="26" t="s">
        <v>258</v>
      </c>
      <c r="H64" s="27">
        <f>IF(COUNT(H44:H63), SUM(H44:H63) / COUNT(H44:H63), 0)</f>
        <v>0</v>
      </c>
      <c r="I64" s="28">
        <f>SUM(I44:I63)</f>
        <v>0</v>
      </c>
      <c r="J64" s="26" t="s">
        <v>258</v>
      </c>
      <c r="K64" s="27">
        <f>IF(COUNT(K44:K63), SUM(K44:K63) / COUNT(K44:K63), 0)</f>
        <v>0</v>
      </c>
      <c r="L64" s="28">
        <f>SUM(L44:L63)</f>
        <v>0</v>
      </c>
      <c r="M64" s="26" t="s">
        <v>258</v>
      </c>
      <c r="N64" s="27">
        <f>IF(COUNT(N44:N63), SUM(N44:N63) / COUNT(N44:N63), 0)</f>
        <v>0</v>
      </c>
      <c r="O64" s="28">
        <f>SUM(O44:O63)</f>
        <v>0</v>
      </c>
      <c r="Q64" s="141"/>
      <c r="R64" s="142"/>
      <c r="S64" s="143"/>
    </row>
    <row r="65" spans="1:19" ht="17.25" customHeight="1"/>
    <row r="66" spans="1:19" ht="17.25" customHeight="1" thickBot="1"/>
    <row r="67" spans="1:19" ht="17.25" thickBot="1">
      <c r="A67" s="157" t="s">
        <v>45</v>
      </c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9"/>
      <c r="Q67" s="156"/>
      <c r="R67" s="156"/>
      <c r="S67" s="156"/>
    </row>
    <row r="68" spans="1:19" ht="17.25" thickBot="1">
      <c r="A68" s="9" t="s">
        <v>254</v>
      </c>
      <c r="B68" s="157" t="s">
        <v>49</v>
      </c>
      <c r="C68" s="159"/>
      <c r="D68" s="157" t="s">
        <v>57</v>
      </c>
      <c r="E68" s="158"/>
      <c r="F68" s="159"/>
      <c r="G68" s="160">
        <f>_xlfn.IFNA(VLOOKUP(B68, 현재가테이블!$B$2:$D$200, 2, FALSE), "-")</f>
        <v>21539000</v>
      </c>
      <c r="H68" s="161"/>
      <c r="I68" s="162"/>
      <c r="J68" s="157" t="s">
        <v>58</v>
      </c>
      <c r="K68" s="158"/>
      <c r="L68" s="159"/>
      <c r="M68" s="163">
        <f>_xlfn.IFNA(VLOOKUP(B68, 현재가테이블!$B$2:$D$200, 3, FALSE), "-")</f>
        <v>1.0224474E-3</v>
      </c>
      <c r="N68" s="164"/>
      <c r="O68" s="165"/>
      <c r="Q68" s="156"/>
      <c r="R68" s="156"/>
      <c r="S68" s="156"/>
    </row>
    <row r="69" spans="1:19" ht="17.25" thickBot="1">
      <c r="A69" s="201" t="s">
        <v>54</v>
      </c>
      <c r="B69" s="197" t="str">
        <f>TEXT($G$1, "[$-ko-KR]yyyy-mm-dd(ddd) ") &amp; "오전 00:00"</f>
        <v>2023-01-08(일) 오전 00:00</v>
      </c>
      <c r="C69" s="198"/>
      <c r="D69" s="170" t="str">
        <f>TEXT($G$1, "[$-ko-KR]yyyy-mm-dd(ddd) ") &amp; "오후 14:00"</f>
        <v>2023-01-08(일) 오후 14:00</v>
      </c>
      <c r="E69" s="171"/>
      <c r="F69" s="172"/>
      <c r="G69" s="170" t="str">
        <f>TEXT($G$1, "[$-ko-KR]yyyy-mm-dd(ddd) ") &amp; "오후 19:00"</f>
        <v>2023-01-08(일) 오후 19:00</v>
      </c>
      <c r="H69" s="171"/>
      <c r="I69" s="172"/>
      <c r="J69" s="170" t="str">
        <f>TEXT($G$1, "[$-ko-KR]yyyy-mm-dd(ddd) ") &amp; "오후 21:00"</f>
        <v>2023-01-08(일) 오후 21:00</v>
      </c>
      <c r="K69" s="171"/>
      <c r="L69" s="172"/>
      <c r="M69" s="170" t="str">
        <f>TEXT($G$1+1, "[$-ko-KR]yyyy-mm-dd(ddd) ") &amp; "오전 00:00"</f>
        <v>2023-01-09(월) 오전 00:00</v>
      </c>
      <c r="N69" s="171"/>
      <c r="O69" s="172"/>
      <c r="Q69" s="156"/>
      <c r="R69" s="156"/>
      <c r="S69" s="156"/>
    </row>
    <row r="70" spans="1:19" ht="17.25" thickBot="1">
      <c r="A70" s="202"/>
      <c r="B70" s="105" t="s">
        <v>57</v>
      </c>
      <c r="C70" s="106" t="s">
        <v>58</v>
      </c>
      <c r="D70" s="2" t="s">
        <v>57</v>
      </c>
      <c r="E70" s="10" t="s">
        <v>255</v>
      </c>
      <c r="F70" s="11" t="s">
        <v>256</v>
      </c>
      <c r="G70" s="57" t="s">
        <v>57</v>
      </c>
      <c r="H70" s="58" t="s">
        <v>255</v>
      </c>
      <c r="I70" s="59" t="s">
        <v>256</v>
      </c>
      <c r="J70" s="10" t="s">
        <v>57</v>
      </c>
      <c r="K70" s="10" t="s">
        <v>255</v>
      </c>
      <c r="L70" s="60" t="s">
        <v>256</v>
      </c>
      <c r="M70" s="2" t="s">
        <v>57</v>
      </c>
      <c r="N70" s="10" t="s">
        <v>255</v>
      </c>
      <c r="O70" s="62" t="s">
        <v>256</v>
      </c>
      <c r="Q70" s="146"/>
      <c r="R70" s="146"/>
      <c r="S70" s="146"/>
    </row>
    <row r="71" spans="1:19" ht="17.25" thickBot="1">
      <c r="A71" s="107" t="s">
        <v>60</v>
      </c>
      <c r="B71" s="108">
        <v>446</v>
      </c>
      <c r="C71" s="69">
        <v>6.9544364499999997E-2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 t="s">
        <v>111</v>
      </c>
      <c r="B72" s="110">
        <v>580</v>
      </c>
      <c r="C72" s="70">
        <v>5.8394160600000002E-2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 t="s">
        <v>149</v>
      </c>
      <c r="B73" s="110">
        <v>334</v>
      </c>
      <c r="C73" s="70">
        <v>2.7692307699999998E-2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46"/>
      <c r="R73" s="146"/>
      <c r="S73" s="146"/>
    </row>
    <row r="74" spans="1:19" ht="17.25" thickBot="1">
      <c r="A74" s="109" t="s">
        <v>319</v>
      </c>
      <c r="B74" s="110">
        <v>337</v>
      </c>
      <c r="C74" s="70">
        <v>2.7439024400000001E-2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46"/>
      <c r="R74" s="146"/>
      <c r="S74" s="146"/>
    </row>
    <row r="75" spans="1:19" ht="17.25" thickBot="1">
      <c r="A75" s="111" t="s">
        <v>326</v>
      </c>
      <c r="B75" s="112">
        <v>245</v>
      </c>
      <c r="C75" s="71">
        <v>2.51046025E-2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46"/>
      <c r="R75" s="146"/>
      <c r="S75" s="146"/>
    </row>
    <row r="76" spans="1:19" ht="17.25" thickBot="1">
      <c r="A76" s="109" t="s">
        <v>201</v>
      </c>
      <c r="B76" s="113">
        <v>185</v>
      </c>
      <c r="C76" s="73">
        <v>2.2099447500000001E-2</v>
      </c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46"/>
      <c r="R76" s="146"/>
      <c r="S76" s="146"/>
    </row>
    <row r="77" spans="1:19" ht="17.25" thickBot="1">
      <c r="A77" s="109" t="s">
        <v>95</v>
      </c>
      <c r="B77" s="110">
        <v>998</v>
      </c>
      <c r="C77" s="70">
        <v>1.9407558700000001E-2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46"/>
      <c r="R77" s="146"/>
      <c r="S77" s="146"/>
    </row>
    <row r="78" spans="1:19" ht="17.25" thickBot="1">
      <c r="A78" s="109" t="s">
        <v>79</v>
      </c>
      <c r="B78" s="110">
        <v>229</v>
      </c>
      <c r="C78" s="70">
        <v>1.7777777799999998E-2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46"/>
      <c r="R78" s="146"/>
      <c r="S78" s="146"/>
    </row>
    <row r="79" spans="1:19" ht="17.25" thickBot="1">
      <c r="A79" s="109" t="s">
        <v>105</v>
      </c>
      <c r="B79" s="110">
        <v>195</v>
      </c>
      <c r="C79" s="70">
        <v>1.5625E-2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 t="s">
        <v>130</v>
      </c>
      <c r="B80" s="115">
        <v>635</v>
      </c>
      <c r="C80" s="72">
        <v>1.43769968E-2</v>
      </c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47"/>
      <c r="R80" s="148"/>
      <c r="S80" s="149"/>
    </row>
    <row r="81" spans="1:19">
      <c r="A81" s="107" t="s">
        <v>109</v>
      </c>
      <c r="B81" s="108">
        <v>977</v>
      </c>
      <c r="C81" s="69">
        <v>1.34854772E-2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50"/>
      <c r="R81" s="151"/>
      <c r="S81" s="152"/>
    </row>
    <row r="82" spans="1:19" ht="17.25" thickBot="1">
      <c r="A82" s="109" t="s">
        <v>199</v>
      </c>
      <c r="B82" s="110">
        <v>267</v>
      </c>
      <c r="C82" s="70">
        <v>7.5471697999999997E-3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53"/>
      <c r="R82" s="154"/>
      <c r="S82" s="155"/>
    </row>
    <row r="83" spans="1:19" ht="17.25" thickBot="1">
      <c r="A83" s="109" t="s">
        <v>159</v>
      </c>
      <c r="B83" s="110">
        <v>140</v>
      </c>
      <c r="C83" s="70">
        <v>7.1942446E-3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46"/>
      <c r="R83" s="146"/>
      <c r="S83" s="146"/>
    </row>
    <row r="84" spans="1:19" ht="17.25" thickBot="1">
      <c r="A84" s="109" t="s">
        <v>153</v>
      </c>
      <c r="B84" s="110">
        <v>330</v>
      </c>
      <c r="C84" s="70">
        <v>6.0975609999999996E-3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 t="s">
        <v>89</v>
      </c>
      <c r="B85" s="112">
        <v>439</v>
      </c>
      <c r="C85" s="71">
        <v>4.5766590000000003E-3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 t="s">
        <v>332</v>
      </c>
      <c r="B86" s="113">
        <v>505</v>
      </c>
      <c r="C86" s="73">
        <v>3.9761431000000002E-3</v>
      </c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46"/>
      <c r="R86" s="146"/>
      <c r="S86" s="146"/>
    </row>
    <row r="87" spans="1:19" ht="17.25" thickBot="1">
      <c r="A87" s="109" t="s">
        <v>161</v>
      </c>
      <c r="B87" s="110">
        <v>279</v>
      </c>
      <c r="C87" s="70">
        <v>3.5971223E-3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46"/>
      <c r="R87" s="146"/>
      <c r="S87" s="146"/>
    </row>
    <row r="88" spans="1:19" ht="17.25" thickBot="1">
      <c r="A88" s="109" t="s">
        <v>189</v>
      </c>
      <c r="B88" s="110">
        <v>891</v>
      </c>
      <c r="C88" s="70">
        <v>2.2497188000000002E-3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46"/>
      <c r="R88" s="146"/>
      <c r="S88" s="146"/>
    </row>
    <row r="89" spans="1:19">
      <c r="A89" s="109" t="s">
        <v>229</v>
      </c>
      <c r="B89" s="110">
        <v>234</v>
      </c>
      <c r="C89" s="70">
        <v>0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35"/>
      <c r="R89" s="136"/>
      <c r="S89" s="137"/>
    </row>
    <row r="90" spans="1:19" ht="17.25" thickBot="1">
      <c r="A90" s="114" t="s">
        <v>239</v>
      </c>
      <c r="B90" s="115">
        <v>411</v>
      </c>
      <c r="C90" s="72">
        <v>0</v>
      </c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38"/>
      <c r="R90" s="139"/>
      <c r="S90" s="140"/>
    </row>
    <row r="91" spans="1:19" ht="17.25" thickBot="1">
      <c r="A91" s="116" t="s">
        <v>257</v>
      </c>
      <c r="B91" s="199">
        <f>$B$37</f>
        <v>150000</v>
      </c>
      <c r="C91" s="200"/>
      <c r="D91" s="26" t="s">
        <v>258</v>
      </c>
      <c r="E91" s="27">
        <f>IF(COUNT(E71:E90), SUM(E71:E90) / COUNT(E71:E90), 0)</f>
        <v>0</v>
      </c>
      <c r="F91" s="28">
        <f>SUM(F71:F90)</f>
        <v>0</v>
      </c>
      <c r="G91" s="26" t="s">
        <v>258</v>
      </c>
      <c r="H91" s="27">
        <f>IF(COUNT(H71:H90), SUM(H71:H90) / COUNT(H71:H90), 0)</f>
        <v>0</v>
      </c>
      <c r="I91" s="28">
        <f>SUM(I71:I90)</f>
        <v>0</v>
      </c>
      <c r="J91" s="26" t="s">
        <v>258</v>
      </c>
      <c r="K91" s="27">
        <f>IF(COUNT(K71:K90), SUM(K71:K90) / COUNT(K71:K90), 0)</f>
        <v>0</v>
      </c>
      <c r="L91" s="28">
        <f>SUM(L71:L90)</f>
        <v>0</v>
      </c>
      <c r="M91" s="26" t="s">
        <v>258</v>
      </c>
      <c r="N91" s="27">
        <f>IF(COUNT(N71:N90), SUM(N71:N90) / COUNT(N71:N90), 0)</f>
        <v>0</v>
      </c>
      <c r="O91" s="28">
        <f>SUM(O71:O90)</f>
        <v>0</v>
      </c>
      <c r="Q91" s="141"/>
      <c r="R91" s="142"/>
      <c r="S91" s="143"/>
    </row>
    <row r="93" spans="1:19" ht="17.25" thickBot="1"/>
    <row r="94" spans="1:19" ht="17.25" thickBot="1">
      <c r="A94" s="157" t="s">
        <v>46</v>
      </c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9"/>
      <c r="Q94" s="156"/>
      <c r="R94" s="156"/>
      <c r="S94" s="156"/>
    </row>
    <row r="95" spans="1:19" ht="17.25" thickBot="1">
      <c r="A95" s="9" t="s">
        <v>254</v>
      </c>
      <c r="B95" s="157" t="s">
        <v>49</v>
      </c>
      <c r="C95" s="159"/>
      <c r="D95" s="157" t="s">
        <v>57</v>
      </c>
      <c r="E95" s="158"/>
      <c r="F95" s="159"/>
      <c r="G95" s="160">
        <f>_xlfn.IFNA(VLOOKUP(B95, 현재가테이블!$B$2:$D$200, 2, FALSE), "-")</f>
        <v>21539000</v>
      </c>
      <c r="H95" s="161"/>
      <c r="I95" s="162"/>
      <c r="J95" s="157" t="s">
        <v>58</v>
      </c>
      <c r="K95" s="158"/>
      <c r="L95" s="159"/>
      <c r="M95" s="163">
        <f>_xlfn.IFNA(VLOOKUP(B95, 현재가테이블!$B$2:$D$200, 3, FALSE), "-")</f>
        <v>1.0224474E-3</v>
      </c>
      <c r="N95" s="164"/>
      <c r="O95" s="165"/>
      <c r="Q95" s="156"/>
      <c r="R95" s="156"/>
      <c r="S95" s="156"/>
    </row>
    <row r="96" spans="1:19" ht="17.25" thickBot="1">
      <c r="A96" s="201" t="s">
        <v>54</v>
      </c>
      <c r="B96" s="197" t="str">
        <f>TEXT($G$1, "[$-ko-KR]yyyy-mm-dd(ddd) ") &amp; "오전 00:00"</f>
        <v>2023-01-08(일) 오전 00:00</v>
      </c>
      <c r="C96" s="198"/>
      <c r="D96" s="170" t="str">
        <f>TEXT($G$1, "[$-ko-KR]yyyy-mm-dd(ddd) ") &amp; "오후 14:00"</f>
        <v>2023-01-08(일) 오후 14:00</v>
      </c>
      <c r="E96" s="171"/>
      <c r="F96" s="172"/>
      <c r="G96" s="170" t="str">
        <f>TEXT($G$1, "[$-ko-KR]yyyy-mm-dd(ddd) ") &amp; "오후 19:00"</f>
        <v>2023-01-08(일) 오후 19:00</v>
      </c>
      <c r="H96" s="171"/>
      <c r="I96" s="172"/>
      <c r="J96" s="170" t="str">
        <f>TEXT($G$1, "[$-ko-KR]yyyy-mm-dd(ddd) ") &amp; "오후 21:00"</f>
        <v>2023-01-08(일) 오후 21:00</v>
      </c>
      <c r="K96" s="171"/>
      <c r="L96" s="172"/>
      <c r="M96" s="170" t="str">
        <f>TEXT($G$1+1, "[$-ko-KR]yyyy-mm-dd(ddd) ") &amp; "오전 00:00"</f>
        <v>2023-01-09(월) 오전 00:00</v>
      </c>
      <c r="N96" s="171"/>
      <c r="O96" s="172"/>
      <c r="Q96" s="156"/>
      <c r="R96" s="156"/>
      <c r="S96" s="156"/>
    </row>
    <row r="97" spans="1:19" ht="17.25" thickBot="1">
      <c r="A97" s="202"/>
      <c r="B97" s="105" t="s">
        <v>57</v>
      </c>
      <c r="C97" s="106" t="s">
        <v>58</v>
      </c>
      <c r="D97" s="2" t="s">
        <v>57</v>
      </c>
      <c r="E97" s="10" t="s">
        <v>255</v>
      </c>
      <c r="F97" s="11" t="s">
        <v>256</v>
      </c>
      <c r="G97" s="57" t="s">
        <v>57</v>
      </c>
      <c r="H97" s="58" t="s">
        <v>255</v>
      </c>
      <c r="I97" s="59" t="s">
        <v>256</v>
      </c>
      <c r="J97" s="10" t="s">
        <v>57</v>
      </c>
      <c r="K97" s="10" t="s">
        <v>255</v>
      </c>
      <c r="L97" s="60" t="s">
        <v>256</v>
      </c>
      <c r="M97" s="2" t="s">
        <v>57</v>
      </c>
      <c r="N97" s="10" t="s">
        <v>255</v>
      </c>
      <c r="O97" s="62" t="s">
        <v>256</v>
      </c>
      <c r="Q97" s="146"/>
      <c r="R97" s="146"/>
      <c r="S97" s="146"/>
    </row>
    <row r="98" spans="1:19" ht="17.25" thickBot="1">
      <c r="A98" s="107" t="s">
        <v>60</v>
      </c>
      <c r="B98" s="108">
        <v>446</v>
      </c>
      <c r="C98" s="69">
        <v>6.9544364499999997E-2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 t="s">
        <v>111</v>
      </c>
      <c r="B99" s="110">
        <v>580</v>
      </c>
      <c r="C99" s="70">
        <v>5.8394160600000002E-2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 t="s">
        <v>134</v>
      </c>
      <c r="B100" s="110">
        <v>1395</v>
      </c>
      <c r="C100" s="70">
        <v>3.7174721199999997E-2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46"/>
      <c r="R100" s="146"/>
      <c r="S100" s="146"/>
    </row>
    <row r="101" spans="1:19" ht="17.25" thickBot="1">
      <c r="A101" s="109" t="s">
        <v>149</v>
      </c>
      <c r="B101" s="110">
        <v>334</v>
      </c>
      <c r="C101" s="70">
        <v>2.7692307699999998E-2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46"/>
      <c r="R101" s="146"/>
      <c r="S101" s="146"/>
    </row>
    <row r="102" spans="1:19" ht="17.25" thickBot="1">
      <c r="A102" s="111" t="s">
        <v>319</v>
      </c>
      <c r="B102" s="112">
        <v>337</v>
      </c>
      <c r="C102" s="71">
        <v>2.7439024400000001E-2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46"/>
      <c r="R102" s="146"/>
      <c r="S102" s="146"/>
    </row>
    <row r="103" spans="1:19" ht="17.25" thickBot="1">
      <c r="A103" s="109" t="s">
        <v>326</v>
      </c>
      <c r="B103" s="113">
        <v>245</v>
      </c>
      <c r="C103" s="73">
        <v>2.51046025E-2</v>
      </c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46"/>
      <c r="R103" s="146"/>
      <c r="S103" s="146"/>
    </row>
    <row r="104" spans="1:19" ht="17.25" thickBot="1">
      <c r="A104" s="109" t="s">
        <v>201</v>
      </c>
      <c r="B104" s="110">
        <v>185</v>
      </c>
      <c r="C104" s="70">
        <v>2.2099447500000001E-2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46"/>
      <c r="R104" s="146"/>
      <c r="S104" s="146"/>
    </row>
    <row r="105" spans="1:19" ht="17.25" thickBot="1">
      <c r="A105" s="109" t="s">
        <v>147</v>
      </c>
      <c r="B105" s="110">
        <v>8860</v>
      </c>
      <c r="C105" s="70">
        <v>2.1914648200000001E-2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46"/>
      <c r="R105" s="146"/>
      <c r="S105" s="146"/>
    </row>
    <row r="106" spans="1:19" ht="17.25" thickBot="1">
      <c r="A106" s="109" t="s">
        <v>217</v>
      </c>
      <c r="B106" s="110">
        <v>56.9</v>
      </c>
      <c r="C106" s="70">
        <v>2.1543985599999999E-2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 t="s">
        <v>95</v>
      </c>
      <c r="B107" s="115">
        <v>998</v>
      </c>
      <c r="C107" s="72">
        <v>1.9407558700000001E-2</v>
      </c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47"/>
      <c r="R107" s="148"/>
      <c r="S107" s="149"/>
    </row>
    <row r="108" spans="1:19">
      <c r="A108" s="107" t="s">
        <v>324</v>
      </c>
      <c r="B108" s="108">
        <v>78.7</v>
      </c>
      <c r="C108" s="69">
        <v>1.8111254899999998E-2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50"/>
      <c r="R108" s="151"/>
      <c r="S108" s="152"/>
    </row>
    <row r="109" spans="1:19" ht="17.25" thickBot="1">
      <c r="A109" s="109" t="s">
        <v>79</v>
      </c>
      <c r="B109" s="110">
        <v>229</v>
      </c>
      <c r="C109" s="70">
        <v>1.7777777799999998E-2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53"/>
      <c r="R109" s="154"/>
      <c r="S109" s="155"/>
    </row>
    <row r="110" spans="1:19" ht="17.25" thickBot="1">
      <c r="A110" s="109" t="s">
        <v>225</v>
      </c>
      <c r="B110" s="110">
        <v>52.8</v>
      </c>
      <c r="C110" s="70">
        <v>1.7341040499999998E-2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46"/>
      <c r="R110" s="146"/>
      <c r="S110" s="146"/>
    </row>
    <row r="111" spans="1:19" ht="17.25" thickBot="1">
      <c r="A111" s="109" t="s">
        <v>185</v>
      </c>
      <c r="B111" s="110">
        <v>23.7</v>
      </c>
      <c r="C111" s="70">
        <v>1.7167381999999998E-2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 t="s">
        <v>75</v>
      </c>
      <c r="B112" s="112">
        <v>7370</v>
      </c>
      <c r="C112" s="71">
        <v>1.5851137099999999E-2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 t="s">
        <v>105</v>
      </c>
      <c r="B113" s="113">
        <v>195</v>
      </c>
      <c r="C113" s="73">
        <v>1.5625E-2</v>
      </c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46"/>
      <c r="R113" s="146"/>
      <c r="S113" s="146"/>
    </row>
    <row r="114" spans="1:19" ht="17.25" thickBot="1">
      <c r="A114" s="109" t="s">
        <v>130</v>
      </c>
      <c r="B114" s="110">
        <v>635</v>
      </c>
      <c r="C114" s="70">
        <v>1.43769968E-2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46"/>
      <c r="R114" s="146"/>
      <c r="S114" s="146"/>
    </row>
    <row r="115" spans="1:19" ht="17.25" thickBot="1">
      <c r="A115" s="109" t="s">
        <v>227</v>
      </c>
      <c r="B115" s="110">
        <v>35.5</v>
      </c>
      <c r="C115" s="70">
        <v>1.42857143E-2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46"/>
      <c r="R115" s="146"/>
      <c r="S115" s="146"/>
    </row>
    <row r="116" spans="1:19">
      <c r="A116" s="109" t="s">
        <v>109</v>
      </c>
      <c r="B116" s="110">
        <v>977</v>
      </c>
      <c r="C116" s="70">
        <v>1.34854772E-2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35"/>
      <c r="R116" s="136"/>
      <c r="S116" s="137"/>
    </row>
    <row r="117" spans="1:19" ht="17.25" thickBot="1">
      <c r="A117" s="114" t="s">
        <v>51</v>
      </c>
      <c r="B117" s="115">
        <v>96.1</v>
      </c>
      <c r="C117" s="72">
        <v>1.05152471E-2</v>
      </c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38"/>
      <c r="R117" s="139"/>
      <c r="S117" s="140"/>
    </row>
    <row r="118" spans="1:19" ht="17.25" thickBot="1">
      <c r="A118" s="116" t="s">
        <v>257</v>
      </c>
      <c r="B118" s="199">
        <f>$B$37</f>
        <v>150000</v>
      </c>
      <c r="C118" s="200"/>
      <c r="D118" s="26" t="s">
        <v>258</v>
      </c>
      <c r="E118" s="27">
        <f>IF(COUNT(E98:E117), SUM(E98:E117) / COUNT(E98:E117), 0)</f>
        <v>0</v>
      </c>
      <c r="F118" s="28">
        <f>SUM(F98:F117)</f>
        <v>0</v>
      </c>
      <c r="G118" s="26" t="s">
        <v>258</v>
      </c>
      <c r="H118" s="27">
        <f>IF(COUNT(H98:H117), SUM(H98:H117) / COUNT(H98:H117), 0)</f>
        <v>0</v>
      </c>
      <c r="I118" s="28">
        <f>SUM(I98:I117)</f>
        <v>0</v>
      </c>
      <c r="J118" s="26" t="s">
        <v>258</v>
      </c>
      <c r="K118" s="27">
        <f>IF(COUNT(K98:K117), SUM(K98:K117) / COUNT(K98:K117), 0)</f>
        <v>0</v>
      </c>
      <c r="L118" s="28">
        <f>SUM(L98:L117)</f>
        <v>0</v>
      </c>
      <c r="M118" s="26" t="s">
        <v>258</v>
      </c>
      <c r="N118" s="27">
        <f>IF(COUNT(N98:N117), SUM(N98:N117) / COUNT(N98:N117), 0)</f>
        <v>0</v>
      </c>
      <c r="O118" s="28">
        <f>SUM(O98:O117)</f>
        <v>0</v>
      </c>
      <c r="Q118" s="141"/>
      <c r="R118" s="142"/>
      <c r="S118" s="143"/>
    </row>
    <row r="120" spans="1:19" ht="17.25" thickBot="1"/>
    <row r="121" spans="1:19" ht="17.25" thickBot="1">
      <c r="A121" s="157" t="s">
        <v>245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9"/>
      <c r="Q121" s="156"/>
      <c r="R121" s="156"/>
      <c r="S121" s="156"/>
    </row>
    <row r="122" spans="1:19" ht="17.25" thickBot="1">
      <c r="A122" s="9" t="s">
        <v>254</v>
      </c>
      <c r="B122" s="157" t="s">
        <v>49</v>
      </c>
      <c r="C122" s="159"/>
      <c r="D122" s="157" t="s">
        <v>57</v>
      </c>
      <c r="E122" s="158"/>
      <c r="F122" s="159"/>
      <c r="G122" s="160">
        <f>_xlfn.IFNA(VLOOKUP(B122, 현재가테이블!$B$2:$D$200, 2, FALSE), "-")</f>
        <v>21539000</v>
      </c>
      <c r="H122" s="161"/>
      <c r="I122" s="162"/>
      <c r="J122" s="157" t="s">
        <v>58</v>
      </c>
      <c r="K122" s="158"/>
      <c r="L122" s="159"/>
      <c r="M122" s="163">
        <f>_xlfn.IFNA(VLOOKUP(B122, 현재가테이블!$B$2:$D$200, 3, FALSE), "-")</f>
        <v>1.0224474E-3</v>
      </c>
      <c r="N122" s="164"/>
      <c r="O122" s="165"/>
      <c r="Q122" s="156"/>
      <c r="R122" s="156"/>
      <c r="S122" s="156"/>
    </row>
    <row r="123" spans="1:19" ht="17.25" thickBot="1">
      <c r="A123" s="201" t="s">
        <v>54</v>
      </c>
      <c r="B123" s="197" t="str">
        <f>TEXT($G$1, "[$-ko-KR]yyyy-mm-dd(ddd) ") &amp; "오전 00:00"</f>
        <v>2023-01-08(일) 오전 00:00</v>
      </c>
      <c r="C123" s="198"/>
      <c r="D123" s="170" t="str">
        <f>TEXT($G$1, "[$-ko-KR]yyyy-mm-dd(ddd) ") &amp; "오후 14:00"</f>
        <v>2023-01-08(일) 오후 14:00</v>
      </c>
      <c r="E123" s="171"/>
      <c r="F123" s="172"/>
      <c r="G123" s="170" t="str">
        <f>TEXT($G$1, "[$-ko-KR]yyyy-mm-dd(ddd) ") &amp; "오후 19:00"</f>
        <v>2023-01-08(일) 오후 19:00</v>
      </c>
      <c r="H123" s="171"/>
      <c r="I123" s="172"/>
      <c r="J123" s="170" t="str">
        <f>TEXT($G$1, "[$-ko-KR]yyyy-mm-dd(ddd) ") &amp; "오후 21:00"</f>
        <v>2023-01-08(일) 오후 21:00</v>
      </c>
      <c r="K123" s="171"/>
      <c r="L123" s="172"/>
      <c r="M123" s="170" t="str">
        <f>TEXT($G$1+1, "[$-ko-KR]yyyy-mm-dd(ddd) ") &amp; "오전 00:00"</f>
        <v>2023-01-09(월) 오전 00:00</v>
      </c>
      <c r="N123" s="171"/>
      <c r="O123" s="172"/>
      <c r="Q123" s="156"/>
      <c r="R123" s="156"/>
      <c r="S123" s="156"/>
    </row>
    <row r="124" spans="1:19" ht="17.25" thickBot="1">
      <c r="A124" s="202"/>
      <c r="B124" s="105" t="s">
        <v>57</v>
      </c>
      <c r="C124" s="106" t="s">
        <v>58</v>
      </c>
      <c r="D124" s="2" t="s">
        <v>57</v>
      </c>
      <c r="E124" s="10" t="s">
        <v>255</v>
      </c>
      <c r="F124" s="11" t="s">
        <v>256</v>
      </c>
      <c r="G124" s="57" t="s">
        <v>57</v>
      </c>
      <c r="H124" s="58" t="s">
        <v>255</v>
      </c>
      <c r="I124" s="59" t="s">
        <v>256</v>
      </c>
      <c r="J124" s="10" t="s">
        <v>57</v>
      </c>
      <c r="K124" s="10" t="s">
        <v>255</v>
      </c>
      <c r="L124" s="60" t="s">
        <v>256</v>
      </c>
      <c r="M124" s="2" t="s">
        <v>57</v>
      </c>
      <c r="N124" s="10" t="s">
        <v>255</v>
      </c>
      <c r="O124" s="62" t="s">
        <v>256</v>
      </c>
      <c r="Q124" s="146"/>
      <c r="R124" s="146"/>
      <c r="S124" s="146"/>
    </row>
    <row r="125" spans="1:19" ht="17.25" thickBot="1">
      <c r="A125" s="107" t="s">
        <v>64</v>
      </c>
      <c r="B125" s="108">
        <v>9.14</v>
      </c>
      <c r="C125" s="69">
        <v>-3.2715375999999999E-3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 t="s">
        <v>237</v>
      </c>
      <c r="B126" s="110">
        <v>25.4</v>
      </c>
      <c r="C126" s="70">
        <v>-3.9215685999999996E-3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 t="s">
        <v>209</v>
      </c>
      <c r="B127" s="110">
        <v>71</v>
      </c>
      <c r="C127" s="70">
        <v>-4.2075736000000002E-3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46"/>
      <c r="R127" s="146"/>
      <c r="S127" s="146"/>
    </row>
    <row r="128" spans="1:19" ht="17.25" thickBot="1">
      <c r="A128" s="109" t="s">
        <v>126</v>
      </c>
      <c r="B128" s="110">
        <v>22.1</v>
      </c>
      <c r="C128" s="70">
        <v>-4.5045045000000001E-3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46"/>
      <c r="R128" s="146"/>
      <c r="S128" s="146"/>
    </row>
    <row r="129" spans="1:19" ht="17.25" thickBot="1">
      <c r="A129" s="111" t="s">
        <v>333</v>
      </c>
      <c r="B129" s="112">
        <v>4.0199999999999996</v>
      </c>
      <c r="C129" s="71">
        <v>-4.9504950000000001E-3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46"/>
      <c r="R129" s="146"/>
      <c r="S129" s="146"/>
    </row>
    <row r="130" spans="1:19" ht="17.25" thickBot="1">
      <c r="A130" s="109" t="s">
        <v>207</v>
      </c>
      <c r="B130" s="113">
        <v>60.1</v>
      </c>
      <c r="C130" s="73">
        <v>-4.9668873999999998E-3</v>
      </c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46"/>
      <c r="R130" s="146"/>
      <c r="S130" s="146"/>
    </row>
    <row r="131" spans="1:19" ht="17.25" thickBot="1">
      <c r="A131" s="109" t="s">
        <v>181</v>
      </c>
      <c r="B131" s="110">
        <v>3.85</v>
      </c>
      <c r="C131" s="70">
        <v>-5.1679587000000001E-3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46"/>
      <c r="R131" s="146"/>
      <c r="S131" s="146"/>
    </row>
    <row r="132" spans="1:19" ht="17.25" thickBot="1">
      <c r="A132" s="109" t="s">
        <v>71</v>
      </c>
      <c r="B132" s="110">
        <v>9.6199999999999992</v>
      </c>
      <c r="C132" s="70">
        <v>-5.1706308000000001E-3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46"/>
      <c r="R132" s="146"/>
      <c r="S132" s="146"/>
    </row>
    <row r="133" spans="1:19" ht="17.25" thickBot="1">
      <c r="A133" s="109" t="s">
        <v>221</v>
      </c>
      <c r="B133" s="110">
        <v>17.600000000000001</v>
      </c>
      <c r="C133" s="70">
        <v>-5.6497175E-3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 t="s">
        <v>120</v>
      </c>
      <c r="B134" s="115">
        <v>98</v>
      </c>
      <c r="C134" s="72">
        <v>-6.0851927000000004E-3</v>
      </c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47"/>
      <c r="R134" s="148"/>
      <c r="S134" s="149"/>
    </row>
    <row r="135" spans="1:19">
      <c r="A135" s="107" t="s">
        <v>118</v>
      </c>
      <c r="B135" s="108">
        <v>4.82</v>
      </c>
      <c r="C135" s="69">
        <v>-6.1855670000000003E-3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50"/>
      <c r="R135" s="151"/>
      <c r="S135" s="152"/>
    </row>
    <row r="136" spans="1:19" ht="17.25" thickBot="1">
      <c r="A136" s="109" t="s">
        <v>193</v>
      </c>
      <c r="B136" s="110">
        <v>15.3</v>
      </c>
      <c r="C136" s="70">
        <v>-6.4935065000000002E-3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53"/>
      <c r="R136" s="154"/>
      <c r="S136" s="155"/>
    </row>
    <row r="137" spans="1:19" ht="17.25" thickBot="1">
      <c r="A137" s="109" t="s">
        <v>141</v>
      </c>
      <c r="B137" s="110">
        <v>2.97</v>
      </c>
      <c r="C137" s="70">
        <v>-6.6889632000000001E-3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46"/>
      <c r="R137" s="146"/>
      <c r="S137" s="146"/>
    </row>
    <row r="138" spans="1:19" ht="17.25" thickBot="1">
      <c r="A138" s="109" t="s">
        <v>107</v>
      </c>
      <c r="B138" s="110">
        <v>35.4</v>
      </c>
      <c r="C138" s="70">
        <v>-8.4033613000000004E-3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 t="s">
        <v>122</v>
      </c>
      <c r="B139" s="112">
        <v>20.7</v>
      </c>
      <c r="C139" s="71">
        <v>-9.5693779999999999E-3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 t="s">
        <v>349</v>
      </c>
      <c r="B140" s="113">
        <v>20.6</v>
      </c>
      <c r="C140" s="73">
        <v>-9.6153846000000005E-3</v>
      </c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46"/>
      <c r="R140" s="146"/>
      <c r="S140" s="146"/>
    </row>
    <row r="141" spans="1:19" ht="17.25" thickBot="1">
      <c r="A141" s="109" t="s">
        <v>145</v>
      </c>
      <c r="B141" s="110">
        <v>66</v>
      </c>
      <c r="C141" s="70">
        <v>-1.0494752600000001E-2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46"/>
      <c r="R141" s="146"/>
      <c r="S141" s="146"/>
    </row>
    <row r="142" spans="1:19" ht="17.25" thickBot="1">
      <c r="A142" s="109" t="s">
        <v>191</v>
      </c>
      <c r="B142" s="110">
        <v>49.3</v>
      </c>
      <c r="C142" s="70">
        <v>-1.5968063899999999E-2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46"/>
      <c r="R142" s="146"/>
      <c r="S142" s="146"/>
    </row>
    <row r="143" spans="1:19">
      <c r="A143" s="109" t="s">
        <v>124</v>
      </c>
      <c r="B143" s="110">
        <v>27.8</v>
      </c>
      <c r="C143" s="70">
        <v>-1.7667844500000002E-2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35"/>
      <c r="R143" s="136"/>
      <c r="S143" s="137"/>
    </row>
    <row r="144" spans="1:19" ht="17.25" thickBot="1">
      <c r="A144" s="114" t="s">
        <v>323</v>
      </c>
      <c r="B144" s="115">
        <v>3.09E-2</v>
      </c>
      <c r="C144" s="72">
        <v>-1.9047618999999998E-2</v>
      </c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38"/>
      <c r="R144" s="139"/>
      <c r="S144" s="140"/>
    </row>
    <row r="145" spans="1:19" ht="17.25" thickBot="1">
      <c r="A145" s="116" t="s">
        <v>257</v>
      </c>
      <c r="B145" s="199">
        <f>$B$37</f>
        <v>150000</v>
      </c>
      <c r="C145" s="200"/>
      <c r="D145" s="26" t="s">
        <v>258</v>
      </c>
      <c r="E145" s="27">
        <f>IF(COUNT(E125:E144), SUM(E125:E144) / COUNT(E125:E144), 0)</f>
        <v>0</v>
      </c>
      <c r="F145" s="28">
        <f>SUM(F125:F144)</f>
        <v>0</v>
      </c>
      <c r="G145" s="26" t="s">
        <v>258</v>
      </c>
      <c r="H145" s="27">
        <f>IF(COUNT(H125:H144), SUM(H125:H144) / COUNT(H125:H144), 0)</f>
        <v>0</v>
      </c>
      <c r="I145" s="28">
        <f>SUM(I125:I144)</f>
        <v>0</v>
      </c>
      <c r="J145" s="26" t="s">
        <v>258</v>
      </c>
      <c r="K145" s="27">
        <f>IF(COUNT(K125:K144), SUM(K125:K144) / COUNT(K125:K144), 0)</f>
        <v>0</v>
      </c>
      <c r="L145" s="28">
        <f>SUM(L125:L144)</f>
        <v>0</v>
      </c>
      <c r="M145" s="26" t="s">
        <v>258</v>
      </c>
      <c r="N145" s="27">
        <f>IF(COUNT(N125:N144), SUM(N125:N144) / COUNT(N125:N144), 0)</f>
        <v>0</v>
      </c>
      <c r="O145" s="28">
        <f>SUM(O125:O144)</f>
        <v>0</v>
      </c>
      <c r="Q145" s="141"/>
      <c r="R145" s="142"/>
      <c r="S145" s="143"/>
    </row>
    <row r="147" spans="1:19" ht="17.25" thickBot="1"/>
    <row r="148" spans="1:19" ht="17.25" thickBot="1">
      <c r="A148" s="157" t="s">
        <v>246</v>
      </c>
      <c r="B148" s="158"/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9"/>
      <c r="Q148" s="156"/>
      <c r="R148" s="156"/>
      <c r="S148" s="156"/>
    </row>
    <row r="149" spans="1:19" ht="17.25" thickBot="1">
      <c r="A149" s="9" t="s">
        <v>254</v>
      </c>
      <c r="B149" s="157" t="s">
        <v>49</v>
      </c>
      <c r="C149" s="159"/>
      <c r="D149" s="157" t="s">
        <v>57</v>
      </c>
      <c r="E149" s="158"/>
      <c r="F149" s="159"/>
      <c r="G149" s="160">
        <f>_xlfn.IFNA(VLOOKUP(B149, 현재가테이블!$B$2:$D$200, 2, FALSE), "-")</f>
        <v>21539000</v>
      </c>
      <c r="H149" s="161"/>
      <c r="I149" s="162"/>
      <c r="J149" s="157" t="s">
        <v>58</v>
      </c>
      <c r="K149" s="158"/>
      <c r="L149" s="159"/>
      <c r="M149" s="163">
        <f>_xlfn.IFNA(VLOOKUP(B149, 현재가테이블!$B$2:$D$200, 3, FALSE), "-")</f>
        <v>1.0224474E-3</v>
      </c>
      <c r="N149" s="164"/>
      <c r="O149" s="165"/>
      <c r="Q149" s="156"/>
      <c r="R149" s="156"/>
      <c r="S149" s="156"/>
    </row>
    <row r="150" spans="1:19" ht="17.25" thickBot="1">
      <c r="A150" s="201" t="s">
        <v>54</v>
      </c>
      <c r="B150" s="197" t="str">
        <f>TEXT($G$1, "[$-ko-KR]yyyy-mm-dd(ddd) ") &amp; "오전 00:00"</f>
        <v>2023-01-08(일) 오전 00:00</v>
      </c>
      <c r="C150" s="198"/>
      <c r="D150" s="170" t="str">
        <f>TEXT($G$1, "[$-ko-KR]yyyy-mm-dd(ddd) ") &amp; "오후 14:00"</f>
        <v>2023-01-08(일) 오후 14:00</v>
      </c>
      <c r="E150" s="171"/>
      <c r="F150" s="172"/>
      <c r="G150" s="170" t="str">
        <f>TEXT($G$1, "[$-ko-KR]yyyy-mm-dd(ddd) ") &amp; "오후 19:00"</f>
        <v>2023-01-08(일) 오후 19:00</v>
      </c>
      <c r="H150" s="171"/>
      <c r="I150" s="172"/>
      <c r="J150" s="170" t="str">
        <f>TEXT($G$1, "[$-ko-KR]yyyy-mm-dd(ddd) ") &amp; "오후 21:00"</f>
        <v>2023-01-08(일) 오후 21:00</v>
      </c>
      <c r="K150" s="171"/>
      <c r="L150" s="172"/>
      <c r="M150" s="170" t="str">
        <f>TEXT($G$1+1, "[$-ko-KR]yyyy-mm-dd(ddd) ") &amp; "오전 00:00"</f>
        <v>2023-01-09(월) 오전 00:00</v>
      </c>
      <c r="N150" s="171"/>
      <c r="O150" s="172"/>
      <c r="Q150" s="156"/>
      <c r="R150" s="156"/>
      <c r="S150" s="156"/>
    </row>
    <row r="151" spans="1:19" ht="17.25" thickBot="1">
      <c r="A151" s="202"/>
      <c r="B151" s="105" t="s">
        <v>57</v>
      </c>
      <c r="C151" s="106" t="s">
        <v>58</v>
      </c>
      <c r="D151" s="2" t="s">
        <v>57</v>
      </c>
      <c r="E151" s="10" t="s">
        <v>255</v>
      </c>
      <c r="F151" s="11" t="s">
        <v>256</v>
      </c>
      <c r="G151" s="57" t="s">
        <v>57</v>
      </c>
      <c r="H151" s="58" t="s">
        <v>255</v>
      </c>
      <c r="I151" s="59" t="s">
        <v>256</v>
      </c>
      <c r="J151" s="10" t="s">
        <v>57</v>
      </c>
      <c r="K151" s="10" t="s">
        <v>255</v>
      </c>
      <c r="L151" s="60" t="s">
        <v>256</v>
      </c>
      <c r="M151" s="2" t="s">
        <v>57</v>
      </c>
      <c r="N151" s="10" t="s">
        <v>255</v>
      </c>
      <c r="O151" s="62" t="s">
        <v>256</v>
      </c>
      <c r="Q151" s="146"/>
      <c r="R151" s="146"/>
      <c r="S151" s="146"/>
    </row>
    <row r="152" spans="1:19" ht="17.25" thickBot="1">
      <c r="A152" s="107" t="s">
        <v>165</v>
      </c>
      <c r="B152" s="108">
        <v>888</v>
      </c>
      <c r="C152" s="69">
        <v>-2.2471909999999999E-3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 t="s">
        <v>187</v>
      </c>
      <c r="B153" s="110">
        <v>711</v>
      </c>
      <c r="C153" s="70">
        <v>-2.8050491E-3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 t="s">
        <v>219</v>
      </c>
      <c r="B154" s="110">
        <v>342</v>
      </c>
      <c r="C154" s="70">
        <v>-2.9154519000000002E-3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46"/>
      <c r="R154" s="146"/>
      <c r="S154" s="146"/>
    </row>
    <row r="155" spans="1:19" ht="17.25" thickBot="1">
      <c r="A155" s="109" t="s">
        <v>317</v>
      </c>
      <c r="B155" s="110">
        <v>551</v>
      </c>
      <c r="C155" s="70">
        <v>-3.6166365000000001E-3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46"/>
      <c r="R155" s="146"/>
      <c r="S155" s="146"/>
    </row>
    <row r="156" spans="1:19" ht="17.25" thickBot="1">
      <c r="A156" s="111" t="s">
        <v>235</v>
      </c>
      <c r="B156" s="112">
        <v>512</v>
      </c>
      <c r="C156" s="71">
        <v>-3.8910505999999998E-3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46"/>
      <c r="R156" s="146"/>
      <c r="S156" s="146"/>
    </row>
    <row r="157" spans="1:19" ht="17.25" thickBot="1">
      <c r="A157" s="109" t="s">
        <v>101</v>
      </c>
      <c r="B157" s="113">
        <v>203</v>
      </c>
      <c r="C157" s="73">
        <v>-4.9019607999999998E-3</v>
      </c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46"/>
      <c r="R157" s="146"/>
      <c r="S157" s="146"/>
    </row>
    <row r="158" spans="1:19" ht="17.25" thickBot="1">
      <c r="A158" s="109" t="s">
        <v>103</v>
      </c>
      <c r="B158" s="110">
        <v>202</v>
      </c>
      <c r="C158" s="70">
        <v>-4.9261084000000004E-3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46"/>
      <c r="R158" s="146"/>
      <c r="S158" s="146"/>
    </row>
    <row r="159" spans="1:19" ht="17.25" thickBot="1">
      <c r="A159" s="109" t="s">
        <v>231</v>
      </c>
      <c r="B159" s="110">
        <v>305</v>
      </c>
      <c r="C159" s="70">
        <v>-6.5146580000000004E-3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46"/>
      <c r="R159" s="146"/>
      <c r="S159" s="146"/>
    </row>
    <row r="160" spans="1:19" ht="17.25" thickBot="1">
      <c r="A160" s="109" t="s">
        <v>116</v>
      </c>
      <c r="B160" s="110">
        <v>909</v>
      </c>
      <c r="C160" s="70">
        <v>-6.5573769999999997E-3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 t="s">
        <v>215</v>
      </c>
      <c r="B161" s="115">
        <v>286</v>
      </c>
      <c r="C161" s="72">
        <v>-6.9444444000000003E-3</v>
      </c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47"/>
      <c r="R161" s="148"/>
      <c r="S161" s="149"/>
    </row>
    <row r="162" spans="1:19">
      <c r="A162" s="107" t="s">
        <v>211</v>
      </c>
      <c r="B162" s="108">
        <v>911</v>
      </c>
      <c r="C162" s="69">
        <v>-7.6252723000000003E-3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50"/>
      <c r="R162" s="151"/>
      <c r="S162" s="152"/>
    </row>
    <row r="163" spans="1:19" ht="17.25" thickBot="1">
      <c r="A163" s="109" t="s">
        <v>68</v>
      </c>
      <c r="B163" s="110">
        <v>251</v>
      </c>
      <c r="C163" s="70">
        <v>-7.9051382999999996E-3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53"/>
      <c r="R163" s="154"/>
      <c r="S163" s="155"/>
    </row>
    <row r="164" spans="1:19" ht="17.25" thickBot="1">
      <c r="A164" s="109" t="s">
        <v>183</v>
      </c>
      <c r="B164" s="110">
        <v>114</v>
      </c>
      <c r="C164" s="70">
        <v>-8.6956522000000008E-3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46"/>
      <c r="R164" s="146"/>
      <c r="S164" s="146"/>
    </row>
    <row r="165" spans="1:19" ht="17.25" thickBot="1">
      <c r="A165" s="109" t="s">
        <v>345</v>
      </c>
      <c r="B165" s="110">
        <v>109</v>
      </c>
      <c r="C165" s="70">
        <v>-9.0909091000000008E-3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 t="s">
        <v>66</v>
      </c>
      <c r="B166" s="112">
        <v>599</v>
      </c>
      <c r="C166" s="71">
        <v>-9.9173553999999994E-3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 t="s">
        <v>169</v>
      </c>
      <c r="B167" s="113">
        <v>228</v>
      </c>
      <c r="C167" s="73">
        <v>-1.2987013E-2</v>
      </c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46"/>
      <c r="R167" s="146"/>
      <c r="S167" s="146"/>
    </row>
    <row r="168" spans="1:19" ht="17.25" thickBot="1">
      <c r="A168" s="109" t="s">
        <v>157</v>
      </c>
      <c r="B168" s="110">
        <v>212</v>
      </c>
      <c r="C168" s="70">
        <v>-1.39534884E-2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46"/>
      <c r="R168" s="146"/>
      <c r="S168" s="146"/>
    </row>
    <row r="169" spans="1:19" ht="17.25" thickBot="1">
      <c r="A169" s="109" t="s">
        <v>81</v>
      </c>
      <c r="B169" s="110">
        <v>348</v>
      </c>
      <c r="C169" s="70">
        <v>-1.41643059E-2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46"/>
      <c r="R169" s="146"/>
      <c r="S169" s="146"/>
    </row>
    <row r="170" spans="1:19">
      <c r="A170" s="109" t="s">
        <v>85</v>
      </c>
      <c r="B170" s="110">
        <v>138</v>
      </c>
      <c r="C170" s="70">
        <v>-1.42857143E-2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35"/>
      <c r="R170" s="136"/>
      <c r="S170" s="137"/>
    </row>
    <row r="171" spans="1:19" ht="17.25" thickBot="1">
      <c r="A171" s="114" t="s">
        <v>341</v>
      </c>
      <c r="B171" s="115">
        <v>651</v>
      </c>
      <c r="C171" s="72">
        <v>-1.6616314199999999E-2</v>
      </c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38"/>
      <c r="R171" s="139"/>
      <c r="S171" s="140"/>
    </row>
    <row r="172" spans="1:19" ht="17.25" thickBot="1">
      <c r="A172" s="116" t="s">
        <v>257</v>
      </c>
      <c r="B172" s="199">
        <f>$B$37</f>
        <v>150000</v>
      </c>
      <c r="C172" s="200"/>
      <c r="D172" s="26" t="s">
        <v>258</v>
      </c>
      <c r="E172" s="27">
        <f>IF(COUNT(E152:E171), SUM(E152:E171) / COUNT(E152:E171), 0)</f>
        <v>0</v>
      </c>
      <c r="F172" s="28">
        <f>SUM(F152:F171)</f>
        <v>0</v>
      </c>
      <c r="G172" s="26" t="s">
        <v>258</v>
      </c>
      <c r="H172" s="27">
        <f>IF(COUNT(H152:H171), SUM(H152:H171) / COUNT(H152:H171), 0)</f>
        <v>0</v>
      </c>
      <c r="I172" s="28">
        <f>SUM(I152:I171)</f>
        <v>0</v>
      </c>
      <c r="J172" s="26" t="s">
        <v>258</v>
      </c>
      <c r="K172" s="27">
        <f>IF(COUNT(K152:K171), SUM(K152:K171) / COUNT(K152:K171), 0)</f>
        <v>0</v>
      </c>
      <c r="L172" s="28">
        <f>SUM(L152:L171)</f>
        <v>0</v>
      </c>
      <c r="M172" s="26" t="s">
        <v>258</v>
      </c>
      <c r="N172" s="27">
        <f>IF(COUNT(N152:N171), SUM(N152:N171) / COUNT(N152:N171), 0)</f>
        <v>0</v>
      </c>
      <c r="O172" s="28">
        <f>SUM(O152:O171)</f>
        <v>0</v>
      </c>
      <c r="Q172" s="141"/>
      <c r="R172" s="142"/>
      <c r="S172" s="143"/>
    </row>
    <row r="174" spans="1:19" ht="17.25" thickBot="1"/>
    <row r="175" spans="1:19" ht="17.25" thickBot="1">
      <c r="A175" s="157" t="s">
        <v>242</v>
      </c>
      <c r="B175" s="158"/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9"/>
      <c r="Q175" s="156"/>
      <c r="R175" s="156"/>
      <c r="S175" s="156"/>
    </row>
    <row r="176" spans="1:19" ht="17.25" thickBot="1">
      <c r="A176" s="9" t="s">
        <v>254</v>
      </c>
      <c r="B176" s="157" t="s">
        <v>49</v>
      </c>
      <c r="C176" s="159"/>
      <c r="D176" s="157" t="s">
        <v>57</v>
      </c>
      <c r="E176" s="158"/>
      <c r="F176" s="159"/>
      <c r="G176" s="160">
        <f>_xlfn.IFNA(VLOOKUP(B176, 현재가테이블!$B$2:$D$200, 2, FALSE), "-")</f>
        <v>21539000</v>
      </c>
      <c r="H176" s="161"/>
      <c r="I176" s="162"/>
      <c r="J176" s="157" t="s">
        <v>58</v>
      </c>
      <c r="K176" s="158"/>
      <c r="L176" s="159"/>
      <c r="M176" s="163">
        <f>_xlfn.IFNA(VLOOKUP(B176, 현재가테이블!$B$2:$D$200, 3, FALSE), "-")</f>
        <v>1.0224474E-3</v>
      </c>
      <c r="N176" s="164"/>
      <c r="O176" s="165"/>
      <c r="Q176" s="156"/>
      <c r="R176" s="156"/>
      <c r="S176" s="156"/>
    </row>
    <row r="177" spans="1:19" ht="17.25" thickBot="1">
      <c r="A177" s="201" t="s">
        <v>54</v>
      </c>
      <c r="B177" s="197" t="str">
        <f>TEXT($G$1, "[$-ko-KR]yyyy-mm-dd(ddd) ") &amp; "오전 00:00"</f>
        <v>2023-01-08(일) 오전 00:00</v>
      </c>
      <c r="C177" s="198"/>
      <c r="D177" s="170" t="str">
        <f>TEXT($G$1, "[$-ko-KR]yyyy-mm-dd(ddd) ") &amp; "오후 14:00"</f>
        <v>2023-01-08(일) 오후 14:00</v>
      </c>
      <c r="E177" s="171"/>
      <c r="F177" s="172"/>
      <c r="G177" s="170" t="str">
        <f>TEXT($G$1, "[$-ko-KR]yyyy-mm-dd(ddd) ") &amp; "오후 19:00"</f>
        <v>2023-01-08(일) 오후 19:00</v>
      </c>
      <c r="H177" s="171"/>
      <c r="I177" s="172"/>
      <c r="J177" s="170" t="str">
        <f>TEXT($G$1, "[$-ko-KR]yyyy-mm-dd(ddd) ") &amp; "오후 21:00"</f>
        <v>2023-01-08(일) 오후 21:00</v>
      </c>
      <c r="K177" s="171"/>
      <c r="L177" s="172"/>
      <c r="M177" s="170" t="str">
        <f>TEXT($G$1+1, "[$-ko-KR]yyyy-mm-dd(ddd) ") &amp; "오전 00:00"</f>
        <v>2023-01-09(월) 오전 00:00</v>
      </c>
      <c r="N177" s="171"/>
      <c r="O177" s="172"/>
      <c r="Q177" s="156"/>
      <c r="R177" s="156"/>
      <c r="S177" s="156"/>
    </row>
    <row r="178" spans="1:19" ht="17.25" thickBot="1">
      <c r="A178" s="202"/>
      <c r="B178" s="105" t="s">
        <v>57</v>
      </c>
      <c r="C178" s="106" t="s">
        <v>58</v>
      </c>
      <c r="D178" s="2" t="s">
        <v>57</v>
      </c>
      <c r="E178" s="10" t="s">
        <v>255</v>
      </c>
      <c r="F178" s="11" t="s">
        <v>256</v>
      </c>
      <c r="G178" s="57" t="s">
        <v>57</v>
      </c>
      <c r="H178" s="58" t="s">
        <v>255</v>
      </c>
      <c r="I178" s="59" t="s">
        <v>256</v>
      </c>
      <c r="J178" s="10" t="s">
        <v>57</v>
      </c>
      <c r="K178" s="10" t="s">
        <v>255</v>
      </c>
      <c r="L178" s="60" t="s">
        <v>256</v>
      </c>
      <c r="M178" s="2" t="s">
        <v>57</v>
      </c>
      <c r="N178" s="10" t="s">
        <v>255</v>
      </c>
      <c r="O178" s="62" t="s">
        <v>256</v>
      </c>
      <c r="Q178" s="146"/>
      <c r="R178" s="146"/>
      <c r="S178" s="146"/>
    </row>
    <row r="179" spans="1:19" ht="17.25" thickBot="1">
      <c r="A179" s="107" t="s">
        <v>151</v>
      </c>
      <c r="B179" s="108">
        <v>1780</v>
      </c>
      <c r="C179" s="69">
        <v>-8.3565459999999994E-3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 t="s">
        <v>107</v>
      </c>
      <c r="B180" s="110">
        <v>35.4</v>
      </c>
      <c r="C180" s="70">
        <v>-8.4033613000000004E-3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 t="s">
        <v>183</v>
      </c>
      <c r="B181" s="110">
        <v>114</v>
      </c>
      <c r="C181" s="70">
        <v>-8.6956522000000008E-3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46"/>
      <c r="R181" s="146"/>
      <c r="S181" s="146"/>
    </row>
    <row r="182" spans="1:19" ht="17.25" thickBot="1">
      <c r="A182" s="109" t="s">
        <v>345</v>
      </c>
      <c r="B182" s="110">
        <v>109</v>
      </c>
      <c r="C182" s="70">
        <v>-9.0909091000000008E-3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46"/>
      <c r="R182" s="146"/>
      <c r="S182" s="146"/>
    </row>
    <row r="183" spans="1:19" ht="17.25" thickBot="1">
      <c r="A183" s="111" t="s">
        <v>122</v>
      </c>
      <c r="B183" s="112">
        <v>20.7</v>
      </c>
      <c r="C183" s="71">
        <v>-9.5693779999999999E-3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46"/>
      <c r="R183" s="146"/>
      <c r="S183" s="146"/>
    </row>
    <row r="184" spans="1:19" ht="17.25" thickBot="1">
      <c r="A184" s="109" t="s">
        <v>349</v>
      </c>
      <c r="B184" s="113">
        <v>20.6</v>
      </c>
      <c r="C184" s="73">
        <v>-9.6153846000000005E-3</v>
      </c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46"/>
      <c r="R184" s="146"/>
      <c r="S184" s="146"/>
    </row>
    <row r="185" spans="1:19" ht="17.25" thickBot="1">
      <c r="A185" s="109" t="s">
        <v>66</v>
      </c>
      <c r="B185" s="110">
        <v>599</v>
      </c>
      <c r="C185" s="70">
        <v>-9.9173553999999994E-3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46"/>
      <c r="R185" s="146"/>
      <c r="S185" s="146"/>
    </row>
    <row r="186" spans="1:19" ht="17.25" thickBot="1">
      <c r="A186" s="109" t="s">
        <v>174</v>
      </c>
      <c r="B186" s="110">
        <v>11960</v>
      </c>
      <c r="C186" s="70">
        <v>-9.9337747999999997E-3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46"/>
      <c r="R186" s="146"/>
      <c r="S186" s="146"/>
    </row>
    <row r="187" spans="1:19" ht="17.25" thickBot="1">
      <c r="A187" s="109" t="s">
        <v>145</v>
      </c>
      <c r="B187" s="110">
        <v>66</v>
      </c>
      <c r="C187" s="70">
        <v>-1.0494752600000001E-2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 t="s">
        <v>169</v>
      </c>
      <c r="B188" s="115">
        <v>228</v>
      </c>
      <c r="C188" s="72">
        <v>-1.2987013E-2</v>
      </c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47"/>
      <c r="R188" s="148"/>
      <c r="S188" s="149"/>
    </row>
    <row r="189" spans="1:19">
      <c r="A189" s="107" t="s">
        <v>157</v>
      </c>
      <c r="B189" s="108">
        <v>212</v>
      </c>
      <c r="C189" s="69">
        <v>-1.39534884E-2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50"/>
      <c r="R189" s="151"/>
      <c r="S189" s="152"/>
    </row>
    <row r="190" spans="1:19" ht="17.25" thickBot="1">
      <c r="A190" s="109" t="s">
        <v>178</v>
      </c>
      <c r="B190" s="110">
        <v>1400</v>
      </c>
      <c r="C190" s="70">
        <v>-1.4084507E-2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53"/>
      <c r="R190" s="154"/>
      <c r="S190" s="155"/>
    </row>
    <row r="191" spans="1:19" ht="17.25" thickBot="1">
      <c r="A191" s="109" t="s">
        <v>81</v>
      </c>
      <c r="B191" s="110">
        <v>348</v>
      </c>
      <c r="C191" s="70">
        <v>-1.41643059E-2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46"/>
      <c r="R191" s="146"/>
      <c r="S191" s="146"/>
    </row>
    <row r="192" spans="1:19" ht="17.25" thickBot="1">
      <c r="A192" s="109" t="s">
        <v>85</v>
      </c>
      <c r="B192" s="110">
        <v>138</v>
      </c>
      <c r="C192" s="70">
        <v>-1.42857143E-2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 t="s">
        <v>191</v>
      </c>
      <c r="B193" s="112">
        <v>49.3</v>
      </c>
      <c r="C193" s="71">
        <v>-1.5968063899999999E-2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 t="s">
        <v>341</v>
      </c>
      <c r="B194" s="113">
        <v>651</v>
      </c>
      <c r="C194" s="73">
        <v>-1.6616314199999999E-2</v>
      </c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46"/>
      <c r="R194" s="146"/>
      <c r="S194" s="146"/>
    </row>
    <row r="195" spans="1:19" ht="17.25" thickBot="1">
      <c r="A195" s="109" t="s">
        <v>335</v>
      </c>
      <c r="B195" s="110">
        <v>1985</v>
      </c>
      <c r="C195" s="70">
        <v>-1.73267327E-2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46"/>
      <c r="R195" s="146"/>
      <c r="S195" s="146"/>
    </row>
    <row r="196" spans="1:19" ht="17.25" thickBot="1">
      <c r="A196" s="109" t="s">
        <v>343</v>
      </c>
      <c r="B196" s="110">
        <v>16840</v>
      </c>
      <c r="C196" s="70">
        <v>-1.7502917199999999E-2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46"/>
      <c r="R196" s="146"/>
      <c r="S196" s="146"/>
    </row>
    <row r="197" spans="1:19">
      <c r="A197" s="109" t="s">
        <v>124</v>
      </c>
      <c r="B197" s="110">
        <v>27.8</v>
      </c>
      <c r="C197" s="70">
        <v>-1.7667844500000002E-2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35"/>
      <c r="R197" s="136"/>
      <c r="S197" s="137"/>
    </row>
    <row r="198" spans="1:19" ht="17.25" thickBot="1">
      <c r="A198" s="114" t="s">
        <v>323</v>
      </c>
      <c r="B198" s="115">
        <v>3.09E-2</v>
      </c>
      <c r="C198" s="72">
        <v>-1.9047618999999998E-2</v>
      </c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38"/>
      <c r="R198" s="139"/>
      <c r="S198" s="140"/>
    </row>
    <row r="199" spans="1:19" ht="17.25" thickBot="1">
      <c r="A199" s="116" t="s">
        <v>257</v>
      </c>
      <c r="B199" s="199">
        <f>$B$37</f>
        <v>150000</v>
      </c>
      <c r="C199" s="200"/>
      <c r="D199" s="26" t="s">
        <v>258</v>
      </c>
      <c r="E199" s="27">
        <f>IF(COUNT(E179:E198), SUM(E179:E198) / COUNT(E179:E198), 0)</f>
        <v>0</v>
      </c>
      <c r="F199" s="28">
        <f>SUM(F179:F198)</f>
        <v>0</v>
      </c>
      <c r="G199" s="26" t="s">
        <v>258</v>
      </c>
      <c r="H199" s="27">
        <f>IF(COUNT(H179:H198), SUM(H179:H198) / COUNT(H179:H198), 0)</f>
        <v>0</v>
      </c>
      <c r="I199" s="28">
        <f>SUM(I179:I198)</f>
        <v>0</v>
      </c>
      <c r="J199" s="26" t="s">
        <v>258</v>
      </c>
      <c r="K199" s="27">
        <f>IF(COUNT(K179:K198), SUM(K179:K198) / COUNT(K179:K198), 0)</f>
        <v>0</v>
      </c>
      <c r="L199" s="28">
        <f>SUM(L179:L198)</f>
        <v>0</v>
      </c>
      <c r="M199" s="26" t="s">
        <v>258</v>
      </c>
      <c r="N199" s="27">
        <f>IF(COUNT(N179:N198), SUM(N179:N198) / COUNT(N179:N198), 0)</f>
        <v>0</v>
      </c>
      <c r="O199" s="28">
        <f>SUM(O179:O198)</f>
        <v>0</v>
      </c>
      <c r="Q199" s="141"/>
      <c r="R199" s="142"/>
      <c r="S199" s="14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투자전략(조건부서식초기화)</vt:lpstr>
      <vt:lpstr>투자전략</vt:lpstr>
      <vt:lpstr>현재가테이블</vt:lpstr>
      <vt:lpstr>종목선정</vt:lpstr>
      <vt:lpstr>월말결산</vt:lpstr>
      <vt:lpstr>2023.01.01</vt:lpstr>
      <vt:lpstr>2023.01.02</vt:lpstr>
      <vt:lpstr>2023.01.03</vt:lpstr>
      <vt:lpstr>2023.01.04</vt:lpstr>
      <vt:lpstr>2023.01.05</vt:lpstr>
      <vt:lpstr>2023.01.06</vt:lpstr>
      <vt:lpstr>2023.01.07</vt:lpstr>
      <vt:lpstr>2023.01.08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2023-01-07T15:00:26Z</dcterms:modified>
</cp:coreProperties>
</file>