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17384152-8279-42E3-B86B-D213D6B5B14F}" xr6:coauthVersionLast="47" xr6:coauthVersionMax="47" xr10:uidLastSave="{00000000-0000-0000-0000-000000000000}"/>
  <bookViews>
    <workbookView xWindow="28680" yWindow="-120" windowWidth="29040" windowHeight="15840" firstSheet="15" activeTab="2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  <sheet name="2021.06.14" sheetId="37" r:id="rId19"/>
    <sheet name="2021.06.15" sheetId="38" r:id="rId20"/>
    <sheet name="2021.06.16" sheetId="39" r:id="rId21"/>
    <sheet name="2021.06.17" sheetId="40" r:id="rId22"/>
    <sheet name="2021.06.18" sheetId="41" r:id="rId23"/>
    <sheet name="2021.06.19" sheetId="42" r:id="rId24"/>
    <sheet name="2021.06.20" sheetId="43" r:id="rId25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18" hidden="1">'2021.06.14'!#REF!</definedName>
    <definedName name="_xlnm._FilterDatabase" localSheetId="19" hidden="1">'2021.06.15'!#REF!</definedName>
    <definedName name="_xlnm._FilterDatabase" localSheetId="20" hidden="1">'2021.06.16'!#REF!</definedName>
    <definedName name="_xlnm._FilterDatabase" localSheetId="21" hidden="1">'2021.06.17'!#REF!</definedName>
    <definedName name="_xlnm._FilterDatabase" localSheetId="22" hidden="1">'2021.06.18'!#REF!</definedName>
    <definedName name="_xlnm._FilterDatabase" localSheetId="23" hidden="1">'2021.06.19'!#REF!</definedName>
    <definedName name="_xlnm._FilterDatabase" localSheetId="24" hidden="1">'2021.06.20'!#REF!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3" l="1"/>
  <c r="O198" i="43"/>
  <c r="N198" i="43"/>
  <c r="L198" i="43"/>
  <c r="K198" i="43"/>
  <c r="H198" i="43"/>
  <c r="I198" i="43" s="1"/>
  <c r="F198" i="43"/>
  <c r="E198" i="43"/>
  <c r="O197" i="43"/>
  <c r="N197" i="43"/>
  <c r="K197" i="43"/>
  <c r="L197" i="43" s="1"/>
  <c r="H197" i="43"/>
  <c r="I197" i="43" s="1"/>
  <c r="F197" i="43"/>
  <c r="E197" i="43"/>
  <c r="O196" i="43"/>
  <c r="N196" i="43"/>
  <c r="L196" i="43"/>
  <c r="K196" i="43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O194" i="43"/>
  <c r="N194" i="43"/>
  <c r="L194" i="43"/>
  <c r="K194" i="43"/>
  <c r="H194" i="43"/>
  <c r="I194" i="43" s="1"/>
  <c r="F194" i="43"/>
  <c r="E194" i="43"/>
  <c r="O193" i="43"/>
  <c r="N193" i="43"/>
  <c r="K193" i="43"/>
  <c r="L193" i="43" s="1"/>
  <c r="H193" i="43"/>
  <c r="I193" i="43" s="1"/>
  <c r="F193" i="43"/>
  <c r="E193" i="43"/>
  <c r="O192" i="43"/>
  <c r="N192" i="43"/>
  <c r="L192" i="43"/>
  <c r="K192" i="43"/>
  <c r="H192" i="43"/>
  <c r="I192" i="43" s="1"/>
  <c r="F192" i="43"/>
  <c r="E192" i="43"/>
  <c r="O191" i="43"/>
  <c r="N191" i="43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O189" i="43"/>
  <c r="N189" i="43"/>
  <c r="K189" i="43"/>
  <c r="L189" i="43" s="1"/>
  <c r="H189" i="43"/>
  <c r="I189" i="43" s="1"/>
  <c r="F189" i="43"/>
  <c r="E189" i="43"/>
  <c r="O188" i="43"/>
  <c r="N188" i="43"/>
  <c r="L188" i="43"/>
  <c r="K188" i="43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O186" i="43"/>
  <c r="N186" i="43"/>
  <c r="L186" i="43"/>
  <c r="K186" i="43"/>
  <c r="H186" i="43"/>
  <c r="I186" i="43" s="1"/>
  <c r="F186" i="43"/>
  <c r="E186" i="43"/>
  <c r="O185" i="43"/>
  <c r="N185" i="43"/>
  <c r="K185" i="43"/>
  <c r="L185" i="43" s="1"/>
  <c r="H185" i="43"/>
  <c r="I185" i="43" s="1"/>
  <c r="F185" i="43"/>
  <c r="E185" i="43"/>
  <c r="O184" i="43"/>
  <c r="N184" i="43"/>
  <c r="L184" i="43"/>
  <c r="K184" i="43"/>
  <c r="H184" i="43"/>
  <c r="I184" i="43" s="1"/>
  <c r="F184" i="43"/>
  <c r="E184" i="43"/>
  <c r="O183" i="43"/>
  <c r="N183" i="43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O181" i="43"/>
  <c r="N181" i="43"/>
  <c r="K181" i="43"/>
  <c r="L181" i="43" s="1"/>
  <c r="H181" i="43"/>
  <c r="I181" i="43" s="1"/>
  <c r="F181" i="43"/>
  <c r="E181" i="43"/>
  <c r="O180" i="43"/>
  <c r="N180" i="43"/>
  <c r="L180" i="43"/>
  <c r="K180" i="43"/>
  <c r="H180" i="43"/>
  <c r="I180" i="43" s="1"/>
  <c r="F180" i="43"/>
  <c r="E180" i="43"/>
  <c r="O179" i="43"/>
  <c r="O199" i="43" s="1"/>
  <c r="N179" i="43"/>
  <c r="N199" i="43" s="1"/>
  <c r="K179" i="43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O171" i="43"/>
  <c r="N171" i="43"/>
  <c r="K171" i="43"/>
  <c r="L171" i="43" s="1"/>
  <c r="H171" i="43"/>
  <c r="I171" i="43" s="1"/>
  <c r="E171" i="43"/>
  <c r="F171" i="43" s="1"/>
  <c r="O170" i="43"/>
  <c r="N170" i="43"/>
  <c r="K170" i="43"/>
  <c r="L170" i="43" s="1"/>
  <c r="I170" i="43"/>
  <c r="H170" i="43"/>
  <c r="E170" i="43"/>
  <c r="F170" i="43" s="1"/>
  <c r="O169" i="43"/>
  <c r="N169" i="43"/>
  <c r="L169" i="43"/>
  <c r="K169" i="43"/>
  <c r="H169" i="43"/>
  <c r="I169" i="43" s="1"/>
  <c r="F169" i="43"/>
  <c r="E169" i="43"/>
  <c r="O168" i="43"/>
  <c r="N168" i="43"/>
  <c r="K168" i="43"/>
  <c r="L168" i="43" s="1"/>
  <c r="H168" i="43"/>
  <c r="I168" i="43" s="1"/>
  <c r="F168" i="43"/>
  <c r="E168" i="43"/>
  <c r="O167" i="43"/>
  <c r="N167" i="43"/>
  <c r="L167" i="43"/>
  <c r="K167" i="43"/>
  <c r="H167" i="43"/>
  <c r="I167" i="43" s="1"/>
  <c r="F167" i="43"/>
  <c r="E167" i="43"/>
  <c r="O166" i="43"/>
  <c r="N166" i="43"/>
  <c r="K166" i="43"/>
  <c r="L166" i="43" s="1"/>
  <c r="H166" i="43"/>
  <c r="I166" i="43" s="1"/>
  <c r="F166" i="43"/>
  <c r="E166" i="43"/>
  <c r="O165" i="43"/>
  <c r="N165" i="43"/>
  <c r="L165" i="43"/>
  <c r="K165" i="43"/>
  <c r="H165" i="43"/>
  <c r="I165" i="43" s="1"/>
  <c r="E165" i="43"/>
  <c r="F165" i="43" s="1"/>
  <c r="O164" i="43"/>
  <c r="N164" i="43"/>
  <c r="L164" i="43"/>
  <c r="K164" i="43"/>
  <c r="I164" i="43"/>
  <c r="H164" i="43"/>
  <c r="E164" i="43"/>
  <c r="F164" i="43" s="1"/>
  <c r="O163" i="43"/>
  <c r="N163" i="43"/>
  <c r="K163" i="43"/>
  <c r="L163" i="43" s="1"/>
  <c r="H163" i="43"/>
  <c r="I163" i="43" s="1"/>
  <c r="E163" i="43"/>
  <c r="F163" i="43" s="1"/>
  <c r="O162" i="43"/>
  <c r="N162" i="43"/>
  <c r="K162" i="43"/>
  <c r="L162" i="43" s="1"/>
  <c r="I162" i="43"/>
  <c r="H162" i="43"/>
  <c r="E162" i="43"/>
  <c r="F162" i="43" s="1"/>
  <c r="O161" i="43"/>
  <c r="N161" i="43"/>
  <c r="L161" i="43"/>
  <c r="K161" i="43"/>
  <c r="H161" i="43"/>
  <c r="I161" i="43" s="1"/>
  <c r="E161" i="43"/>
  <c r="F161" i="43" s="1"/>
  <c r="O160" i="43"/>
  <c r="N160" i="43"/>
  <c r="L160" i="43"/>
  <c r="K160" i="43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O158" i="43"/>
  <c r="N158" i="43"/>
  <c r="K158" i="43"/>
  <c r="L158" i="43" s="1"/>
  <c r="I158" i="43"/>
  <c r="H158" i="43"/>
  <c r="F158" i="43"/>
  <c r="E158" i="43"/>
  <c r="O157" i="43"/>
  <c r="N157" i="43"/>
  <c r="K157" i="43"/>
  <c r="L157" i="43" s="1"/>
  <c r="I157" i="43"/>
  <c r="H157" i="43"/>
  <c r="F157" i="43"/>
  <c r="E157" i="43"/>
  <c r="O156" i="43"/>
  <c r="N156" i="43"/>
  <c r="K156" i="43"/>
  <c r="L156" i="43" s="1"/>
  <c r="I156" i="43"/>
  <c r="H156" i="43"/>
  <c r="F156" i="43"/>
  <c r="E156" i="43"/>
  <c r="O155" i="43"/>
  <c r="N155" i="43"/>
  <c r="K155" i="43"/>
  <c r="L155" i="43" s="1"/>
  <c r="I155" i="43"/>
  <c r="H155" i="43"/>
  <c r="F155" i="43"/>
  <c r="E155" i="43"/>
  <c r="O154" i="43"/>
  <c r="N154" i="43"/>
  <c r="K154" i="43"/>
  <c r="L154" i="43" s="1"/>
  <c r="I154" i="43"/>
  <c r="H154" i="43"/>
  <c r="F154" i="43"/>
  <c r="E154" i="43"/>
  <c r="O153" i="43"/>
  <c r="N153" i="43"/>
  <c r="K153" i="43"/>
  <c r="L153" i="43" s="1"/>
  <c r="I153" i="43"/>
  <c r="H153" i="43"/>
  <c r="F153" i="43"/>
  <c r="E153" i="43"/>
  <c r="O152" i="43"/>
  <c r="O172" i="43" s="1"/>
  <c r="N152" i="43"/>
  <c r="N172" i="43" s="1"/>
  <c r="K152" i="43"/>
  <c r="K172" i="43" s="1"/>
  <c r="I152" i="43"/>
  <c r="H152" i="43"/>
  <c r="F152" i="43"/>
  <c r="E152" i="43"/>
  <c r="E172" i="43" s="1"/>
  <c r="M150" i="43"/>
  <c r="J150" i="43"/>
  <c r="G150" i="43"/>
  <c r="D150" i="43"/>
  <c r="B150" i="43"/>
  <c r="M149" i="43"/>
  <c r="G149" i="43"/>
  <c r="B145" i="43"/>
  <c r="O144" i="43"/>
  <c r="N144" i="43"/>
  <c r="K144" i="43"/>
  <c r="L144" i="43" s="1"/>
  <c r="H144" i="43"/>
  <c r="I144" i="43" s="1"/>
  <c r="E144" i="43"/>
  <c r="F144" i="43" s="1"/>
  <c r="O143" i="43"/>
  <c r="N143" i="43"/>
  <c r="K143" i="43"/>
  <c r="L143" i="43" s="1"/>
  <c r="H143" i="43"/>
  <c r="I143" i="43" s="1"/>
  <c r="E143" i="43"/>
  <c r="F143" i="43" s="1"/>
  <c r="O142" i="43"/>
  <c r="N142" i="43"/>
  <c r="K142" i="43"/>
  <c r="L142" i="43" s="1"/>
  <c r="I142" i="43"/>
  <c r="H142" i="43"/>
  <c r="E142" i="43"/>
  <c r="F142" i="43" s="1"/>
  <c r="O141" i="43"/>
  <c r="N141" i="43"/>
  <c r="L141" i="43"/>
  <c r="K141" i="43"/>
  <c r="H141" i="43"/>
  <c r="I141" i="43" s="1"/>
  <c r="E141" i="43"/>
  <c r="F141" i="43" s="1"/>
  <c r="O140" i="43"/>
  <c r="N140" i="43"/>
  <c r="L140" i="43"/>
  <c r="K140" i="43"/>
  <c r="H140" i="43"/>
  <c r="I140" i="43" s="1"/>
  <c r="E140" i="43"/>
  <c r="F140" i="43" s="1"/>
  <c r="O139" i="43"/>
  <c r="N139" i="43"/>
  <c r="L139" i="43"/>
  <c r="K139" i="43"/>
  <c r="H139" i="43"/>
  <c r="I139" i="43" s="1"/>
  <c r="E139" i="43"/>
  <c r="F139" i="43" s="1"/>
  <c r="O138" i="43"/>
  <c r="N138" i="43"/>
  <c r="L138" i="43"/>
  <c r="K138" i="43"/>
  <c r="I138" i="43"/>
  <c r="H138" i="43"/>
  <c r="E138" i="43"/>
  <c r="F138" i="43" s="1"/>
  <c r="O137" i="43"/>
  <c r="N137" i="43"/>
  <c r="K137" i="43"/>
  <c r="L137" i="43" s="1"/>
  <c r="H137" i="43"/>
  <c r="I137" i="43" s="1"/>
  <c r="E137" i="43"/>
  <c r="F137" i="43" s="1"/>
  <c r="O136" i="43"/>
  <c r="N136" i="43"/>
  <c r="K136" i="43"/>
  <c r="L136" i="43" s="1"/>
  <c r="H136" i="43"/>
  <c r="I136" i="43" s="1"/>
  <c r="E136" i="43"/>
  <c r="F136" i="43" s="1"/>
  <c r="O135" i="43"/>
  <c r="N135" i="43"/>
  <c r="K135" i="43"/>
  <c r="L135" i="43" s="1"/>
  <c r="H135" i="43"/>
  <c r="I135" i="43" s="1"/>
  <c r="E135" i="43"/>
  <c r="F135" i="43" s="1"/>
  <c r="O134" i="43"/>
  <c r="N134" i="43"/>
  <c r="K134" i="43"/>
  <c r="L134" i="43" s="1"/>
  <c r="I134" i="43"/>
  <c r="H134" i="43"/>
  <c r="E134" i="43"/>
  <c r="F134" i="43" s="1"/>
  <c r="O133" i="43"/>
  <c r="N133" i="43"/>
  <c r="L133" i="43"/>
  <c r="K133" i="43"/>
  <c r="H133" i="43"/>
  <c r="I133" i="43" s="1"/>
  <c r="E133" i="43"/>
  <c r="F133" i="43" s="1"/>
  <c r="O132" i="43"/>
  <c r="N132" i="43"/>
  <c r="L132" i="43"/>
  <c r="K132" i="43"/>
  <c r="H132" i="43"/>
  <c r="I132" i="43" s="1"/>
  <c r="E132" i="43"/>
  <c r="F132" i="43" s="1"/>
  <c r="O131" i="43"/>
  <c r="N131" i="43"/>
  <c r="L131" i="43"/>
  <c r="K131" i="43"/>
  <c r="H131" i="43"/>
  <c r="I131" i="43" s="1"/>
  <c r="E131" i="43"/>
  <c r="F131" i="43" s="1"/>
  <c r="O130" i="43"/>
  <c r="N130" i="43"/>
  <c r="L130" i="43"/>
  <c r="K130" i="43"/>
  <c r="I130" i="43"/>
  <c r="H130" i="43"/>
  <c r="E130" i="43"/>
  <c r="F130" i="43" s="1"/>
  <c r="O129" i="43"/>
  <c r="N129" i="43"/>
  <c r="K129" i="43"/>
  <c r="L129" i="43" s="1"/>
  <c r="H129" i="43"/>
  <c r="I129" i="43" s="1"/>
  <c r="E129" i="43"/>
  <c r="F129" i="43" s="1"/>
  <c r="O128" i="43"/>
  <c r="N128" i="43"/>
  <c r="K128" i="43"/>
  <c r="L128" i="43" s="1"/>
  <c r="H128" i="43"/>
  <c r="I128" i="43" s="1"/>
  <c r="E128" i="43"/>
  <c r="F128" i="43" s="1"/>
  <c r="O127" i="43"/>
  <c r="N127" i="43"/>
  <c r="K127" i="43"/>
  <c r="L127" i="43" s="1"/>
  <c r="H127" i="43"/>
  <c r="I127" i="43" s="1"/>
  <c r="E127" i="43"/>
  <c r="F127" i="43" s="1"/>
  <c r="O126" i="43"/>
  <c r="N126" i="43"/>
  <c r="K126" i="43"/>
  <c r="L126" i="43" s="1"/>
  <c r="I126" i="43"/>
  <c r="H126" i="43"/>
  <c r="E126" i="43"/>
  <c r="F126" i="43" s="1"/>
  <c r="O125" i="43"/>
  <c r="O145" i="43" s="1"/>
  <c r="N125" i="43"/>
  <c r="N145" i="43" s="1"/>
  <c r="L125" i="43"/>
  <c r="K125" i="43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L117" i="43"/>
  <c r="K117" i="43"/>
  <c r="H117" i="43"/>
  <c r="I117" i="43" s="1"/>
  <c r="E117" i="43"/>
  <c r="F117" i="43" s="1"/>
  <c r="O116" i="43"/>
  <c r="N116" i="43"/>
  <c r="K116" i="43"/>
  <c r="L116" i="43" s="1"/>
  <c r="H116" i="43"/>
  <c r="I116" i="43" s="1"/>
  <c r="E116" i="43"/>
  <c r="F116" i="43" s="1"/>
  <c r="O115" i="43"/>
  <c r="N115" i="43"/>
  <c r="L115" i="43"/>
  <c r="K115" i="43"/>
  <c r="I115" i="43"/>
  <c r="H115" i="43"/>
  <c r="E115" i="43"/>
  <c r="F115" i="43" s="1"/>
  <c r="O114" i="43"/>
  <c r="N114" i="43"/>
  <c r="K114" i="43"/>
  <c r="L114" i="43" s="1"/>
  <c r="H114" i="43"/>
  <c r="I114" i="43" s="1"/>
  <c r="E114" i="43"/>
  <c r="F114" i="43" s="1"/>
  <c r="O113" i="43"/>
  <c r="N113" i="43"/>
  <c r="K113" i="43"/>
  <c r="L113" i="43" s="1"/>
  <c r="H113" i="43"/>
  <c r="I113" i="43" s="1"/>
  <c r="E113" i="43"/>
  <c r="F113" i="43" s="1"/>
  <c r="O112" i="43"/>
  <c r="N112" i="43"/>
  <c r="K112" i="43"/>
  <c r="L112" i="43" s="1"/>
  <c r="H112" i="43"/>
  <c r="I112" i="43" s="1"/>
  <c r="E112" i="43"/>
  <c r="F112" i="43" s="1"/>
  <c r="O111" i="43"/>
  <c r="N111" i="43"/>
  <c r="K111" i="43"/>
  <c r="L111" i="43" s="1"/>
  <c r="I111" i="43"/>
  <c r="H111" i="43"/>
  <c r="E111" i="43"/>
  <c r="F111" i="43" s="1"/>
  <c r="O110" i="43"/>
  <c r="N110" i="43"/>
  <c r="L110" i="43"/>
  <c r="K110" i="43"/>
  <c r="H110" i="43"/>
  <c r="I110" i="43" s="1"/>
  <c r="E110" i="43"/>
  <c r="F110" i="43" s="1"/>
  <c r="O109" i="43"/>
  <c r="N109" i="43"/>
  <c r="K109" i="43"/>
  <c r="L109" i="43" s="1"/>
  <c r="H109" i="43"/>
  <c r="I109" i="43" s="1"/>
  <c r="E109" i="43"/>
  <c r="F109" i="43" s="1"/>
  <c r="O108" i="43"/>
  <c r="N108" i="43"/>
  <c r="L108" i="43"/>
  <c r="K108" i="43"/>
  <c r="H108" i="43"/>
  <c r="I108" i="43" s="1"/>
  <c r="E108" i="43"/>
  <c r="F108" i="43" s="1"/>
  <c r="O107" i="43"/>
  <c r="N107" i="43"/>
  <c r="K107" i="43"/>
  <c r="L107" i="43" s="1"/>
  <c r="I107" i="43"/>
  <c r="H107" i="43"/>
  <c r="E107" i="43"/>
  <c r="F107" i="43" s="1"/>
  <c r="O106" i="43"/>
  <c r="N106" i="43"/>
  <c r="K106" i="43"/>
  <c r="L106" i="43" s="1"/>
  <c r="H106" i="43"/>
  <c r="I106" i="43" s="1"/>
  <c r="E106" i="43"/>
  <c r="F106" i="43" s="1"/>
  <c r="O105" i="43"/>
  <c r="N105" i="43"/>
  <c r="K105" i="43"/>
  <c r="L105" i="43" s="1"/>
  <c r="H105" i="43"/>
  <c r="I105" i="43" s="1"/>
  <c r="E105" i="43"/>
  <c r="F105" i="43" s="1"/>
  <c r="O104" i="43"/>
  <c r="N104" i="43"/>
  <c r="K104" i="43"/>
  <c r="L104" i="43" s="1"/>
  <c r="H104" i="43"/>
  <c r="I104" i="43" s="1"/>
  <c r="E104" i="43"/>
  <c r="F104" i="43" s="1"/>
  <c r="O103" i="43"/>
  <c r="N103" i="43"/>
  <c r="K103" i="43"/>
  <c r="L103" i="43" s="1"/>
  <c r="I103" i="43"/>
  <c r="H103" i="43"/>
  <c r="E103" i="43"/>
  <c r="F103" i="43" s="1"/>
  <c r="O102" i="43"/>
  <c r="N102" i="43"/>
  <c r="K102" i="43"/>
  <c r="L102" i="43" s="1"/>
  <c r="H102" i="43"/>
  <c r="I102" i="43" s="1"/>
  <c r="E102" i="43"/>
  <c r="F102" i="43" s="1"/>
  <c r="O101" i="43"/>
  <c r="N101" i="43"/>
  <c r="L101" i="43"/>
  <c r="K101" i="43"/>
  <c r="H101" i="43"/>
  <c r="I101" i="43" s="1"/>
  <c r="E101" i="43"/>
  <c r="F101" i="43" s="1"/>
  <c r="O100" i="43"/>
  <c r="N100" i="43"/>
  <c r="K100" i="43"/>
  <c r="L100" i="43" s="1"/>
  <c r="H100" i="43"/>
  <c r="I100" i="43" s="1"/>
  <c r="E100" i="43"/>
  <c r="F100" i="43" s="1"/>
  <c r="O99" i="43"/>
  <c r="N99" i="43"/>
  <c r="L99" i="43"/>
  <c r="K99" i="43"/>
  <c r="I99" i="43"/>
  <c r="H99" i="43"/>
  <c r="E99" i="43"/>
  <c r="F99" i="43" s="1"/>
  <c r="O98" i="43"/>
  <c r="O118" i="43" s="1"/>
  <c r="N98" i="43"/>
  <c r="N118" i="43" s="1"/>
  <c r="K98" i="43"/>
  <c r="K118" i="43" s="1"/>
  <c r="H98" i="43"/>
  <c r="H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K90" i="43"/>
  <c r="L90" i="43" s="1"/>
  <c r="I90" i="43"/>
  <c r="H90" i="43"/>
  <c r="E90" i="43"/>
  <c r="F90" i="43" s="1"/>
  <c r="O89" i="43"/>
  <c r="N89" i="43"/>
  <c r="L89" i="43"/>
  <c r="K89" i="43"/>
  <c r="H89" i="43"/>
  <c r="I89" i="43" s="1"/>
  <c r="E89" i="43"/>
  <c r="F89" i="43" s="1"/>
  <c r="O88" i="43"/>
  <c r="N88" i="43"/>
  <c r="L88" i="43"/>
  <c r="K88" i="43"/>
  <c r="I88" i="43"/>
  <c r="H88" i="43"/>
  <c r="E88" i="43"/>
  <c r="F88" i="43" s="1"/>
  <c r="O87" i="43"/>
  <c r="N87" i="43"/>
  <c r="K87" i="43"/>
  <c r="L87" i="43" s="1"/>
  <c r="H87" i="43"/>
  <c r="I87" i="43" s="1"/>
  <c r="E87" i="43"/>
  <c r="F87" i="43" s="1"/>
  <c r="O86" i="43"/>
  <c r="N86" i="43"/>
  <c r="K86" i="43"/>
  <c r="L86" i="43" s="1"/>
  <c r="I86" i="43"/>
  <c r="H86" i="43"/>
  <c r="E86" i="43"/>
  <c r="F86" i="43" s="1"/>
  <c r="O85" i="43"/>
  <c r="N85" i="43"/>
  <c r="L85" i="43"/>
  <c r="K85" i="43"/>
  <c r="H85" i="43"/>
  <c r="I85" i="43" s="1"/>
  <c r="E85" i="43"/>
  <c r="F85" i="43" s="1"/>
  <c r="O84" i="43"/>
  <c r="N84" i="43"/>
  <c r="L84" i="43"/>
  <c r="K84" i="43"/>
  <c r="I84" i="43"/>
  <c r="H84" i="43"/>
  <c r="E84" i="43"/>
  <c r="F84" i="43" s="1"/>
  <c r="O83" i="43"/>
  <c r="N83" i="43"/>
  <c r="K83" i="43"/>
  <c r="L83" i="43" s="1"/>
  <c r="H83" i="43"/>
  <c r="I83" i="43" s="1"/>
  <c r="E83" i="43"/>
  <c r="F83" i="43" s="1"/>
  <c r="O82" i="43"/>
  <c r="N82" i="43"/>
  <c r="K82" i="43"/>
  <c r="L82" i="43" s="1"/>
  <c r="I82" i="43"/>
  <c r="H82" i="43"/>
  <c r="E82" i="43"/>
  <c r="F82" i="43" s="1"/>
  <c r="O81" i="43"/>
  <c r="N81" i="43"/>
  <c r="L81" i="43"/>
  <c r="K81" i="43"/>
  <c r="H81" i="43"/>
  <c r="I81" i="43" s="1"/>
  <c r="E81" i="43"/>
  <c r="F81" i="43" s="1"/>
  <c r="O80" i="43"/>
  <c r="N80" i="43"/>
  <c r="L80" i="43"/>
  <c r="K80" i="43"/>
  <c r="I80" i="43"/>
  <c r="H80" i="43"/>
  <c r="E80" i="43"/>
  <c r="F80" i="43" s="1"/>
  <c r="O79" i="43"/>
  <c r="N79" i="43"/>
  <c r="K79" i="43"/>
  <c r="L79" i="43" s="1"/>
  <c r="H79" i="43"/>
  <c r="I79" i="43" s="1"/>
  <c r="E79" i="43"/>
  <c r="F79" i="43" s="1"/>
  <c r="O78" i="43"/>
  <c r="N78" i="43"/>
  <c r="K78" i="43"/>
  <c r="L78" i="43" s="1"/>
  <c r="I78" i="43"/>
  <c r="H78" i="43"/>
  <c r="E78" i="43"/>
  <c r="F78" i="43" s="1"/>
  <c r="O77" i="43"/>
  <c r="N77" i="43"/>
  <c r="L77" i="43"/>
  <c r="K77" i="43"/>
  <c r="H77" i="43"/>
  <c r="I77" i="43" s="1"/>
  <c r="E77" i="43"/>
  <c r="F77" i="43" s="1"/>
  <c r="O76" i="43"/>
  <c r="N76" i="43"/>
  <c r="L76" i="43"/>
  <c r="K76" i="43"/>
  <c r="I76" i="43"/>
  <c r="H76" i="43"/>
  <c r="E76" i="43"/>
  <c r="F76" i="43" s="1"/>
  <c r="O75" i="43"/>
  <c r="N75" i="43"/>
  <c r="K75" i="43"/>
  <c r="L75" i="43" s="1"/>
  <c r="H75" i="43"/>
  <c r="I75" i="43" s="1"/>
  <c r="E75" i="43"/>
  <c r="F75" i="43" s="1"/>
  <c r="O74" i="43"/>
  <c r="N74" i="43"/>
  <c r="K74" i="43"/>
  <c r="L74" i="43" s="1"/>
  <c r="I74" i="43"/>
  <c r="H74" i="43"/>
  <c r="E74" i="43"/>
  <c r="F74" i="43" s="1"/>
  <c r="O73" i="43"/>
  <c r="N73" i="43"/>
  <c r="L73" i="43"/>
  <c r="K73" i="43"/>
  <c r="H73" i="43"/>
  <c r="I73" i="43" s="1"/>
  <c r="E73" i="43"/>
  <c r="F73" i="43" s="1"/>
  <c r="O72" i="43"/>
  <c r="N72" i="43"/>
  <c r="L72" i="43"/>
  <c r="K72" i="43"/>
  <c r="I72" i="43"/>
  <c r="H72" i="43"/>
  <c r="E72" i="43"/>
  <c r="F72" i="43" s="1"/>
  <c r="O71" i="43"/>
  <c r="O91" i="43" s="1"/>
  <c r="N71" i="43"/>
  <c r="N91" i="43" s="1"/>
  <c r="K71" i="43"/>
  <c r="K91" i="43" s="1"/>
  <c r="H71" i="43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K63" i="43"/>
  <c r="L63" i="43" s="1"/>
  <c r="H63" i="43"/>
  <c r="I63" i="43" s="1"/>
  <c r="E63" i="43"/>
  <c r="F63" i="43" s="1"/>
  <c r="O62" i="43"/>
  <c r="N62" i="43"/>
  <c r="K62" i="43"/>
  <c r="L62" i="43" s="1"/>
  <c r="H62" i="43"/>
  <c r="I62" i="43" s="1"/>
  <c r="E62" i="43"/>
  <c r="F62" i="43" s="1"/>
  <c r="O61" i="43"/>
  <c r="N61" i="43"/>
  <c r="K61" i="43"/>
  <c r="L61" i="43" s="1"/>
  <c r="H61" i="43"/>
  <c r="I61" i="43" s="1"/>
  <c r="E61" i="43"/>
  <c r="F61" i="43" s="1"/>
  <c r="O60" i="43"/>
  <c r="N60" i="43"/>
  <c r="K60" i="43"/>
  <c r="L60" i="43" s="1"/>
  <c r="I60" i="43"/>
  <c r="H60" i="43"/>
  <c r="E60" i="43"/>
  <c r="F60" i="43" s="1"/>
  <c r="O59" i="43"/>
  <c r="N59" i="43"/>
  <c r="L59" i="43"/>
  <c r="K59" i="43"/>
  <c r="H59" i="43"/>
  <c r="I59" i="43" s="1"/>
  <c r="E59" i="43"/>
  <c r="F59" i="43" s="1"/>
  <c r="O58" i="43"/>
  <c r="N58" i="43"/>
  <c r="L58" i="43"/>
  <c r="K58" i="43"/>
  <c r="H58" i="43"/>
  <c r="I58" i="43" s="1"/>
  <c r="E58" i="43"/>
  <c r="F58" i="43" s="1"/>
  <c r="O57" i="43"/>
  <c r="N57" i="43"/>
  <c r="L57" i="43"/>
  <c r="K57" i="43"/>
  <c r="H57" i="43"/>
  <c r="I57" i="43" s="1"/>
  <c r="E57" i="43"/>
  <c r="F57" i="43" s="1"/>
  <c r="O56" i="43"/>
  <c r="N56" i="43"/>
  <c r="L56" i="43"/>
  <c r="K56" i="43"/>
  <c r="I56" i="43"/>
  <c r="H56" i="43"/>
  <c r="E56" i="43"/>
  <c r="F56" i="43" s="1"/>
  <c r="O55" i="43"/>
  <c r="N55" i="43"/>
  <c r="K55" i="43"/>
  <c r="L55" i="43" s="1"/>
  <c r="H55" i="43"/>
  <c r="I55" i="43" s="1"/>
  <c r="E55" i="43"/>
  <c r="F55" i="43" s="1"/>
  <c r="O54" i="43"/>
  <c r="N54" i="43"/>
  <c r="K54" i="43"/>
  <c r="L54" i="43" s="1"/>
  <c r="H54" i="43"/>
  <c r="I54" i="43" s="1"/>
  <c r="E54" i="43"/>
  <c r="F54" i="43" s="1"/>
  <c r="O53" i="43"/>
  <c r="N53" i="43"/>
  <c r="K53" i="43"/>
  <c r="L53" i="43" s="1"/>
  <c r="H53" i="43"/>
  <c r="I53" i="43" s="1"/>
  <c r="E53" i="43"/>
  <c r="F53" i="43" s="1"/>
  <c r="O52" i="43"/>
  <c r="N52" i="43"/>
  <c r="K52" i="43"/>
  <c r="L52" i="43" s="1"/>
  <c r="I52" i="43"/>
  <c r="H52" i="43"/>
  <c r="E52" i="43"/>
  <c r="F52" i="43" s="1"/>
  <c r="O51" i="43"/>
  <c r="N51" i="43"/>
  <c r="L51" i="43"/>
  <c r="K51" i="43"/>
  <c r="H51" i="43"/>
  <c r="I51" i="43" s="1"/>
  <c r="E51" i="43"/>
  <c r="F51" i="43" s="1"/>
  <c r="O50" i="43"/>
  <c r="N50" i="43"/>
  <c r="L50" i="43"/>
  <c r="K50" i="43"/>
  <c r="H50" i="43"/>
  <c r="I50" i="43" s="1"/>
  <c r="E50" i="43"/>
  <c r="F50" i="43" s="1"/>
  <c r="O49" i="43"/>
  <c r="N49" i="43"/>
  <c r="L49" i="43"/>
  <c r="K49" i="43"/>
  <c r="H49" i="43"/>
  <c r="I49" i="43" s="1"/>
  <c r="E49" i="43"/>
  <c r="F49" i="43" s="1"/>
  <c r="O48" i="43"/>
  <c r="N48" i="43"/>
  <c r="L48" i="43"/>
  <c r="K48" i="43"/>
  <c r="H48" i="43"/>
  <c r="I48" i="43" s="1"/>
  <c r="E48" i="43"/>
  <c r="F48" i="43" s="1"/>
  <c r="O47" i="43"/>
  <c r="N47" i="43"/>
  <c r="L47" i="43"/>
  <c r="K47" i="43"/>
  <c r="H47" i="43"/>
  <c r="I47" i="43" s="1"/>
  <c r="E47" i="43"/>
  <c r="F47" i="43" s="1"/>
  <c r="O46" i="43"/>
  <c r="N46" i="43"/>
  <c r="L46" i="43"/>
  <c r="K46" i="43"/>
  <c r="H46" i="43"/>
  <c r="I46" i="43" s="1"/>
  <c r="E46" i="43"/>
  <c r="F46" i="43" s="1"/>
  <c r="O45" i="43"/>
  <c r="N45" i="43"/>
  <c r="L45" i="43"/>
  <c r="K45" i="43"/>
  <c r="H45" i="43"/>
  <c r="I45" i="43" s="1"/>
  <c r="E45" i="43"/>
  <c r="F45" i="43" s="1"/>
  <c r="O44" i="43"/>
  <c r="O64" i="43" s="1"/>
  <c r="N44" i="43"/>
  <c r="N64" i="43" s="1"/>
  <c r="L44" i="43"/>
  <c r="K44" i="43"/>
  <c r="H44" i="43"/>
  <c r="H64" i="43" s="1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L196" i="42"/>
  <c r="K196" i="42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O194" i="42"/>
  <c r="N194" i="42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N192" i="42"/>
  <c r="O192" i="42" s="1"/>
  <c r="L192" i="42"/>
  <c r="K192" i="42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N184" i="42"/>
  <c r="O184" i="42" s="1"/>
  <c r="L184" i="42"/>
  <c r="K184" i="42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L180" i="42"/>
  <c r="K180" i="42"/>
  <c r="H180" i="42"/>
  <c r="I180" i="42" s="1"/>
  <c r="F180" i="42"/>
  <c r="E180" i="42"/>
  <c r="N179" i="42"/>
  <c r="K179" i="42"/>
  <c r="H179" i="42"/>
  <c r="H199" i="42" s="1"/>
  <c r="F179" i="42"/>
  <c r="E179" i="42"/>
  <c r="E199" i="42" s="1"/>
  <c r="M177" i="42"/>
  <c r="J177" i="42"/>
  <c r="G177" i="42"/>
  <c r="D177" i="42"/>
  <c r="B177" i="42"/>
  <c r="M176" i="42"/>
  <c r="G176" i="42"/>
  <c r="B172" i="42"/>
  <c r="O171" i="42"/>
  <c r="N171" i="42"/>
  <c r="L171" i="42"/>
  <c r="K171" i="42"/>
  <c r="H171" i="42"/>
  <c r="I171" i="42" s="1"/>
  <c r="E171" i="42"/>
  <c r="F171" i="42" s="1"/>
  <c r="N170" i="42"/>
  <c r="O170" i="42" s="1"/>
  <c r="L170" i="42"/>
  <c r="K170" i="42"/>
  <c r="H170" i="42"/>
  <c r="I170" i="42" s="1"/>
  <c r="E170" i="42"/>
  <c r="F170" i="42" s="1"/>
  <c r="O169" i="42"/>
  <c r="N169" i="42"/>
  <c r="L169" i="42"/>
  <c r="K169" i="42"/>
  <c r="H169" i="42"/>
  <c r="I169" i="42" s="1"/>
  <c r="E169" i="42"/>
  <c r="F169" i="42" s="1"/>
  <c r="N168" i="42"/>
  <c r="O168" i="42" s="1"/>
  <c r="L168" i="42"/>
  <c r="K168" i="42"/>
  <c r="I168" i="42"/>
  <c r="H168" i="42"/>
  <c r="E168" i="42"/>
  <c r="F168" i="42" s="1"/>
  <c r="N167" i="42"/>
  <c r="O167" i="42" s="1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N165" i="42"/>
  <c r="O165" i="42" s="1"/>
  <c r="K165" i="42"/>
  <c r="L165" i="42" s="1"/>
  <c r="H165" i="42"/>
  <c r="I165" i="42" s="1"/>
  <c r="E165" i="42"/>
  <c r="F165" i="42" s="1"/>
  <c r="O164" i="42"/>
  <c r="N164" i="42"/>
  <c r="K164" i="42"/>
  <c r="L164" i="42" s="1"/>
  <c r="I164" i="42"/>
  <c r="H164" i="42"/>
  <c r="E164" i="42"/>
  <c r="F164" i="42" s="1"/>
  <c r="N163" i="42"/>
  <c r="O163" i="42" s="1"/>
  <c r="L163" i="42"/>
  <c r="K163" i="42"/>
  <c r="H163" i="42"/>
  <c r="I163" i="42" s="1"/>
  <c r="E163" i="42"/>
  <c r="F163" i="42" s="1"/>
  <c r="O162" i="42"/>
  <c r="N162" i="42"/>
  <c r="L162" i="42"/>
  <c r="K162" i="42"/>
  <c r="H162" i="42"/>
  <c r="I162" i="42" s="1"/>
  <c r="E162" i="42"/>
  <c r="F162" i="42" s="1"/>
  <c r="N161" i="42"/>
  <c r="O161" i="42" s="1"/>
  <c r="L161" i="42"/>
  <c r="K161" i="42"/>
  <c r="H161" i="42"/>
  <c r="I161" i="42" s="1"/>
  <c r="E161" i="42"/>
  <c r="F161" i="42" s="1"/>
  <c r="O160" i="42"/>
  <c r="N160" i="42"/>
  <c r="L160" i="42"/>
  <c r="K160" i="42"/>
  <c r="I160" i="42"/>
  <c r="H160" i="42"/>
  <c r="E160" i="42"/>
  <c r="F160" i="42" s="1"/>
  <c r="O159" i="42"/>
  <c r="N159" i="42"/>
  <c r="K159" i="42"/>
  <c r="L159" i="42" s="1"/>
  <c r="H159" i="42"/>
  <c r="I159" i="42" s="1"/>
  <c r="E159" i="42"/>
  <c r="F159" i="42" s="1"/>
  <c r="O158" i="42"/>
  <c r="N158" i="42"/>
  <c r="K158" i="42"/>
  <c r="L158" i="42" s="1"/>
  <c r="H158" i="42"/>
  <c r="I158" i="42" s="1"/>
  <c r="E158" i="42"/>
  <c r="F158" i="42" s="1"/>
  <c r="N157" i="42"/>
  <c r="O157" i="42" s="1"/>
  <c r="K157" i="42"/>
  <c r="L157" i="42" s="1"/>
  <c r="H157" i="42"/>
  <c r="I157" i="42" s="1"/>
  <c r="E157" i="42"/>
  <c r="F157" i="42" s="1"/>
  <c r="N156" i="42"/>
  <c r="O156" i="42" s="1"/>
  <c r="K156" i="42"/>
  <c r="L156" i="42" s="1"/>
  <c r="I156" i="42"/>
  <c r="H156" i="42"/>
  <c r="E156" i="42"/>
  <c r="F156" i="42" s="1"/>
  <c r="O155" i="42"/>
  <c r="N155" i="42"/>
  <c r="L155" i="42"/>
  <c r="K155" i="42"/>
  <c r="H155" i="42"/>
  <c r="I155" i="42" s="1"/>
  <c r="E155" i="42"/>
  <c r="F155" i="42" s="1"/>
  <c r="N154" i="42"/>
  <c r="O154" i="42" s="1"/>
  <c r="L154" i="42"/>
  <c r="K154" i="42"/>
  <c r="H154" i="42"/>
  <c r="I154" i="42" s="1"/>
  <c r="E154" i="42"/>
  <c r="F154" i="42" s="1"/>
  <c r="O153" i="42"/>
  <c r="N153" i="42"/>
  <c r="L153" i="42"/>
  <c r="K153" i="42"/>
  <c r="H153" i="42"/>
  <c r="I153" i="42" s="1"/>
  <c r="E153" i="42"/>
  <c r="F153" i="42" s="1"/>
  <c r="N152" i="42"/>
  <c r="N172" i="42" s="1"/>
  <c r="L152" i="42"/>
  <c r="K152" i="42"/>
  <c r="I152" i="42"/>
  <c r="I172" i="42" s="1"/>
  <c r="H152" i="42"/>
  <c r="E152" i="42"/>
  <c r="E172" i="42" s="1"/>
  <c r="M150" i="42"/>
  <c r="J150" i="42"/>
  <c r="G150" i="42"/>
  <c r="D150" i="42"/>
  <c r="B150" i="42"/>
  <c r="M149" i="42"/>
  <c r="G149" i="42"/>
  <c r="B145" i="42"/>
  <c r="N144" i="42"/>
  <c r="O144" i="42" s="1"/>
  <c r="K144" i="42"/>
  <c r="L144" i="42" s="1"/>
  <c r="I144" i="42"/>
  <c r="H144" i="42"/>
  <c r="E144" i="42"/>
  <c r="F144" i="42" s="1"/>
  <c r="N143" i="42"/>
  <c r="O143" i="42" s="1"/>
  <c r="L143" i="42"/>
  <c r="K143" i="42"/>
  <c r="H143" i="42"/>
  <c r="I143" i="42" s="1"/>
  <c r="E143" i="42"/>
  <c r="F143" i="42" s="1"/>
  <c r="N142" i="42"/>
  <c r="O142" i="42" s="1"/>
  <c r="L142" i="42"/>
  <c r="K142" i="42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L140" i="42"/>
  <c r="K140" i="42"/>
  <c r="H140" i="42"/>
  <c r="I140" i="42" s="1"/>
  <c r="F140" i="42"/>
  <c r="E140" i="42"/>
  <c r="N139" i="42"/>
  <c r="O139" i="42" s="1"/>
  <c r="K139" i="42"/>
  <c r="L139" i="42" s="1"/>
  <c r="H139" i="42"/>
  <c r="I139" i="42" s="1"/>
  <c r="F139" i="42"/>
  <c r="E139" i="42"/>
  <c r="N138" i="42"/>
  <c r="O138" i="42" s="1"/>
  <c r="L138" i="42"/>
  <c r="K138" i="42"/>
  <c r="H138" i="42"/>
  <c r="I138" i="42" s="1"/>
  <c r="F138" i="42"/>
  <c r="E138" i="42"/>
  <c r="O137" i="42"/>
  <c r="N137" i="42"/>
  <c r="K137" i="42"/>
  <c r="L137" i="42" s="1"/>
  <c r="H137" i="42"/>
  <c r="I137" i="42" s="1"/>
  <c r="F137" i="42"/>
  <c r="E137" i="42"/>
  <c r="O136" i="42"/>
  <c r="N136" i="42"/>
  <c r="L136" i="42"/>
  <c r="K136" i="42"/>
  <c r="H136" i="42"/>
  <c r="I136" i="42" s="1"/>
  <c r="F136" i="42"/>
  <c r="E136" i="42"/>
  <c r="N135" i="42"/>
  <c r="O135" i="42" s="1"/>
  <c r="K135" i="42"/>
  <c r="L135" i="42" s="1"/>
  <c r="H135" i="42"/>
  <c r="I135" i="42" s="1"/>
  <c r="E135" i="42"/>
  <c r="F135" i="42" s="1"/>
  <c r="O134" i="42"/>
  <c r="N134" i="42"/>
  <c r="K134" i="42"/>
  <c r="L134" i="42" s="1"/>
  <c r="H134" i="42"/>
  <c r="I134" i="42" s="1"/>
  <c r="E134" i="42"/>
  <c r="F134" i="42" s="1"/>
  <c r="N133" i="42"/>
  <c r="O133" i="42" s="1"/>
  <c r="K133" i="42"/>
  <c r="L133" i="42" s="1"/>
  <c r="I133" i="42"/>
  <c r="H133" i="42"/>
  <c r="E133" i="42"/>
  <c r="F133" i="42" s="1"/>
  <c r="N132" i="42"/>
  <c r="O132" i="42" s="1"/>
  <c r="L132" i="42"/>
  <c r="K132" i="42"/>
  <c r="H132" i="42"/>
  <c r="I132" i="42" s="1"/>
  <c r="E132" i="42"/>
  <c r="F132" i="42" s="1"/>
  <c r="N131" i="42"/>
  <c r="O131" i="42" s="1"/>
  <c r="L131" i="42"/>
  <c r="K131" i="42"/>
  <c r="H131" i="42"/>
  <c r="I131" i="42" s="1"/>
  <c r="E131" i="42"/>
  <c r="F131" i="42" s="1"/>
  <c r="N130" i="42"/>
  <c r="O130" i="42" s="1"/>
  <c r="L130" i="42"/>
  <c r="K130" i="42"/>
  <c r="H130" i="42"/>
  <c r="I130" i="42" s="1"/>
  <c r="E130" i="42"/>
  <c r="F130" i="42" s="1"/>
  <c r="N129" i="42"/>
  <c r="O129" i="42" s="1"/>
  <c r="L129" i="42"/>
  <c r="K129" i="42"/>
  <c r="I129" i="42"/>
  <c r="H129" i="42"/>
  <c r="E129" i="42"/>
  <c r="F129" i="42" s="1"/>
  <c r="O128" i="42"/>
  <c r="N128" i="42"/>
  <c r="K128" i="42"/>
  <c r="L128" i="42" s="1"/>
  <c r="H128" i="42"/>
  <c r="I128" i="42" s="1"/>
  <c r="E128" i="42"/>
  <c r="F128" i="42" s="1"/>
  <c r="N127" i="42"/>
  <c r="O127" i="42" s="1"/>
  <c r="K127" i="42"/>
  <c r="L127" i="42" s="1"/>
  <c r="H127" i="42"/>
  <c r="I127" i="42" s="1"/>
  <c r="E127" i="42"/>
  <c r="F127" i="42" s="1"/>
  <c r="O126" i="42"/>
  <c r="N126" i="42"/>
  <c r="K126" i="42"/>
  <c r="L126" i="42" s="1"/>
  <c r="I126" i="42"/>
  <c r="H126" i="42"/>
  <c r="E126" i="42"/>
  <c r="F126" i="42" s="1"/>
  <c r="O125" i="42"/>
  <c r="N125" i="42"/>
  <c r="L125" i="42"/>
  <c r="K125" i="42"/>
  <c r="I125" i="42"/>
  <c r="I145" i="42" s="1"/>
  <c r="H125" i="42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K117" i="42"/>
  <c r="L117" i="42" s="1"/>
  <c r="H117" i="42"/>
  <c r="I117" i="42" s="1"/>
  <c r="E117" i="42"/>
  <c r="F117" i="42" s="1"/>
  <c r="O116" i="42"/>
  <c r="N116" i="42"/>
  <c r="K116" i="42"/>
  <c r="L116" i="42" s="1"/>
  <c r="H116" i="42"/>
  <c r="I116" i="42" s="1"/>
  <c r="E116" i="42"/>
  <c r="F116" i="42" s="1"/>
  <c r="O115" i="42"/>
  <c r="N115" i="42"/>
  <c r="K115" i="42"/>
  <c r="L115" i="42" s="1"/>
  <c r="H115" i="42"/>
  <c r="I115" i="42" s="1"/>
  <c r="E115" i="42"/>
  <c r="F115" i="42" s="1"/>
  <c r="N114" i="42"/>
  <c r="O114" i="42" s="1"/>
  <c r="K114" i="42"/>
  <c r="L114" i="42" s="1"/>
  <c r="I114" i="42"/>
  <c r="H114" i="42"/>
  <c r="E114" i="42"/>
  <c r="F114" i="42" s="1"/>
  <c r="O113" i="42"/>
  <c r="N113" i="42"/>
  <c r="L113" i="42"/>
  <c r="K113" i="42"/>
  <c r="H113" i="42"/>
  <c r="I113" i="42" s="1"/>
  <c r="E113" i="42"/>
  <c r="F113" i="42" s="1"/>
  <c r="N112" i="42"/>
  <c r="O112" i="42" s="1"/>
  <c r="L112" i="42"/>
  <c r="K112" i="42"/>
  <c r="H112" i="42"/>
  <c r="I112" i="42" s="1"/>
  <c r="E112" i="42"/>
  <c r="F112" i="42" s="1"/>
  <c r="O111" i="42"/>
  <c r="N111" i="42"/>
  <c r="L111" i="42"/>
  <c r="K111" i="42"/>
  <c r="H111" i="42"/>
  <c r="I111" i="42" s="1"/>
  <c r="E111" i="42"/>
  <c r="F111" i="42" s="1"/>
  <c r="N110" i="42"/>
  <c r="O110" i="42" s="1"/>
  <c r="L110" i="42"/>
  <c r="K110" i="42"/>
  <c r="I110" i="42"/>
  <c r="H110" i="42"/>
  <c r="E110" i="42"/>
  <c r="F110" i="42" s="1"/>
  <c r="N109" i="42"/>
  <c r="O109" i="42" s="1"/>
  <c r="K109" i="42"/>
  <c r="L109" i="42" s="1"/>
  <c r="H109" i="42"/>
  <c r="I109" i="42" s="1"/>
  <c r="E109" i="42"/>
  <c r="F109" i="42" s="1"/>
  <c r="N108" i="42"/>
  <c r="O108" i="42" s="1"/>
  <c r="K108" i="42"/>
  <c r="L108" i="42" s="1"/>
  <c r="H108" i="42"/>
  <c r="I108" i="42" s="1"/>
  <c r="E108" i="42"/>
  <c r="F108" i="42" s="1"/>
  <c r="N107" i="42"/>
  <c r="O107" i="42" s="1"/>
  <c r="K107" i="42"/>
  <c r="L107" i="42" s="1"/>
  <c r="H107" i="42"/>
  <c r="I107" i="42" s="1"/>
  <c r="E107" i="42"/>
  <c r="F107" i="42" s="1"/>
  <c r="O106" i="42"/>
  <c r="N106" i="42"/>
  <c r="K106" i="42"/>
  <c r="L106" i="42" s="1"/>
  <c r="I106" i="42"/>
  <c r="H106" i="42"/>
  <c r="E106" i="42"/>
  <c r="F106" i="42" s="1"/>
  <c r="N105" i="42"/>
  <c r="O105" i="42" s="1"/>
  <c r="L105" i="42"/>
  <c r="K105" i="42"/>
  <c r="H105" i="42"/>
  <c r="I105" i="42" s="1"/>
  <c r="E105" i="42"/>
  <c r="F105" i="42" s="1"/>
  <c r="O104" i="42"/>
  <c r="N104" i="42"/>
  <c r="L104" i="42"/>
  <c r="K104" i="42"/>
  <c r="H104" i="42"/>
  <c r="I104" i="42" s="1"/>
  <c r="E104" i="42"/>
  <c r="F104" i="42" s="1"/>
  <c r="N103" i="42"/>
  <c r="O103" i="42" s="1"/>
  <c r="L103" i="42"/>
  <c r="K103" i="42"/>
  <c r="H103" i="42"/>
  <c r="I103" i="42" s="1"/>
  <c r="E103" i="42"/>
  <c r="F103" i="42" s="1"/>
  <c r="O102" i="42"/>
  <c r="N102" i="42"/>
  <c r="L102" i="42"/>
  <c r="K102" i="42"/>
  <c r="I102" i="42"/>
  <c r="H102" i="42"/>
  <c r="E102" i="42"/>
  <c r="F102" i="42" s="1"/>
  <c r="N101" i="42"/>
  <c r="O101" i="42" s="1"/>
  <c r="K101" i="42"/>
  <c r="L101" i="42" s="1"/>
  <c r="H101" i="42"/>
  <c r="I101" i="42" s="1"/>
  <c r="E101" i="42"/>
  <c r="F101" i="42" s="1"/>
  <c r="O100" i="42"/>
  <c r="N100" i="42"/>
  <c r="K100" i="42"/>
  <c r="L100" i="42" s="1"/>
  <c r="H100" i="42"/>
  <c r="I100" i="42" s="1"/>
  <c r="E100" i="42"/>
  <c r="F100" i="42" s="1"/>
  <c r="O99" i="42"/>
  <c r="N99" i="42"/>
  <c r="K99" i="42"/>
  <c r="L99" i="42" s="1"/>
  <c r="H99" i="42"/>
  <c r="I99" i="42" s="1"/>
  <c r="E99" i="42"/>
  <c r="F99" i="42" s="1"/>
  <c r="N98" i="42"/>
  <c r="K98" i="42"/>
  <c r="K118" i="42" s="1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L36" i="42" s="1"/>
  <c r="I90" i="42"/>
  <c r="I36" i="42" s="1"/>
  <c r="H90" i="42"/>
  <c r="E90" i="42"/>
  <c r="E36" i="42" s="1"/>
  <c r="N89" i="42"/>
  <c r="O89" i="42" s="1"/>
  <c r="O35" i="42" s="1"/>
  <c r="K89" i="42"/>
  <c r="L89" i="42" s="1"/>
  <c r="L35" i="42" s="1"/>
  <c r="H89" i="42"/>
  <c r="H35" i="42" s="1"/>
  <c r="E89" i="42"/>
  <c r="F89" i="42" s="1"/>
  <c r="F35" i="42" s="1"/>
  <c r="N88" i="42"/>
  <c r="N34" i="42" s="1"/>
  <c r="K88" i="42"/>
  <c r="L88" i="42" s="1"/>
  <c r="L34" i="42" s="1"/>
  <c r="I88" i="42"/>
  <c r="H88" i="42"/>
  <c r="E88" i="42"/>
  <c r="E34" i="42" s="1"/>
  <c r="O87" i="42"/>
  <c r="N87" i="42"/>
  <c r="K87" i="42"/>
  <c r="L87" i="42" s="1"/>
  <c r="L33" i="42" s="1"/>
  <c r="H87" i="42"/>
  <c r="I87" i="42" s="1"/>
  <c r="I33" i="42" s="1"/>
  <c r="E87" i="42"/>
  <c r="F87" i="42" s="1"/>
  <c r="F33" i="42" s="1"/>
  <c r="N86" i="42"/>
  <c r="O86" i="42" s="1"/>
  <c r="O32" i="42" s="1"/>
  <c r="L86" i="42"/>
  <c r="K86" i="42"/>
  <c r="I86" i="42"/>
  <c r="I32" i="42" s="1"/>
  <c r="H86" i="42"/>
  <c r="E86" i="42"/>
  <c r="F86" i="42" s="1"/>
  <c r="F32" i="42" s="1"/>
  <c r="O85" i="42"/>
  <c r="N85" i="42"/>
  <c r="K85" i="42"/>
  <c r="L85" i="42" s="1"/>
  <c r="L31" i="42" s="1"/>
  <c r="H85" i="42"/>
  <c r="H31" i="42" s="1"/>
  <c r="E85" i="42"/>
  <c r="F85" i="42" s="1"/>
  <c r="F31" i="42" s="1"/>
  <c r="N84" i="42"/>
  <c r="O84" i="42" s="1"/>
  <c r="O30" i="42" s="1"/>
  <c r="K84" i="42"/>
  <c r="L84" i="42" s="1"/>
  <c r="L30" i="42" s="1"/>
  <c r="I84" i="42"/>
  <c r="H84" i="42"/>
  <c r="E84" i="42"/>
  <c r="F84" i="42" s="1"/>
  <c r="F30" i="42" s="1"/>
  <c r="O83" i="42"/>
  <c r="N83" i="42"/>
  <c r="L83" i="42"/>
  <c r="K83" i="42"/>
  <c r="H83" i="42"/>
  <c r="I83" i="42" s="1"/>
  <c r="I29" i="42" s="1"/>
  <c r="E83" i="42"/>
  <c r="F83" i="42" s="1"/>
  <c r="F29" i="42" s="1"/>
  <c r="N82" i="42"/>
  <c r="O82" i="42" s="1"/>
  <c r="O28" i="42" s="1"/>
  <c r="K82" i="42"/>
  <c r="L82" i="42" s="1"/>
  <c r="L28" i="42" s="1"/>
  <c r="I82" i="42"/>
  <c r="H82" i="42"/>
  <c r="E82" i="42"/>
  <c r="F82" i="42" s="1"/>
  <c r="F28" i="42" s="1"/>
  <c r="O81" i="42"/>
  <c r="N81" i="42"/>
  <c r="K81" i="42"/>
  <c r="L81" i="42" s="1"/>
  <c r="L27" i="42" s="1"/>
  <c r="H81" i="42"/>
  <c r="I81" i="42" s="1"/>
  <c r="I27" i="42" s="1"/>
  <c r="E81" i="42"/>
  <c r="F81" i="42" s="1"/>
  <c r="F27" i="42" s="1"/>
  <c r="O80" i="42"/>
  <c r="N80" i="42"/>
  <c r="K80" i="42"/>
  <c r="L80" i="42" s="1"/>
  <c r="L26" i="42" s="1"/>
  <c r="I80" i="42"/>
  <c r="H80" i="42"/>
  <c r="E80" i="42"/>
  <c r="F80" i="42" s="1"/>
  <c r="F26" i="42" s="1"/>
  <c r="N79" i="42"/>
  <c r="O79" i="42" s="1"/>
  <c r="O25" i="42" s="1"/>
  <c r="K79" i="42"/>
  <c r="L79" i="42" s="1"/>
  <c r="L25" i="42" s="1"/>
  <c r="H79" i="42"/>
  <c r="I79" i="42" s="1"/>
  <c r="I25" i="42" s="1"/>
  <c r="E79" i="42"/>
  <c r="F79" i="42" s="1"/>
  <c r="F25" i="42" s="1"/>
  <c r="O78" i="42"/>
  <c r="N78" i="42"/>
  <c r="L78" i="42"/>
  <c r="K78" i="42"/>
  <c r="I78" i="42"/>
  <c r="H78" i="42"/>
  <c r="E78" i="42"/>
  <c r="F78" i="42" s="1"/>
  <c r="F24" i="42" s="1"/>
  <c r="N77" i="42"/>
  <c r="O77" i="42" s="1"/>
  <c r="O23" i="42" s="1"/>
  <c r="K77" i="42"/>
  <c r="L77" i="42" s="1"/>
  <c r="L23" i="42" s="1"/>
  <c r="H77" i="42"/>
  <c r="I77" i="42" s="1"/>
  <c r="I23" i="42" s="1"/>
  <c r="E77" i="42"/>
  <c r="F77" i="42" s="1"/>
  <c r="F23" i="42" s="1"/>
  <c r="O76" i="42"/>
  <c r="N76" i="42"/>
  <c r="K76" i="42"/>
  <c r="L76" i="42" s="1"/>
  <c r="L22" i="42" s="1"/>
  <c r="I76" i="42"/>
  <c r="H76" i="42"/>
  <c r="E76" i="42"/>
  <c r="F76" i="42" s="1"/>
  <c r="F22" i="42" s="1"/>
  <c r="N75" i="42"/>
  <c r="O75" i="42" s="1"/>
  <c r="O21" i="42" s="1"/>
  <c r="L75" i="42"/>
  <c r="K75" i="42"/>
  <c r="H75" i="42"/>
  <c r="I75" i="42" s="1"/>
  <c r="I21" i="42" s="1"/>
  <c r="E75" i="42"/>
  <c r="F75" i="42" s="1"/>
  <c r="F21" i="42" s="1"/>
  <c r="O74" i="42"/>
  <c r="N74" i="42"/>
  <c r="K74" i="42"/>
  <c r="L74" i="42" s="1"/>
  <c r="L20" i="42" s="1"/>
  <c r="I74" i="42"/>
  <c r="H74" i="42"/>
  <c r="E74" i="42"/>
  <c r="F74" i="42" s="1"/>
  <c r="F20" i="42" s="1"/>
  <c r="N73" i="42"/>
  <c r="O73" i="42" s="1"/>
  <c r="O19" i="42" s="1"/>
  <c r="K73" i="42"/>
  <c r="L73" i="42" s="1"/>
  <c r="L19" i="42" s="1"/>
  <c r="H73" i="42"/>
  <c r="I73" i="42" s="1"/>
  <c r="I19" i="42" s="1"/>
  <c r="E73" i="42"/>
  <c r="F73" i="42" s="1"/>
  <c r="F19" i="42" s="1"/>
  <c r="N72" i="42"/>
  <c r="O72" i="42" s="1"/>
  <c r="O18" i="42" s="1"/>
  <c r="K72" i="42"/>
  <c r="L72" i="42" s="1"/>
  <c r="L18" i="42" s="1"/>
  <c r="I72" i="42"/>
  <c r="H72" i="42"/>
  <c r="E72" i="42"/>
  <c r="F72" i="42" s="1"/>
  <c r="F18" i="42" s="1"/>
  <c r="N71" i="42"/>
  <c r="K71" i="42"/>
  <c r="H71" i="42"/>
  <c r="E71" i="42"/>
  <c r="E91" i="42" s="1"/>
  <c r="M69" i="42"/>
  <c r="J69" i="42"/>
  <c r="G69" i="42"/>
  <c r="D69" i="42"/>
  <c r="B69" i="42"/>
  <c r="M68" i="42"/>
  <c r="G68" i="42"/>
  <c r="B64" i="42"/>
  <c r="N63" i="42"/>
  <c r="O63" i="42" s="1"/>
  <c r="L63" i="42"/>
  <c r="K63" i="42"/>
  <c r="H63" i="42"/>
  <c r="I63" i="42" s="1"/>
  <c r="E63" i="42"/>
  <c r="F63" i="42" s="1"/>
  <c r="O62" i="42"/>
  <c r="N62" i="42"/>
  <c r="K62" i="42"/>
  <c r="L62" i="42" s="1"/>
  <c r="H62" i="42"/>
  <c r="I62" i="42" s="1"/>
  <c r="E62" i="42"/>
  <c r="F62" i="42" s="1"/>
  <c r="N61" i="42"/>
  <c r="O61" i="42" s="1"/>
  <c r="L61" i="42"/>
  <c r="K61" i="42"/>
  <c r="I61" i="42"/>
  <c r="H61" i="42"/>
  <c r="E61" i="42"/>
  <c r="F61" i="42" s="1"/>
  <c r="O60" i="42"/>
  <c r="N60" i="42"/>
  <c r="L60" i="42"/>
  <c r="K60" i="42"/>
  <c r="I60" i="42"/>
  <c r="H60" i="42"/>
  <c r="E60" i="42"/>
  <c r="F60" i="42" s="1"/>
  <c r="N59" i="42"/>
  <c r="O59" i="42" s="1"/>
  <c r="K59" i="42"/>
  <c r="L59" i="42" s="1"/>
  <c r="H59" i="42"/>
  <c r="I59" i="42" s="1"/>
  <c r="E59" i="42"/>
  <c r="F59" i="42" s="1"/>
  <c r="O58" i="42"/>
  <c r="N58" i="42"/>
  <c r="L58" i="42"/>
  <c r="K58" i="42"/>
  <c r="H58" i="42"/>
  <c r="I58" i="42" s="1"/>
  <c r="E58" i="42"/>
  <c r="F58" i="42" s="1"/>
  <c r="N57" i="42"/>
  <c r="O57" i="42" s="1"/>
  <c r="K57" i="42"/>
  <c r="L57" i="42" s="1"/>
  <c r="I57" i="42"/>
  <c r="H57" i="42"/>
  <c r="E57" i="42"/>
  <c r="F57" i="42" s="1"/>
  <c r="O56" i="42"/>
  <c r="N56" i="42"/>
  <c r="K56" i="42"/>
  <c r="L56" i="42" s="1"/>
  <c r="I56" i="42"/>
  <c r="H56" i="42"/>
  <c r="E56" i="42"/>
  <c r="F56" i="42" s="1"/>
  <c r="N55" i="42"/>
  <c r="O55" i="42" s="1"/>
  <c r="L55" i="42"/>
  <c r="K55" i="42"/>
  <c r="H55" i="42"/>
  <c r="I55" i="42" s="1"/>
  <c r="E55" i="42"/>
  <c r="F55" i="42" s="1"/>
  <c r="O54" i="42"/>
  <c r="N54" i="42"/>
  <c r="K54" i="42"/>
  <c r="L54" i="42" s="1"/>
  <c r="H54" i="42"/>
  <c r="I54" i="42" s="1"/>
  <c r="E54" i="42"/>
  <c r="F54" i="42" s="1"/>
  <c r="N53" i="42"/>
  <c r="O53" i="42" s="1"/>
  <c r="L53" i="42"/>
  <c r="K53" i="42"/>
  <c r="I53" i="42"/>
  <c r="H53" i="42"/>
  <c r="E53" i="42"/>
  <c r="F53" i="42" s="1"/>
  <c r="O52" i="42"/>
  <c r="N52" i="42"/>
  <c r="L52" i="42"/>
  <c r="K52" i="42"/>
  <c r="I52" i="42"/>
  <c r="H52" i="42"/>
  <c r="E52" i="42"/>
  <c r="F52" i="42" s="1"/>
  <c r="N51" i="42"/>
  <c r="O51" i="42" s="1"/>
  <c r="K51" i="42"/>
  <c r="L51" i="42" s="1"/>
  <c r="I51" i="42"/>
  <c r="H51" i="42"/>
  <c r="E51" i="42"/>
  <c r="F51" i="42" s="1"/>
  <c r="N50" i="42"/>
  <c r="O50" i="42" s="1"/>
  <c r="K50" i="42"/>
  <c r="L50" i="42" s="1"/>
  <c r="H50" i="42"/>
  <c r="I50" i="42" s="1"/>
  <c r="E50" i="42"/>
  <c r="F50" i="42" s="1"/>
  <c r="N49" i="42"/>
  <c r="O49" i="42" s="1"/>
  <c r="L49" i="42"/>
  <c r="K49" i="42"/>
  <c r="I49" i="42"/>
  <c r="H49" i="42"/>
  <c r="E49" i="42"/>
  <c r="F49" i="42" s="1"/>
  <c r="N48" i="42"/>
  <c r="O48" i="42" s="1"/>
  <c r="K48" i="42"/>
  <c r="L48" i="42" s="1"/>
  <c r="I48" i="42"/>
  <c r="H48" i="42"/>
  <c r="E48" i="42"/>
  <c r="F48" i="42" s="1"/>
  <c r="N47" i="42"/>
  <c r="O47" i="42" s="1"/>
  <c r="K47" i="42"/>
  <c r="L47" i="42" s="1"/>
  <c r="I47" i="42"/>
  <c r="H47" i="42"/>
  <c r="E47" i="42"/>
  <c r="F47" i="42" s="1"/>
  <c r="N46" i="42"/>
  <c r="O46" i="42" s="1"/>
  <c r="L46" i="42"/>
  <c r="K46" i="42"/>
  <c r="H46" i="42"/>
  <c r="I46" i="42" s="1"/>
  <c r="E46" i="42"/>
  <c r="F46" i="42" s="1"/>
  <c r="N45" i="42"/>
  <c r="O45" i="42" s="1"/>
  <c r="K45" i="42"/>
  <c r="L45" i="42" s="1"/>
  <c r="I45" i="42"/>
  <c r="H45" i="42"/>
  <c r="E45" i="42"/>
  <c r="F45" i="42" s="1"/>
  <c r="N44" i="42"/>
  <c r="K44" i="42"/>
  <c r="I44" i="42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K36" i="42"/>
  <c r="J36" i="42"/>
  <c r="H36" i="42"/>
  <c r="G36" i="42"/>
  <c r="D36" i="42"/>
  <c r="C36" i="42"/>
  <c r="B36" i="42"/>
  <c r="N35" i="42"/>
  <c r="M35" i="42"/>
  <c r="K35" i="42"/>
  <c r="J35" i="42"/>
  <c r="G35" i="42"/>
  <c r="E35" i="42"/>
  <c r="D35" i="42"/>
  <c r="C35" i="42"/>
  <c r="B35" i="42"/>
  <c r="M34" i="42"/>
  <c r="K34" i="42"/>
  <c r="J34" i="42"/>
  <c r="I34" i="42"/>
  <c r="H34" i="42"/>
  <c r="G34" i="42"/>
  <c r="D34" i="42"/>
  <c r="C34" i="42"/>
  <c r="B34" i="42"/>
  <c r="O33" i="42"/>
  <c r="N33" i="42"/>
  <c r="M33" i="42"/>
  <c r="K33" i="42"/>
  <c r="J33" i="42"/>
  <c r="H33" i="42"/>
  <c r="G33" i="42"/>
  <c r="E33" i="42"/>
  <c r="D33" i="42"/>
  <c r="C33" i="42"/>
  <c r="B33" i="42"/>
  <c r="N32" i="42"/>
  <c r="M32" i="42"/>
  <c r="L32" i="42"/>
  <c r="K32" i="42"/>
  <c r="J32" i="42"/>
  <c r="H32" i="42"/>
  <c r="G32" i="42"/>
  <c r="E32" i="42"/>
  <c r="D32" i="42"/>
  <c r="C32" i="42"/>
  <c r="B32" i="42"/>
  <c r="O31" i="42"/>
  <c r="N31" i="42"/>
  <c r="M31" i="42"/>
  <c r="K31" i="42"/>
  <c r="J31" i="42"/>
  <c r="G31" i="42"/>
  <c r="E31" i="42"/>
  <c r="D31" i="42"/>
  <c r="C31" i="42"/>
  <c r="B31" i="42"/>
  <c r="N30" i="42"/>
  <c r="M30" i="42"/>
  <c r="K30" i="42"/>
  <c r="J30" i="42"/>
  <c r="I30" i="42"/>
  <c r="H30" i="42"/>
  <c r="G30" i="42"/>
  <c r="E30" i="42"/>
  <c r="D30" i="42"/>
  <c r="C30" i="42"/>
  <c r="B30" i="42"/>
  <c r="O29" i="42"/>
  <c r="N29" i="42"/>
  <c r="M29" i="42"/>
  <c r="L29" i="42"/>
  <c r="K29" i="42"/>
  <c r="J29" i="42"/>
  <c r="H29" i="42"/>
  <c r="G29" i="42"/>
  <c r="E29" i="42"/>
  <c r="D29" i="42"/>
  <c r="C29" i="42"/>
  <c r="B29" i="42"/>
  <c r="N28" i="42"/>
  <c r="M28" i="42"/>
  <c r="K28" i="42"/>
  <c r="J28" i="42"/>
  <c r="I28" i="42"/>
  <c r="H28" i="42"/>
  <c r="G28" i="42"/>
  <c r="E28" i="42"/>
  <c r="D28" i="42"/>
  <c r="C28" i="42"/>
  <c r="B28" i="42"/>
  <c r="O27" i="42"/>
  <c r="N27" i="42"/>
  <c r="M27" i="42"/>
  <c r="K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E26" i="42"/>
  <c r="D26" i="42"/>
  <c r="C26" i="42"/>
  <c r="B26" i="42"/>
  <c r="N25" i="42"/>
  <c r="M25" i="42"/>
  <c r="K25" i="42"/>
  <c r="J25" i="42"/>
  <c r="H25" i="42"/>
  <c r="G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E24" i="42"/>
  <c r="D24" i="42"/>
  <c r="C24" i="42"/>
  <c r="B24" i="42"/>
  <c r="N23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I22" i="42"/>
  <c r="H22" i="42"/>
  <c r="G22" i="42"/>
  <c r="E22" i="42"/>
  <c r="D22" i="42"/>
  <c r="C22" i="42"/>
  <c r="B22" i="42"/>
  <c r="N21" i="42"/>
  <c r="M21" i="42"/>
  <c r="L21" i="42"/>
  <c r="K21" i="42"/>
  <c r="J21" i="42"/>
  <c r="H21" i="42"/>
  <c r="G21" i="42"/>
  <c r="E21" i="42"/>
  <c r="D21" i="42"/>
  <c r="C21" i="42"/>
  <c r="B21" i="42"/>
  <c r="O20" i="42"/>
  <c r="N20" i="42"/>
  <c r="M20" i="42"/>
  <c r="K20" i="42"/>
  <c r="J20" i="42"/>
  <c r="I20" i="42"/>
  <c r="H20" i="42"/>
  <c r="G20" i="42"/>
  <c r="E20" i="42"/>
  <c r="D20" i="42"/>
  <c r="C20" i="42"/>
  <c r="B20" i="42"/>
  <c r="N19" i="42"/>
  <c r="M19" i="42"/>
  <c r="K19" i="42"/>
  <c r="J19" i="42"/>
  <c r="H19" i="42"/>
  <c r="G19" i="42"/>
  <c r="E19" i="42"/>
  <c r="D19" i="42"/>
  <c r="C19" i="42"/>
  <c r="B19" i="42"/>
  <c r="N18" i="42"/>
  <c r="M18" i="42"/>
  <c r="K18" i="42"/>
  <c r="J18" i="42"/>
  <c r="I18" i="42"/>
  <c r="H18" i="42"/>
  <c r="G18" i="42"/>
  <c r="E18" i="42"/>
  <c r="D18" i="42"/>
  <c r="C18" i="42"/>
  <c r="B18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O198" i="41"/>
  <c r="N198" i="41"/>
  <c r="L198" i="41"/>
  <c r="K198" i="41"/>
  <c r="H198" i="41"/>
  <c r="I198" i="41" s="1"/>
  <c r="F198" i="41"/>
  <c r="E198" i="41"/>
  <c r="O197" i="41"/>
  <c r="N197" i="41"/>
  <c r="L197" i="41"/>
  <c r="K197" i="41"/>
  <c r="I197" i="41"/>
  <c r="H197" i="41"/>
  <c r="F197" i="41"/>
  <c r="E197" i="41"/>
  <c r="N196" i="41"/>
  <c r="O196" i="41" s="1"/>
  <c r="K196" i="41"/>
  <c r="L196" i="41" s="1"/>
  <c r="I196" i="41"/>
  <c r="H196" i="41"/>
  <c r="F196" i="41"/>
  <c r="E196" i="41"/>
  <c r="O195" i="41"/>
  <c r="N195" i="41"/>
  <c r="L195" i="41"/>
  <c r="K195" i="41"/>
  <c r="I195" i="41"/>
  <c r="H195" i="41"/>
  <c r="F195" i="41"/>
  <c r="E195" i="41"/>
  <c r="O194" i="41"/>
  <c r="N194" i="41"/>
  <c r="L194" i="41"/>
  <c r="K194" i="41"/>
  <c r="I194" i="41"/>
  <c r="H194" i="41"/>
  <c r="F194" i="41"/>
  <c r="E194" i="41"/>
  <c r="O193" i="41"/>
  <c r="N193" i="41"/>
  <c r="L193" i="41"/>
  <c r="K193" i="41"/>
  <c r="I193" i="41"/>
  <c r="H193" i="41"/>
  <c r="F193" i="41"/>
  <c r="E193" i="41"/>
  <c r="N192" i="41"/>
  <c r="O192" i="41" s="1"/>
  <c r="K192" i="41"/>
  <c r="L192" i="41" s="1"/>
  <c r="I192" i="41"/>
  <c r="H192" i="41"/>
  <c r="F192" i="41"/>
  <c r="E192" i="41"/>
  <c r="N191" i="41"/>
  <c r="O191" i="41" s="1"/>
  <c r="K191" i="41"/>
  <c r="L191" i="41" s="1"/>
  <c r="I191" i="41"/>
  <c r="H191" i="41"/>
  <c r="F191" i="41"/>
  <c r="E191" i="41"/>
  <c r="O190" i="41"/>
  <c r="N190" i="41"/>
  <c r="K190" i="41"/>
  <c r="L190" i="41" s="1"/>
  <c r="I190" i="41"/>
  <c r="H190" i="41"/>
  <c r="F190" i="41"/>
  <c r="E190" i="41"/>
  <c r="N189" i="41"/>
  <c r="O189" i="41" s="1"/>
  <c r="K189" i="41"/>
  <c r="L189" i="41" s="1"/>
  <c r="I189" i="41"/>
  <c r="H189" i="41"/>
  <c r="F189" i="41"/>
  <c r="E189" i="41"/>
  <c r="N188" i="41"/>
  <c r="O188" i="41" s="1"/>
  <c r="K188" i="41"/>
  <c r="L188" i="41" s="1"/>
  <c r="I188" i="41"/>
  <c r="H188" i="41"/>
  <c r="F188" i="41"/>
  <c r="E188" i="41"/>
  <c r="N187" i="41"/>
  <c r="O187" i="41" s="1"/>
  <c r="K187" i="41"/>
  <c r="L187" i="41" s="1"/>
  <c r="I187" i="41"/>
  <c r="H187" i="41"/>
  <c r="F187" i="41"/>
  <c r="E187" i="41"/>
  <c r="O186" i="41"/>
  <c r="N186" i="41"/>
  <c r="L186" i="41"/>
  <c r="K186" i="41"/>
  <c r="I186" i="41"/>
  <c r="H186" i="41"/>
  <c r="F186" i="41"/>
  <c r="E186" i="41"/>
  <c r="O185" i="41"/>
  <c r="N185" i="41"/>
  <c r="K185" i="41"/>
  <c r="L185" i="41" s="1"/>
  <c r="I185" i="41"/>
  <c r="H185" i="41"/>
  <c r="F185" i="41"/>
  <c r="E185" i="41"/>
  <c r="N184" i="41"/>
  <c r="O184" i="41" s="1"/>
  <c r="K184" i="41"/>
  <c r="L184" i="41" s="1"/>
  <c r="I184" i="41"/>
  <c r="H184" i="41"/>
  <c r="F184" i="41"/>
  <c r="E184" i="41"/>
  <c r="N183" i="41"/>
  <c r="O183" i="41" s="1"/>
  <c r="K183" i="41"/>
  <c r="L183" i="41" s="1"/>
  <c r="I183" i="41"/>
  <c r="H183" i="41"/>
  <c r="F183" i="41"/>
  <c r="E183" i="41"/>
  <c r="N182" i="41"/>
  <c r="O182" i="41" s="1"/>
  <c r="K182" i="41"/>
  <c r="L182" i="41" s="1"/>
  <c r="I182" i="41"/>
  <c r="H182" i="41"/>
  <c r="F182" i="41"/>
  <c r="E182" i="41"/>
  <c r="O181" i="41"/>
  <c r="N181" i="41"/>
  <c r="K181" i="41"/>
  <c r="L181" i="41" s="1"/>
  <c r="I181" i="41"/>
  <c r="H181" i="41"/>
  <c r="F181" i="41"/>
  <c r="E181" i="41"/>
  <c r="N180" i="41"/>
  <c r="O180" i="41" s="1"/>
  <c r="K180" i="41"/>
  <c r="L180" i="41" s="1"/>
  <c r="H180" i="41"/>
  <c r="I180" i="41" s="1"/>
  <c r="F180" i="41"/>
  <c r="E180" i="41"/>
  <c r="N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N170" i="41"/>
  <c r="O170" i="41" s="1"/>
  <c r="K170" i="41"/>
  <c r="L170" i="41" s="1"/>
  <c r="H170" i="41"/>
  <c r="I170" i="41" s="1"/>
  <c r="F170" i="41"/>
  <c r="E170" i="41"/>
  <c r="N169" i="41"/>
  <c r="O169" i="41" s="1"/>
  <c r="L169" i="41"/>
  <c r="K169" i="41"/>
  <c r="H169" i="41"/>
  <c r="I169" i="41" s="1"/>
  <c r="F169" i="41"/>
  <c r="E169" i="41"/>
  <c r="O168" i="41"/>
  <c r="N168" i="4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N166" i="41"/>
  <c r="O166" i="41" s="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O163" i="41"/>
  <c r="N163" i="4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O160" i="41"/>
  <c r="N160" i="4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N158" i="41"/>
  <c r="O158" i="41" s="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O155" i="41"/>
  <c r="N155" i="4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N153" i="41"/>
  <c r="O153" i="41" s="1"/>
  <c r="L153" i="41"/>
  <c r="K153" i="41"/>
  <c r="H153" i="41"/>
  <c r="I153" i="41" s="1"/>
  <c r="F153" i="41"/>
  <c r="E153" i="41"/>
  <c r="O152" i="41"/>
  <c r="N152" i="41"/>
  <c r="K152" i="41"/>
  <c r="K172" i="41" s="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O140" i="41"/>
  <c r="N140" i="41"/>
  <c r="L140" i="41"/>
  <c r="K140" i="41"/>
  <c r="I140" i="41"/>
  <c r="H140" i="41"/>
  <c r="F140" i="41"/>
  <c r="E140" i="41"/>
  <c r="O139" i="41"/>
  <c r="N139" i="41"/>
  <c r="L139" i="41"/>
  <c r="K139" i="41"/>
  <c r="I139" i="41"/>
  <c r="H139" i="41"/>
  <c r="F139" i="41"/>
  <c r="E139" i="41"/>
  <c r="O138" i="41"/>
  <c r="N138" i="41"/>
  <c r="L138" i="41"/>
  <c r="K138" i="41"/>
  <c r="I138" i="41"/>
  <c r="H138" i="41"/>
  <c r="F138" i="41"/>
  <c r="E138" i="41"/>
  <c r="O137" i="41"/>
  <c r="N137" i="41"/>
  <c r="L137" i="41"/>
  <c r="K137" i="41"/>
  <c r="I137" i="41"/>
  <c r="H137" i="41"/>
  <c r="F137" i="41"/>
  <c r="E137" i="41"/>
  <c r="O136" i="41"/>
  <c r="N136" i="41"/>
  <c r="L136" i="41"/>
  <c r="K136" i="41"/>
  <c r="I136" i="41"/>
  <c r="H136" i="41"/>
  <c r="F136" i="41"/>
  <c r="E136" i="41"/>
  <c r="O135" i="41"/>
  <c r="N135" i="41"/>
  <c r="L135" i="41"/>
  <c r="K135" i="41"/>
  <c r="I135" i="41"/>
  <c r="H135" i="41"/>
  <c r="F135" i="41"/>
  <c r="E135" i="41"/>
  <c r="O134" i="41"/>
  <c r="N134" i="41"/>
  <c r="L134" i="41"/>
  <c r="K134" i="41"/>
  <c r="I134" i="41"/>
  <c r="H134" i="41"/>
  <c r="F134" i="41"/>
  <c r="E134" i="41"/>
  <c r="O133" i="41"/>
  <c r="N133" i="41"/>
  <c r="L133" i="41"/>
  <c r="K133" i="41"/>
  <c r="I133" i="41"/>
  <c r="H133" i="41"/>
  <c r="F133" i="41"/>
  <c r="E133" i="41"/>
  <c r="O132" i="41"/>
  <c r="N132" i="41"/>
  <c r="L132" i="41"/>
  <c r="K132" i="41"/>
  <c r="I132" i="41"/>
  <c r="H132" i="41"/>
  <c r="F132" i="41"/>
  <c r="E132" i="41"/>
  <c r="O131" i="41"/>
  <c r="N131" i="41"/>
  <c r="L131" i="41"/>
  <c r="K131" i="41"/>
  <c r="I131" i="41"/>
  <c r="H131" i="41"/>
  <c r="F131" i="41"/>
  <c r="E131" i="41"/>
  <c r="O130" i="41"/>
  <c r="N130" i="41"/>
  <c r="L130" i="41"/>
  <c r="K130" i="41"/>
  <c r="I130" i="41"/>
  <c r="H130" i="41"/>
  <c r="F130" i="41"/>
  <c r="E130" i="41"/>
  <c r="O129" i="41"/>
  <c r="N129" i="41"/>
  <c r="L129" i="41"/>
  <c r="K129" i="41"/>
  <c r="I129" i="41"/>
  <c r="H129" i="41"/>
  <c r="F129" i="41"/>
  <c r="E129" i="41"/>
  <c r="O128" i="41"/>
  <c r="N128" i="41"/>
  <c r="L128" i="41"/>
  <c r="K128" i="41"/>
  <c r="I128" i="41"/>
  <c r="H128" i="41"/>
  <c r="F128" i="41"/>
  <c r="E128" i="41"/>
  <c r="O127" i="41"/>
  <c r="N127" i="41"/>
  <c r="L127" i="41"/>
  <c r="K127" i="41"/>
  <c r="I127" i="41"/>
  <c r="H127" i="41"/>
  <c r="F127" i="41"/>
  <c r="E127" i="41"/>
  <c r="O126" i="41"/>
  <c r="N126" i="41"/>
  <c r="L126" i="41"/>
  <c r="K126" i="41"/>
  <c r="I126" i="41"/>
  <c r="H126" i="41"/>
  <c r="F126" i="41"/>
  <c r="E126" i="41"/>
  <c r="O125" i="41"/>
  <c r="O145" i="41" s="1"/>
  <c r="N125" i="41"/>
  <c r="N145" i="41" s="1"/>
  <c r="L125" i="41"/>
  <c r="L145" i="41" s="1"/>
  <c r="K125" i="41"/>
  <c r="K145" i="41" s="1"/>
  <c r="I125" i="41"/>
  <c r="I145" i="41" s="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O25" i="41" s="1"/>
  <c r="L117" i="41"/>
  <c r="K117" i="41"/>
  <c r="H117" i="41"/>
  <c r="I117" i="41" s="1"/>
  <c r="I25" i="41" s="1"/>
  <c r="F117" i="41"/>
  <c r="E117" i="41"/>
  <c r="N116" i="41"/>
  <c r="O116" i="41" s="1"/>
  <c r="O35" i="41" s="1"/>
  <c r="K116" i="41"/>
  <c r="L116" i="41" s="1"/>
  <c r="L35" i="41" s="1"/>
  <c r="H116" i="41"/>
  <c r="I116" i="41" s="1"/>
  <c r="I35" i="41" s="1"/>
  <c r="F116" i="41"/>
  <c r="F35" i="41" s="1"/>
  <c r="E116" i="41"/>
  <c r="N115" i="41"/>
  <c r="O115" i="41" s="1"/>
  <c r="O34" i="41" s="1"/>
  <c r="L115" i="41"/>
  <c r="K115" i="41"/>
  <c r="H115" i="41"/>
  <c r="H34" i="41" s="1"/>
  <c r="F115" i="41"/>
  <c r="E115" i="41"/>
  <c r="N114" i="41"/>
  <c r="O114" i="41" s="1"/>
  <c r="K114" i="41"/>
  <c r="L114" i="41" s="1"/>
  <c r="H114" i="41"/>
  <c r="I114" i="41" s="1"/>
  <c r="F114" i="41"/>
  <c r="E114" i="41"/>
  <c r="O113" i="41"/>
  <c r="O32" i="41" s="1"/>
  <c r="N113" i="41"/>
  <c r="K113" i="41"/>
  <c r="L113" i="41" s="1"/>
  <c r="L32" i="41" s="1"/>
  <c r="H113" i="41"/>
  <c r="I113" i="41" s="1"/>
  <c r="I32" i="41" s="1"/>
  <c r="F113" i="41"/>
  <c r="E113" i="41"/>
  <c r="N112" i="41"/>
  <c r="O112" i="41" s="1"/>
  <c r="O31" i="41" s="1"/>
  <c r="K112" i="41"/>
  <c r="L112" i="41" s="1"/>
  <c r="L31" i="41" s="1"/>
  <c r="H112" i="41"/>
  <c r="I112" i="41" s="1"/>
  <c r="I31" i="41" s="1"/>
  <c r="F112" i="41"/>
  <c r="E112" i="41"/>
  <c r="O111" i="41"/>
  <c r="N111" i="41"/>
  <c r="L111" i="41"/>
  <c r="K111" i="41"/>
  <c r="H111" i="41"/>
  <c r="I111" i="41" s="1"/>
  <c r="F111" i="41"/>
  <c r="E111" i="41"/>
  <c r="N110" i="41"/>
  <c r="O110" i="41" s="1"/>
  <c r="O29" i="41" s="1"/>
  <c r="K110" i="41"/>
  <c r="L110" i="41" s="1"/>
  <c r="L29" i="41" s="1"/>
  <c r="H110" i="41"/>
  <c r="I110" i="41" s="1"/>
  <c r="I29" i="41" s="1"/>
  <c r="F110" i="41"/>
  <c r="E110" i="41"/>
  <c r="N109" i="41"/>
  <c r="O109" i="41" s="1"/>
  <c r="O28" i="41" s="1"/>
  <c r="K109" i="41"/>
  <c r="L109" i="41" s="1"/>
  <c r="L28" i="41" s="1"/>
  <c r="H109" i="41"/>
  <c r="I109" i="41" s="1"/>
  <c r="I28" i="41" s="1"/>
  <c r="F109" i="41"/>
  <c r="E109" i="41"/>
  <c r="N108" i="41"/>
  <c r="O108" i="41" s="1"/>
  <c r="K108" i="41"/>
  <c r="L108" i="41" s="1"/>
  <c r="H108" i="41"/>
  <c r="I108" i="41" s="1"/>
  <c r="F108" i="41"/>
  <c r="E108" i="41"/>
  <c r="N107" i="41"/>
  <c r="O107" i="41" s="1"/>
  <c r="O26" i="41" s="1"/>
  <c r="L107" i="41"/>
  <c r="K107" i="41"/>
  <c r="H107" i="41"/>
  <c r="I107" i="41" s="1"/>
  <c r="I26" i="41" s="1"/>
  <c r="F107" i="41"/>
  <c r="E107" i="41"/>
  <c r="O106" i="41"/>
  <c r="O36" i="41" s="1"/>
  <c r="N106" i="41"/>
  <c r="N36" i="41" s="1"/>
  <c r="K106" i="41"/>
  <c r="K36" i="41" s="1"/>
  <c r="H106" i="41"/>
  <c r="I106" i="41" s="1"/>
  <c r="I36" i="41" s="1"/>
  <c r="F106" i="41"/>
  <c r="F36" i="41" s="1"/>
  <c r="E106" i="41"/>
  <c r="N105" i="41"/>
  <c r="O105" i="41" s="1"/>
  <c r="O24" i="41" s="1"/>
  <c r="L105" i="41"/>
  <c r="K105" i="41"/>
  <c r="H105" i="41"/>
  <c r="I105" i="41" s="1"/>
  <c r="I24" i="41" s="1"/>
  <c r="F105" i="41"/>
  <c r="E105" i="41"/>
  <c r="O104" i="41"/>
  <c r="N104" i="41"/>
  <c r="K104" i="41"/>
  <c r="L104" i="41" s="1"/>
  <c r="L23" i="41" s="1"/>
  <c r="H104" i="41"/>
  <c r="I104" i="41" s="1"/>
  <c r="I23" i="41" s="1"/>
  <c r="F104" i="41"/>
  <c r="E104" i="41"/>
  <c r="N103" i="41"/>
  <c r="N22" i="41" s="1"/>
  <c r="L103" i="41"/>
  <c r="K103" i="41"/>
  <c r="H103" i="41"/>
  <c r="I103" i="41" s="1"/>
  <c r="I22" i="41" s="1"/>
  <c r="F103" i="41"/>
  <c r="E103" i="41"/>
  <c r="N102" i="41"/>
  <c r="O102" i="41" s="1"/>
  <c r="K102" i="41"/>
  <c r="L102" i="41" s="1"/>
  <c r="H102" i="41"/>
  <c r="I102" i="41" s="1"/>
  <c r="F102" i="41"/>
  <c r="E102" i="41"/>
  <c r="O101" i="41"/>
  <c r="N101" i="41"/>
  <c r="L101" i="41"/>
  <c r="K101" i="41"/>
  <c r="H101" i="41"/>
  <c r="I101" i="41" s="1"/>
  <c r="I20" i="41" s="1"/>
  <c r="F101" i="41"/>
  <c r="E101" i="41"/>
  <c r="N100" i="41"/>
  <c r="O100" i="41" s="1"/>
  <c r="O19" i="41" s="1"/>
  <c r="K100" i="41"/>
  <c r="L100" i="41" s="1"/>
  <c r="L19" i="41" s="1"/>
  <c r="H100" i="41"/>
  <c r="I100" i="41" s="1"/>
  <c r="I19" i="41" s="1"/>
  <c r="F100" i="41"/>
  <c r="E100" i="41"/>
  <c r="O99" i="41"/>
  <c r="N99" i="41"/>
  <c r="L99" i="41"/>
  <c r="K99" i="41"/>
  <c r="H99" i="41"/>
  <c r="I99" i="41" s="1"/>
  <c r="I18" i="41" s="1"/>
  <c r="F99" i="41"/>
  <c r="E99" i="41"/>
  <c r="O98" i="41"/>
  <c r="N98" i="41"/>
  <c r="K98" i="41"/>
  <c r="K118" i="41" s="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F90" i="41"/>
  <c r="E90" i="41"/>
  <c r="O89" i="41"/>
  <c r="N89" i="41"/>
  <c r="K89" i="41"/>
  <c r="L89" i="41" s="1"/>
  <c r="H89" i="41"/>
  <c r="I89" i="41" s="1"/>
  <c r="F89" i="41"/>
  <c r="E89" i="41"/>
  <c r="N88" i="41"/>
  <c r="O88" i="41" s="1"/>
  <c r="L88" i="41"/>
  <c r="K88" i="41"/>
  <c r="H88" i="41"/>
  <c r="I88" i="41" s="1"/>
  <c r="F88" i="41"/>
  <c r="E88" i="41"/>
  <c r="O87" i="41"/>
  <c r="N87" i="41"/>
  <c r="K87" i="41"/>
  <c r="L87" i="41" s="1"/>
  <c r="H87" i="41"/>
  <c r="I87" i="41" s="1"/>
  <c r="F87" i="41"/>
  <c r="E87" i="41"/>
  <c r="O86" i="41"/>
  <c r="N86" i="41"/>
  <c r="L86" i="41"/>
  <c r="K86" i="41"/>
  <c r="H86" i="41"/>
  <c r="I86" i="41" s="1"/>
  <c r="F86" i="41"/>
  <c r="E86" i="41"/>
  <c r="N85" i="41"/>
  <c r="O85" i="41" s="1"/>
  <c r="K85" i="41"/>
  <c r="L85" i="41" s="1"/>
  <c r="H85" i="41"/>
  <c r="I85" i="41" s="1"/>
  <c r="F85" i="41"/>
  <c r="E85" i="41"/>
  <c r="O84" i="41"/>
  <c r="N84" i="41"/>
  <c r="L84" i="41"/>
  <c r="K84" i="41"/>
  <c r="H84" i="41"/>
  <c r="I84" i="41" s="1"/>
  <c r="F84" i="41"/>
  <c r="E84" i="41"/>
  <c r="O83" i="41"/>
  <c r="N83" i="41"/>
  <c r="K83" i="41"/>
  <c r="L83" i="41" s="1"/>
  <c r="H83" i="41"/>
  <c r="I83" i="41" s="1"/>
  <c r="F83" i="41"/>
  <c r="E83" i="41"/>
  <c r="O82" i="41"/>
  <c r="N82" i="41"/>
  <c r="L82" i="41"/>
  <c r="K82" i="41"/>
  <c r="H82" i="41"/>
  <c r="I82" i="41" s="1"/>
  <c r="F82" i="41"/>
  <c r="E82" i="41"/>
  <c r="O81" i="41"/>
  <c r="N81" i="41"/>
  <c r="K81" i="41"/>
  <c r="L81" i="41" s="1"/>
  <c r="H81" i="41"/>
  <c r="I81" i="41" s="1"/>
  <c r="F81" i="41"/>
  <c r="E81" i="41"/>
  <c r="N80" i="41"/>
  <c r="O80" i="41" s="1"/>
  <c r="L80" i="41"/>
  <c r="K80" i="41"/>
  <c r="H80" i="41"/>
  <c r="I80" i="41" s="1"/>
  <c r="F80" i="41"/>
  <c r="E80" i="41"/>
  <c r="O79" i="41"/>
  <c r="N79" i="41"/>
  <c r="K79" i="41"/>
  <c r="L79" i="41" s="1"/>
  <c r="H79" i="41"/>
  <c r="I79" i="41" s="1"/>
  <c r="F79" i="41"/>
  <c r="E79" i="41"/>
  <c r="O78" i="41"/>
  <c r="N78" i="41"/>
  <c r="L78" i="41"/>
  <c r="K78" i="41"/>
  <c r="H78" i="41"/>
  <c r="I78" i="41" s="1"/>
  <c r="F78" i="41"/>
  <c r="E78" i="41"/>
  <c r="N77" i="41"/>
  <c r="O77" i="41" s="1"/>
  <c r="K77" i="41"/>
  <c r="L77" i="41" s="1"/>
  <c r="H77" i="41"/>
  <c r="I77" i="41" s="1"/>
  <c r="F77" i="41"/>
  <c r="E77" i="41"/>
  <c r="O76" i="41"/>
  <c r="N76" i="41"/>
  <c r="L76" i="41"/>
  <c r="K76" i="41"/>
  <c r="H76" i="41"/>
  <c r="I76" i="41" s="1"/>
  <c r="F76" i="41"/>
  <c r="E76" i="41"/>
  <c r="O75" i="41"/>
  <c r="N75" i="41"/>
  <c r="K75" i="41"/>
  <c r="L75" i="41" s="1"/>
  <c r="H75" i="41"/>
  <c r="I75" i="41" s="1"/>
  <c r="F75" i="41"/>
  <c r="E75" i="41"/>
  <c r="O74" i="41"/>
  <c r="N74" i="41"/>
  <c r="L74" i="41"/>
  <c r="K74" i="41"/>
  <c r="H74" i="41"/>
  <c r="I74" i="41" s="1"/>
  <c r="F74" i="41"/>
  <c r="E74" i="41"/>
  <c r="O73" i="41"/>
  <c r="N73" i="41"/>
  <c r="K73" i="41"/>
  <c r="L73" i="41" s="1"/>
  <c r="L30" i="41" s="1"/>
  <c r="H73" i="41"/>
  <c r="I73" i="41" s="1"/>
  <c r="I30" i="41" s="1"/>
  <c r="F73" i="41"/>
  <c r="E73" i="41"/>
  <c r="N72" i="41"/>
  <c r="O72" i="41" s="1"/>
  <c r="L72" i="41"/>
  <c r="K72" i="41"/>
  <c r="H72" i="41"/>
  <c r="I72" i="41" s="1"/>
  <c r="F72" i="41"/>
  <c r="E72" i="41"/>
  <c r="O71" i="41"/>
  <c r="N71" i="41"/>
  <c r="K71" i="41"/>
  <c r="K91" i="41" s="1"/>
  <c r="H71" i="41"/>
  <c r="H91" i="41" s="1"/>
  <c r="F71" i="41"/>
  <c r="F91" i="41" s="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H63" i="41"/>
  <c r="I63" i="41" s="1"/>
  <c r="F63" i="41"/>
  <c r="E63" i="41"/>
  <c r="O62" i="41"/>
  <c r="N62" i="41"/>
  <c r="K62" i="41"/>
  <c r="L62" i="41" s="1"/>
  <c r="H62" i="41"/>
  <c r="I62" i="41" s="1"/>
  <c r="F62" i="41"/>
  <c r="E62" i="41"/>
  <c r="O61" i="41"/>
  <c r="N61" i="41"/>
  <c r="L61" i="41"/>
  <c r="K61" i="41"/>
  <c r="H61" i="41"/>
  <c r="I61" i="41" s="1"/>
  <c r="F61" i="41"/>
  <c r="E61" i="41"/>
  <c r="N60" i="41"/>
  <c r="O60" i="41" s="1"/>
  <c r="K60" i="41"/>
  <c r="L60" i="41" s="1"/>
  <c r="H60" i="41"/>
  <c r="I60" i="41" s="1"/>
  <c r="F60" i="41"/>
  <c r="E60" i="41"/>
  <c r="O59" i="41"/>
  <c r="N59" i="41"/>
  <c r="K59" i="41"/>
  <c r="L59" i="41" s="1"/>
  <c r="H59" i="41"/>
  <c r="I59" i="41" s="1"/>
  <c r="F59" i="41"/>
  <c r="E59" i="41"/>
  <c r="N58" i="41"/>
  <c r="O58" i="41" s="1"/>
  <c r="K58" i="41"/>
  <c r="L58" i="41" s="1"/>
  <c r="H58" i="41"/>
  <c r="I58" i="41" s="1"/>
  <c r="F58" i="41"/>
  <c r="E58" i="41"/>
  <c r="O57" i="41"/>
  <c r="N57" i="41"/>
  <c r="L57" i="41"/>
  <c r="K57" i="41"/>
  <c r="H57" i="41"/>
  <c r="I57" i="41" s="1"/>
  <c r="F57" i="41"/>
  <c r="E57" i="41"/>
  <c r="O56" i="41"/>
  <c r="N56" i="41"/>
  <c r="K56" i="41"/>
  <c r="L56" i="41" s="1"/>
  <c r="H56" i="41"/>
  <c r="I56" i="41" s="1"/>
  <c r="F56" i="41"/>
  <c r="E56" i="41"/>
  <c r="O55" i="41"/>
  <c r="N55" i="41"/>
  <c r="K55" i="41"/>
  <c r="L55" i="41" s="1"/>
  <c r="H55" i="41"/>
  <c r="I55" i="41" s="1"/>
  <c r="F55" i="41"/>
  <c r="E55" i="41"/>
  <c r="O54" i="41"/>
  <c r="N54" i="41"/>
  <c r="K54" i="41"/>
  <c r="L54" i="41" s="1"/>
  <c r="H54" i="41"/>
  <c r="I54" i="41" s="1"/>
  <c r="F54" i="41"/>
  <c r="E54" i="41"/>
  <c r="O53" i="41"/>
  <c r="N53" i="41"/>
  <c r="L53" i="41"/>
  <c r="K53" i="41"/>
  <c r="H53" i="41"/>
  <c r="I53" i="41" s="1"/>
  <c r="F53" i="41"/>
  <c r="E53" i="41"/>
  <c r="O52" i="41"/>
  <c r="N52" i="41"/>
  <c r="K52" i="41"/>
  <c r="L52" i="41" s="1"/>
  <c r="H52" i="41"/>
  <c r="I52" i="41" s="1"/>
  <c r="F52" i="41"/>
  <c r="E52" i="41"/>
  <c r="N51" i="41"/>
  <c r="O51" i="41" s="1"/>
  <c r="K51" i="41"/>
  <c r="L51" i="41" s="1"/>
  <c r="H51" i="41"/>
  <c r="I51" i="41" s="1"/>
  <c r="F51" i="41"/>
  <c r="E51" i="41"/>
  <c r="O50" i="41"/>
  <c r="N50" i="41"/>
  <c r="K50" i="41"/>
  <c r="L50" i="41" s="1"/>
  <c r="H50" i="41"/>
  <c r="I50" i="41" s="1"/>
  <c r="F50" i="41"/>
  <c r="E50" i="41"/>
  <c r="N49" i="41"/>
  <c r="O49" i="41" s="1"/>
  <c r="L49" i="41"/>
  <c r="K49" i="41"/>
  <c r="H49" i="41"/>
  <c r="I49" i="41" s="1"/>
  <c r="F49" i="41"/>
  <c r="E49" i="41"/>
  <c r="O48" i="41"/>
  <c r="N48" i="41"/>
  <c r="K48" i="41"/>
  <c r="L48" i="41" s="1"/>
  <c r="H48" i="41"/>
  <c r="I48" i="41" s="1"/>
  <c r="F48" i="41"/>
  <c r="E48" i="41"/>
  <c r="O47" i="41"/>
  <c r="N47" i="41"/>
  <c r="K47" i="41"/>
  <c r="L47" i="41" s="1"/>
  <c r="H47" i="41"/>
  <c r="I47" i="41" s="1"/>
  <c r="F47" i="41"/>
  <c r="E47" i="41"/>
  <c r="O46" i="41"/>
  <c r="N46" i="41"/>
  <c r="K46" i="41"/>
  <c r="L46" i="41" s="1"/>
  <c r="L33" i="41" s="1"/>
  <c r="H46" i="41"/>
  <c r="I46" i="41" s="1"/>
  <c r="I33" i="41" s="1"/>
  <c r="F46" i="41"/>
  <c r="E46" i="41"/>
  <c r="O45" i="41"/>
  <c r="N45" i="41"/>
  <c r="L45" i="41"/>
  <c r="L27" i="41" s="1"/>
  <c r="K45" i="41"/>
  <c r="H45" i="41"/>
  <c r="I45" i="41" s="1"/>
  <c r="I27" i="41" s="1"/>
  <c r="F45" i="41"/>
  <c r="E45" i="41"/>
  <c r="N44" i="41"/>
  <c r="N64" i="41" s="1"/>
  <c r="K44" i="41"/>
  <c r="K64" i="41" s="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M36" i="41"/>
  <c r="J36" i="41"/>
  <c r="H36" i="41"/>
  <c r="G36" i="41"/>
  <c r="E36" i="41"/>
  <c r="D36" i="41"/>
  <c r="C36" i="41"/>
  <c r="B36" i="41"/>
  <c r="N35" i="41"/>
  <c r="M35" i="41"/>
  <c r="K35" i="41"/>
  <c r="J35" i="41"/>
  <c r="H35" i="41"/>
  <c r="G35" i="41"/>
  <c r="E35" i="41"/>
  <c r="D35" i="41"/>
  <c r="C35" i="41"/>
  <c r="B35" i="41"/>
  <c r="M34" i="41"/>
  <c r="L34" i="41"/>
  <c r="K34" i="41"/>
  <c r="J34" i="41"/>
  <c r="G34" i="41"/>
  <c r="F34" i="41"/>
  <c r="E34" i="41"/>
  <c r="D34" i="41"/>
  <c r="C34" i="41"/>
  <c r="B34" i="41"/>
  <c r="O33" i="41"/>
  <c r="N33" i="41"/>
  <c r="M33" i="41"/>
  <c r="K33" i="41"/>
  <c r="J33" i="41"/>
  <c r="H33" i="41"/>
  <c r="G33" i="41"/>
  <c r="F33" i="41"/>
  <c r="E33" i="41"/>
  <c r="D33" i="41"/>
  <c r="C33" i="41"/>
  <c r="B33" i="41"/>
  <c r="N32" i="41"/>
  <c r="M32" i="41"/>
  <c r="K32" i="41"/>
  <c r="J32" i="41"/>
  <c r="H32" i="41"/>
  <c r="G32" i="41"/>
  <c r="F32" i="41"/>
  <c r="E32" i="41"/>
  <c r="D32" i="41"/>
  <c r="C32" i="41"/>
  <c r="B32" i="41"/>
  <c r="N31" i="41"/>
  <c r="M31" i="41"/>
  <c r="K31" i="41"/>
  <c r="J31" i="41"/>
  <c r="H31" i="41"/>
  <c r="G31" i="41"/>
  <c r="F31" i="41"/>
  <c r="E31" i="41"/>
  <c r="D31" i="41"/>
  <c r="C31" i="41"/>
  <c r="B31" i="41"/>
  <c r="O30" i="41"/>
  <c r="N30" i="41"/>
  <c r="M30" i="41"/>
  <c r="K30" i="41"/>
  <c r="J30" i="41"/>
  <c r="H30" i="41"/>
  <c r="G30" i="41"/>
  <c r="F30" i="41"/>
  <c r="E30" i="41"/>
  <c r="D30" i="41"/>
  <c r="C30" i="41"/>
  <c r="B30" i="41"/>
  <c r="M29" i="41"/>
  <c r="K29" i="41"/>
  <c r="J29" i="41"/>
  <c r="H29" i="41"/>
  <c r="G29" i="41"/>
  <c r="F29" i="41"/>
  <c r="E29" i="41"/>
  <c r="D29" i="41"/>
  <c r="C29" i="41"/>
  <c r="B29" i="41"/>
  <c r="N28" i="41"/>
  <c r="M28" i="41"/>
  <c r="K28" i="41"/>
  <c r="J28" i="41"/>
  <c r="H28" i="41"/>
  <c r="G28" i="41"/>
  <c r="F28" i="41"/>
  <c r="E28" i="41"/>
  <c r="D28" i="41"/>
  <c r="C28" i="41"/>
  <c r="B28" i="41"/>
  <c r="O27" i="41"/>
  <c r="N27" i="41"/>
  <c r="M27" i="41"/>
  <c r="K27" i="41"/>
  <c r="J27" i="41"/>
  <c r="H27" i="41"/>
  <c r="G27" i="41"/>
  <c r="F27" i="41"/>
  <c r="E27" i="41"/>
  <c r="D27" i="41"/>
  <c r="C27" i="41"/>
  <c r="B27" i="41"/>
  <c r="N26" i="41"/>
  <c r="M26" i="41"/>
  <c r="L26" i="41"/>
  <c r="K26" i="41"/>
  <c r="J26" i="41"/>
  <c r="H26" i="41"/>
  <c r="G26" i="41"/>
  <c r="F26" i="41"/>
  <c r="E26" i="41"/>
  <c r="D26" i="41"/>
  <c r="C26" i="41"/>
  <c r="B26" i="41"/>
  <c r="N25" i="41"/>
  <c r="M25" i="41"/>
  <c r="L25" i="41"/>
  <c r="K25" i="41"/>
  <c r="J25" i="41"/>
  <c r="H25" i="41"/>
  <c r="G25" i="41"/>
  <c r="F25" i="41"/>
  <c r="E25" i="41"/>
  <c r="D25" i="41"/>
  <c r="C25" i="41"/>
  <c r="B25" i="41"/>
  <c r="N24" i="41"/>
  <c r="M24" i="41"/>
  <c r="L24" i="41"/>
  <c r="K24" i="41"/>
  <c r="J24" i="41"/>
  <c r="H24" i="41"/>
  <c r="G24" i="41"/>
  <c r="F24" i="41"/>
  <c r="E24" i="41"/>
  <c r="D24" i="41"/>
  <c r="C24" i="41"/>
  <c r="B24" i="41"/>
  <c r="O23" i="41"/>
  <c r="N23" i="41"/>
  <c r="M23" i="41"/>
  <c r="K23" i="41"/>
  <c r="J23" i="41"/>
  <c r="H23" i="41"/>
  <c r="G23" i="41"/>
  <c r="F23" i="41"/>
  <c r="E23" i="41"/>
  <c r="D23" i="41"/>
  <c r="C23" i="41"/>
  <c r="B23" i="41"/>
  <c r="M22" i="41"/>
  <c r="L22" i="41"/>
  <c r="K22" i="41"/>
  <c r="J22" i="41"/>
  <c r="H22" i="41"/>
  <c r="G22" i="41"/>
  <c r="F22" i="41"/>
  <c r="E22" i="41"/>
  <c r="D22" i="41"/>
  <c r="C22" i="41"/>
  <c r="B22" i="41"/>
  <c r="O21" i="41"/>
  <c r="N21" i="41"/>
  <c r="M21" i="41"/>
  <c r="K21" i="41"/>
  <c r="J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H20" i="41"/>
  <c r="G20" i="41"/>
  <c r="F20" i="41"/>
  <c r="E20" i="41"/>
  <c r="D20" i="41"/>
  <c r="C20" i="41"/>
  <c r="B20" i="41"/>
  <c r="N19" i="41"/>
  <c r="M19" i="41"/>
  <c r="K19" i="41"/>
  <c r="J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H18" i="41"/>
  <c r="G18" i="41"/>
  <c r="F18" i="41"/>
  <c r="E18" i="41"/>
  <c r="D18" i="41"/>
  <c r="C18" i="41"/>
  <c r="B18" i="41"/>
  <c r="N17" i="41"/>
  <c r="M17" i="41"/>
  <c r="K17" i="41"/>
  <c r="J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K198" i="40"/>
  <c r="L198" i="40" s="1"/>
  <c r="H198" i="40"/>
  <c r="I198" i="40" s="1"/>
  <c r="E198" i="40"/>
  <c r="F198" i="40" s="1"/>
  <c r="N197" i="40"/>
  <c r="O197" i="40" s="1"/>
  <c r="K197" i="40"/>
  <c r="L197" i="40" s="1"/>
  <c r="H197" i="40"/>
  <c r="I197" i="40" s="1"/>
  <c r="E197" i="40"/>
  <c r="F197" i="40" s="1"/>
  <c r="N196" i="40"/>
  <c r="O196" i="40" s="1"/>
  <c r="K196" i="40"/>
  <c r="L196" i="40" s="1"/>
  <c r="H196" i="40"/>
  <c r="I196" i="40" s="1"/>
  <c r="E196" i="40"/>
  <c r="F196" i="40" s="1"/>
  <c r="O195" i="40"/>
  <c r="N195" i="40"/>
  <c r="K195" i="40"/>
  <c r="L195" i="40" s="1"/>
  <c r="H195" i="40"/>
  <c r="I195" i="40" s="1"/>
  <c r="E195" i="40"/>
  <c r="F195" i="40" s="1"/>
  <c r="N194" i="40"/>
  <c r="O194" i="40" s="1"/>
  <c r="K194" i="40"/>
  <c r="L194" i="40" s="1"/>
  <c r="H194" i="40"/>
  <c r="I194" i="40" s="1"/>
  <c r="E194" i="40"/>
  <c r="F194" i="40" s="1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E192" i="40"/>
  <c r="F192" i="40" s="1"/>
  <c r="N191" i="40"/>
  <c r="O191" i="40" s="1"/>
  <c r="K191" i="40"/>
  <c r="L191" i="40" s="1"/>
  <c r="H191" i="40"/>
  <c r="I191" i="40" s="1"/>
  <c r="F191" i="40"/>
  <c r="E191" i="40"/>
  <c r="N190" i="40"/>
  <c r="O190" i="40" s="1"/>
  <c r="K190" i="40"/>
  <c r="L190" i="40" s="1"/>
  <c r="H190" i="40"/>
  <c r="I190" i="40" s="1"/>
  <c r="E190" i="40"/>
  <c r="F190" i="40" s="1"/>
  <c r="O189" i="40"/>
  <c r="N189" i="40"/>
  <c r="K189" i="40"/>
  <c r="L189" i="40" s="1"/>
  <c r="H189" i="40"/>
  <c r="I189" i="40" s="1"/>
  <c r="E189" i="40"/>
  <c r="F189" i="40" s="1"/>
  <c r="O188" i="40"/>
  <c r="N188" i="40"/>
  <c r="K188" i="40"/>
  <c r="L188" i="40" s="1"/>
  <c r="H188" i="40"/>
  <c r="I188" i="40" s="1"/>
  <c r="E188" i="40"/>
  <c r="F188" i="40" s="1"/>
  <c r="N187" i="40"/>
  <c r="O187" i="40" s="1"/>
  <c r="K187" i="40"/>
  <c r="L187" i="40" s="1"/>
  <c r="H187" i="40"/>
  <c r="I187" i="40" s="1"/>
  <c r="E187" i="40"/>
  <c r="F187" i="40" s="1"/>
  <c r="N186" i="40"/>
  <c r="O186" i="40" s="1"/>
  <c r="K186" i="40"/>
  <c r="L186" i="40" s="1"/>
  <c r="H186" i="40"/>
  <c r="I186" i="40" s="1"/>
  <c r="E186" i="40"/>
  <c r="F186" i="40" s="1"/>
  <c r="O185" i="40"/>
  <c r="N185" i="40"/>
  <c r="K185" i="40"/>
  <c r="L185" i="40" s="1"/>
  <c r="H185" i="40"/>
  <c r="I185" i="40" s="1"/>
  <c r="E185" i="40"/>
  <c r="F185" i="40" s="1"/>
  <c r="O184" i="40"/>
  <c r="N184" i="40"/>
  <c r="K184" i="40"/>
  <c r="L184" i="40" s="1"/>
  <c r="H184" i="40"/>
  <c r="I184" i="40" s="1"/>
  <c r="E184" i="40"/>
  <c r="F184" i="40" s="1"/>
  <c r="N183" i="40"/>
  <c r="O183" i="40" s="1"/>
  <c r="K183" i="40"/>
  <c r="L183" i="40" s="1"/>
  <c r="H183" i="40"/>
  <c r="I183" i="40" s="1"/>
  <c r="E183" i="40"/>
  <c r="F183" i="40" s="1"/>
  <c r="N182" i="40"/>
  <c r="O182" i="40" s="1"/>
  <c r="K182" i="40"/>
  <c r="L182" i="40" s="1"/>
  <c r="H182" i="40"/>
  <c r="I182" i="40" s="1"/>
  <c r="E182" i="40"/>
  <c r="F182" i="40" s="1"/>
  <c r="O181" i="40"/>
  <c r="N181" i="40"/>
  <c r="K181" i="40"/>
  <c r="L181" i="40" s="1"/>
  <c r="H181" i="40"/>
  <c r="I181" i="40" s="1"/>
  <c r="E181" i="40"/>
  <c r="F181" i="40" s="1"/>
  <c r="O180" i="40"/>
  <c r="N180" i="40"/>
  <c r="K180" i="40"/>
  <c r="L180" i="40" s="1"/>
  <c r="H180" i="40"/>
  <c r="I180" i="40" s="1"/>
  <c r="E180" i="40"/>
  <c r="F180" i="40" s="1"/>
  <c r="N179" i="40"/>
  <c r="K179" i="40"/>
  <c r="L179" i="40" s="1"/>
  <c r="H179" i="40"/>
  <c r="E179" i="40"/>
  <c r="F179" i="40" s="1"/>
  <c r="M177" i="40"/>
  <c r="J177" i="40"/>
  <c r="G177" i="40"/>
  <c r="D177" i="40"/>
  <c r="B177" i="40"/>
  <c r="M176" i="40"/>
  <c r="G176" i="40"/>
  <c r="B172" i="40"/>
  <c r="F163" i="40" s="1"/>
  <c r="N171" i="40"/>
  <c r="O171" i="40" s="1"/>
  <c r="K171" i="40"/>
  <c r="H171" i="40"/>
  <c r="E171" i="40"/>
  <c r="O170" i="40"/>
  <c r="N170" i="40"/>
  <c r="K170" i="40"/>
  <c r="H170" i="40"/>
  <c r="E170" i="40"/>
  <c r="O169" i="40"/>
  <c r="N169" i="40"/>
  <c r="K169" i="40"/>
  <c r="H169" i="40"/>
  <c r="E169" i="40"/>
  <c r="N168" i="40"/>
  <c r="O168" i="40" s="1"/>
  <c r="K168" i="40"/>
  <c r="H168" i="40"/>
  <c r="E168" i="40"/>
  <c r="F168" i="40" s="1"/>
  <c r="N167" i="40"/>
  <c r="O167" i="40" s="1"/>
  <c r="K167" i="40"/>
  <c r="H167" i="40"/>
  <c r="I167" i="40" s="1"/>
  <c r="E167" i="40"/>
  <c r="O166" i="40"/>
  <c r="N166" i="40"/>
  <c r="K166" i="40"/>
  <c r="H166" i="40"/>
  <c r="E166" i="40"/>
  <c r="N165" i="40"/>
  <c r="O165" i="40" s="1"/>
  <c r="K165" i="40"/>
  <c r="H165" i="40"/>
  <c r="E165" i="40"/>
  <c r="O164" i="40"/>
  <c r="N164" i="40"/>
  <c r="K164" i="40"/>
  <c r="H164" i="40"/>
  <c r="E164" i="40"/>
  <c r="N163" i="40"/>
  <c r="O163" i="40" s="1"/>
  <c r="K163" i="40"/>
  <c r="H163" i="40"/>
  <c r="E163" i="40"/>
  <c r="O162" i="40"/>
  <c r="N162" i="40"/>
  <c r="K162" i="40"/>
  <c r="H162" i="40"/>
  <c r="E162" i="40"/>
  <c r="O161" i="40"/>
  <c r="N161" i="40"/>
  <c r="K161" i="40"/>
  <c r="H161" i="40"/>
  <c r="F161" i="40"/>
  <c r="E161" i="40"/>
  <c r="N160" i="40"/>
  <c r="O160" i="40" s="1"/>
  <c r="L160" i="40"/>
  <c r="K160" i="40"/>
  <c r="H160" i="40"/>
  <c r="E160" i="40"/>
  <c r="O159" i="40"/>
  <c r="N159" i="40"/>
  <c r="K159" i="40"/>
  <c r="H159" i="40"/>
  <c r="E159" i="40"/>
  <c r="O158" i="40"/>
  <c r="N158" i="40"/>
  <c r="K158" i="40"/>
  <c r="H158" i="40"/>
  <c r="E158" i="40"/>
  <c r="N157" i="40"/>
  <c r="O157" i="40" s="1"/>
  <c r="K157" i="40"/>
  <c r="H157" i="40"/>
  <c r="E157" i="40"/>
  <c r="O156" i="40"/>
  <c r="N156" i="40"/>
  <c r="K156" i="40"/>
  <c r="H156" i="40"/>
  <c r="E156" i="40"/>
  <c r="O155" i="40"/>
  <c r="N155" i="40"/>
  <c r="K155" i="40"/>
  <c r="H155" i="40"/>
  <c r="E155" i="40"/>
  <c r="O154" i="40"/>
  <c r="N154" i="40"/>
  <c r="K154" i="40"/>
  <c r="H154" i="40"/>
  <c r="E154" i="40"/>
  <c r="N153" i="40"/>
  <c r="O153" i="40" s="1"/>
  <c r="K153" i="40"/>
  <c r="H153" i="40"/>
  <c r="E153" i="40"/>
  <c r="O152" i="40"/>
  <c r="N152" i="40"/>
  <c r="K152" i="40"/>
  <c r="H152" i="40"/>
  <c r="E152" i="40"/>
  <c r="M150" i="40"/>
  <c r="J150" i="40"/>
  <c r="G150" i="40"/>
  <c r="D150" i="40"/>
  <c r="B150" i="40"/>
  <c r="M149" i="40"/>
  <c r="G149" i="40"/>
  <c r="B145" i="40"/>
  <c r="N144" i="40"/>
  <c r="O144" i="40" s="1"/>
  <c r="K144" i="40"/>
  <c r="L144" i="40" s="1"/>
  <c r="H144" i="40"/>
  <c r="I144" i="40" s="1"/>
  <c r="E144" i="40"/>
  <c r="F144" i="40" s="1"/>
  <c r="N143" i="40"/>
  <c r="O143" i="40" s="1"/>
  <c r="K143" i="40"/>
  <c r="L143" i="40" s="1"/>
  <c r="H143" i="40"/>
  <c r="I143" i="40" s="1"/>
  <c r="F143" i="40"/>
  <c r="E143" i="40"/>
  <c r="O142" i="40"/>
  <c r="N142" i="40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I140" i="40"/>
  <c r="H140" i="40"/>
  <c r="E140" i="40"/>
  <c r="F140" i="40" s="1"/>
  <c r="N139" i="40"/>
  <c r="O139" i="40" s="1"/>
  <c r="K139" i="40"/>
  <c r="L139" i="40" s="1"/>
  <c r="H139" i="40"/>
  <c r="I139" i="40" s="1"/>
  <c r="F139" i="40"/>
  <c r="E139" i="40"/>
  <c r="O138" i="40"/>
  <c r="N138" i="40"/>
  <c r="K138" i="40"/>
  <c r="L138" i="40" s="1"/>
  <c r="H138" i="40"/>
  <c r="I138" i="40" s="1"/>
  <c r="E138" i="40"/>
  <c r="F138" i="40" s="1"/>
  <c r="N137" i="40"/>
  <c r="O137" i="40" s="1"/>
  <c r="K137" i="40"/>
  <c r="L137" i="40" s="1"/>
  <c r="H137" i="40"/>
  <c r="I137" i="40" s="1"/>
  <c r="E137" i="40"/>
  <c r="F137" i="40" s="1"/>
  <c r="N136" i="40"/>
  <c r="O136" i="40" s="1"/>
  <c r="K136" i="40"/>
  <c r="L136" i="40" s="1"/>
  <c r="H136" i="40"/>
  <c r="I136" i="40" s="1"/>
  <c r="F136" i="40"/>
  <c r="E136" i="40"/>
  <c r="O135" i="40"/>
  <c r="N135" i="40"/>
  <c r="K135" i="40"/>
  <c r="L135" i="40" s="1"/>
  <c r="H135" i="40"/>
  <c r="I135" i="40" s="1"/>
  <c r="E135" i="40"/>
  <c r="F135" i="40" s="1"/>
  <c r="N134" i="40"/>
  <c r="O134" i="40" s="1"/>
  <c r="O18" i="40" s="1"/>
  <c r="K134" i="40"/>
  <c r="L134" i="40" s="1"/>
  <c r="L18" i="40" s="1"/>
  <c r="H134" i="40"/>
  <c r="I134" i="40" s="1"/>
  <c r="E134" i="40"/>
  <c r="F134" i="40" s="1"/>
  <c r="F18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I132" i="40"/>
  <c r="H132" i="40"/>
  <c r="E132" i="40"/>
  <c r="F132" i="40" s="1"/>
  <c r="O131" i="40"/>
  <c r="N131" i="40"/>
  <c r="K131" i="40"/>
  <c r="L131" i="40" s="1"/>
  <c r="H131" i="40"/>
  <c r="I131" i="40" s="1"/>
  <c r="F131" i="40"/>
  <c r="E131" i="40"/>
  <c r="N130" i="40"/>
  <c r="O130" i="40" s="1"/>
  <c r="O19" i="40" s="1"/>
  <c r="K130" i="40"/>
  <c r="L130" i="40" s="1"/>
  <c r="L19" i="40" s="1"/>
  <c r="H130" i="40"/>
  <c r="I130" i="40" s="1"/>
  <c r="I19" i="40" s="1"/>
  <c r="E130" i="40"/>
  <c r="O129" i="40"/>
  <c r="N129" i="40"/>
  <c r="K129" i="40"/>
  <c r="L129" i="40" s="1"/>
  <c r="H129" i="40"/>
  <c r="I129" i="40" s="1"/>
  <c r="E129" i="40"/>
  <c r="F129" i="40" s="1"/>
  <c r="O128" i="40"/>
  <c r="N128" i="40"/>
  <c r="K128" i="40"/>
  <c r="L128" i="40" s="1"/>
  <c r="H128" i="40"/>
  <c r="I128" i="40" s="1"/>
  <c r="E128" i="40"/>
  <c r="F128" i="40" s="1"/>
  <c r="N127" i="40"/>
  <c r="O127" i="40" s="1"/>
  <c r="K127" i="40"/>
  <c r="L127" i="40" s="1"/>
  <c r="H127" i="40"/>
  <c r="I127" i="40" s="1"/>
  <c r="E127" i="40"/>
  <c r="F127" i="40" s="1"/>
  <c r="N126" i="40"/>
  <c r="O126" i="40" s="1"/>
  <c r="K126" i="40"/>
  <c r="L126" i="40" s="1"/>
  <c r="I126" i="40"/>
  <c r="H126" i="40"/>
  <c r="E126" i="40"/>
  <c r="F126" i="40" s="1"/>
  <c r="O125" i="40"/>
  <c r="N125" i="40"/>
  <c r="K125" i="40"/>
  <c r="L125" i="40" s="1"/>
  <c r="H125" i="40"/>
  <c r="E125" i="40"/>
  <c r="M123" i="40"/>
  <c r="J123" i="40"/>
  <c r="G123" i="40"/>
  <c r="D123" i="40"/>
  <c r="B123" i="40"/>
  <c r="M122" i="40"/>
  <c r="G122" i="40"/>
  <c r="B118" i="40"/>
  <c r="L117" i="40" s="1"/>
  <c r="N117" i="40"/>
  <c r="O117" i="40" s="1"/>
  <c r="K117" i="40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O115" i="40"/>
  <c r="N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N113" i="40"/>
  <c r="O113" i="40" s="1"/>
  <c r="K113" i="40"/>
  <c r="H113" i="40"/>
  <c r="I113" i="40" s="1"/>
  <c r="E113" i="40"/>
  <c r="F113" i="40" s="1"/>
  <c r="N112" i="40"/>
  <c r="O112" i="40" s="1"/>
  <c r="K112" i="40"/>
  <c r="L112" i="40" s="1"/>
  <c r="H112" i="40"/>
  <c r="E112" i="40"/>
  <c r="F112" i="40" s="1"/>
  <c r="O111" i="40"/>
  <c r="N111" i="40"/>
  <c r="K111" i="40"/>
  <c r="L111" i="40" s="1"/>
  <c r="H111" i="40"/>
  <c r="I111" i="40" s="1"/>
  <c r="E111" i="40"/>
  <c r="O110" i="40"/>
  <c r="N110" i="40"/>
  <c r="K110" i="40"/>
  <c r="L110" i="40" s="1"/>
  <c r="H110" i="40"/>
  <c r="E110" i="40"/>
  <c r="F110" i="40" s="1"/>
  <c r="N109" i="40"/>
  <c r="O109" i="40" s="1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O107" i="40"/>
  <c r="N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F106" i="40"/>
  <c r="E106" i="40"/>
  <c r="N105" i="40"/>
  <c r="O105" i="40" s="1"/>
  <c r="L105" i="40"/>
  <c r="K105" i="40"/>
  <c r="H105" i="40"/>
  <c r="I105" i="40" s="1"/>
  <c r="E105" i="40"/>
  <c r="F105" i="40" s="1"/>
  <c r="O104" i="40"/>
  <c r="N104" i="40"/>
  <c r="K104" i="40"/>
  <c r="L104" i="40" s="1"/>
  <c r="H104" i="40"/>
  <c r="I104" i="40" s="1"/>
  <c r="E104" i="40"/>
  <c r="N103" i="40"/>
  <c r="O103" i="40" s="1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O101" i="40"/>
  <c r="N101" i="40"/>
  <c r="K101" i="40"/>
  <c r="H101" i="40"/>
  <c r="I101" i="40" s="1"/>
  <c r="E101" i="40"/>
  <c r="F101" i="40" s="1"/>
  <c r="O100" i="40"/>
  <c r="N100" i="40"/>
  <c r="K100" i="40"/>
  <c r="L100" i="40" s="1"/>
  <c r="H100" i="40"/>
  <c r="I100" i="40" s="1"/>
  <c r="E100" i="40"/>
  <c r="N99" i="40"/>
  <c r="O99" i="40" s="1"/>
  <c r="K99" i="40"/>
  <c r="H99" i="40"/>
  <c r="I99" i="40" s="1"/>
  <c r="E99" i="40"/>
  <c r="F99" i="40" s="1"/>
  <c r="N98" i="40"/>
  <c r="O98" i="40" s="1"/>
  <c r="K98" i="40"/>
  <c r="L98" i="40" s="1"/>
  <c r="H98" i="40"/>
  <c r="E98" i="40"/>
  <c r="M96" i="40"/>
  <c r="J96" i="40"/>
  <c r="G96" i="40"/>
  <c r="D96" i="40"/>
  <c r="B96" i="40"/>
  <c r="M95" i="40"/>
  <c r="G95" i="40"/>
  <c r="B91" i="40"/>
  <c r="L77" i="40" s="1"/>
  <c r="O90" i="40"/>
  <c r="N90" i="40"/>
  <c r="K90" i="40"/>
  <c r="H90" i="40"/>
  <c r="I90" i="40" s="1"/>
  <c r="E90" i="40"/>
  <c r="O89" i="40"/>
  <c r="N89" i="40"/>
  <c r="K89" i="40"/>
  <c r="L89" i="40" s="1"/>
  <c r="H89" i="40"/>
  <c r="E89" i="40"/>
  <c r="O88" i="40"/>
  <c r="N88" i="40"/>
  <c r="K88" i="40"/>
  <c r="H88" i="40"/>
  <c r="H20" i="40" s="1"/>
  <c r="E88" i="40"/>
  <c r="N87" i="40"/>
  <c r="O87" i="40" s="1"/>
  <c r="K87" i="40"/>
  <c r="H87" i="40"/>
  <c r="E87" i="40"/>
  <c r="O86" i="40"/>
  <c r="N86" i="40"/>
  <c r="K86" i="40"/>
  <c r="H86" i="40"/>
  <c r="E86" i="40"/>
  <c r="O85" i="40"/>
  <c r="N85" i="40"/>
  <c r="K85" i="40"/>
  <c r="H85" i="40"/>
  <c r="E85" i="40"/>
  <c r="N84" i="40"/>
  <c r="O84" i="40" s="1"/>
  <c r="K84" i="40"/>
  <c r="H84" i="40"/>
  <c r="E84" i="40"/>
  <c r="N83" i="40"/>
  <c r="O83" i="40" s="1"/>
  <c r="K83" i="40"/>
  <c r="H83" i="40"/>
  <c r="E83" i="40"/>
  <c r="O82" i="40"/>
  <c r="N82" i="40"/>
  <c r="K82" i="40"/>
  <c r="H82" i="40"/>
  <c r="E82" i="40"/>
  <c r="O81" i="40"/>
  <c r="N81" i="40"/>
  <c r="K81" i="40"/>
  <c r="L81" i="40" s="1"/>
  <c r="H81" i="40"/>
  <c r="E81" i="40"/>
  <c r="O80" i="40"/>
  <c r="N80" i="40"/>
  <c r="K80" i="40"/>
  <c r="H80" i="40"/>
  <c r="E80" i="40"/>
  <c r="N79" i="40"/>
  <c r="O79" i="40" s="1"/>
  <c r="K79" i="40"/>
  <c r="H79" i="40"/>
  <c r="E79" i="40"/>
  <c r="O78" i="40"/>
  <c r="N78" i="40"/>
  <c r="K78" i="40"/>
  <c r="H78" i="40"/>
  <c r="E78" i="40"/>
  <c r="O77" i="40"/>
  <c r="N77" i="40"/>
  <c r="K77" i="40"/>
  <c r="H77" i="40"/>
  <c r="E77" i="40"/>
  <c r="O76" i="40"/>
  <c r="N76" i="40"/>
  <c r="K76" i="40"/>
  <c r="H76" i="40"/>
  <c r="E76" i="40"/>
  <c r="N75" i="40"/>
  <c r="O75" i="40" s="1"/>
  <c r="K75" i="40"/>
  <c r="H75" i="40"/>
  <c r="E75" i="40"/>
  <c r="O74" i="40"/>
  <c r="N74" i="40"/>
  <c r="K74" i="40"/>
  <c r="H74" i="40"/>
  <c r="E74" i="40"/>
  <c r="O73" i="40"/>
  <c r="N73" i="40"/>
  <c r="K73" i="40"/>
  <c r="H73" i="40"/>
  <c r="E73" i="40"/>
  <c r="O72" i="40"/>
  <c r="N72" i="40"/>
  <c r="K72" i="40"/>
  <c r="H72" i="40"/>
  <c r="E72" i="40"/>
  <c r="N71" i="40"/>
  <c r="O71" i="40" s="1"/>
  <c r="L71" i="40"/>
  <c r="K71" i="40"/>
  <c r="H71" i="40"/>
  <c r="E71" i="40"/>
  <c r="M69" i="40"/>
  <c r="J69" i="40"/>
  <c r="G69" i="40"/>
  <c r="D69" i="40"/>
  <c r="B69" i="40"/>
  <c r="M68" i="40"/>
  <c r="G68" i="40"/>
  <c r="B64" i="40"/>
  <c r="F62" i="40" s="1"/>
  <c r="O63" i="40"/>
  <c r="N63" i="40"/>
  <c r="K63" i="40"/>
  <c r="H63" i="40"/>
  <c r="I63" i="40" s="1"/>
  <c r="E63" i="40"/>
  <c r="F63" i="40" s="1"/>
  <c r="N62" i="40"/>
  <c r="O62" i="40" s="1"/>
  <c r="K62" i="40"/>
  <c r="L62" i="40" s="1"/>
  <c r="H62" i="40"/>
  <c r="I62" i="40" s="1"/>
  <c r="E62" i="40"/>
  <c r="N61" i="40"/>
  <c r="O61" i="40" s="1"/>
  <c r="K61" i="40"/>
  <c r="H61" i="40"/>
  <c r="E61" i="40"/>
  <c r="F61" i="40" s="1"/>
  <c r="O60" i="40"/>
  <c r="N60" i="40"/>
  <c r="K60" i="40"/>
  <c r="H60" i="40"/>
  <c r="I60" i="40" s="1"/>
  <c r="E60" i="40"/>
  <c r="O59" i="40"/>
  <c r="N59" i="40"/>
  <c r="K59" i="40"/>
  <c r="H59" i="40"/>
  <c r="E59" i="40"/>
  <c r="F59" i="40" s="1"/>
  <c r="N58" i="40"/>
  <c r="O58" i="40" s="1"/>
  <c r="K58" i="40"/>
  <c r="H58" i="40"/>
  <c r="I58" i="40" s="1"/>
  <c r="F58" i="40"/>
  <c r="E58" i="40"/>
  <c r="O57" i="40"/>
  <c r="N57" i="40"/>
  <c r="L57" i="40"/>
  <c r="K57" i="40"/>
  <c r="H57" i="40"/>
  <c r="E57" i="40"/>
  <c r="F57" i="40" s="1"/>
  <c r="N56" i="40"/>
  <c r="O56" i="40" s="1"/>
  <c r="K56" i="40"/>
  <c r="H56" i="40"/>
  <c r="I56" i="40" s="1"/>
  <c r="F56" i="40"/>
  <c r="E56" i="40"/>
  <c r="O55" i="40"/>
  <c r="N55" i="40"/>
  <c r="K55" i="40"/>
  <c r="L55" i="40" s="1"/>
  <c r="H55" i="40"/>
  <c r="E55" i="40"/>
  <c r="F55" i="40" s="1"/>
  <c r="O54" i="40"/>
  <c r="N54" i="40"/>
  <c r="K54" i="40"/>
  <c r="H54" i="40"/>
  <c r="I54" i="40" s="1"/>
  <c r="E54" i="40"/>
  <c r="N53" i="40"/>
  <c r="O53" i="40" s="1"/>
  <c r="K53" i="40"/>
  <c r="H53" i="40"/>
  <c r="E53" i="40"/>
  <c r="F53" i="40" s="1"/>
  <c r="N52" i="40"/>
  <c r="O52" i="40" s="1"/>
  <c r="K52" i="40"/>
  <c r="H52" i="40"/>
  <c r="I52" i="40" s="1"/>
  <c r="E52" i="40"/>
  <c r="O51" i="40"/>
  <c r="N51" i="40"/>
  <c r="K51" i="40"/>
  <c r="H51" i="40"/>
  <c r="E51" i="40"/>
  <c r="F51" i="40" s="1"/>
  <c r="O50" i="40"/>
  <c r="O17" i="40" s="1"/>
  <c r="N50" i="40"/>
  <c r="K50" i="40"/>
  <c r="K17" i="40" s="1"/>
  <c r="H50" i="40"/>
  <c r="I50" i="40" s="1"/>
  <c r="I17" i="40" s="1"/>
  <c r="F50" i="40"/>
  <c r="F17" i="40" s="1"/>
  <c r="E50" i="40"/>
  <c r="N49" i="40"/>
  <c r="O49" i="40" s="1"/>
  <c r="K49" i="40"/>
  <c r="L49" i="40" s="1"/>
  <c r="H49" i="40"/>
  <c r="E49" i="40"/>
  <c r="O48" i="40"/>
  <c r="N48" i="40"/>
  <c r="K48" i="40"/>
  <c r="H48" i="40"/>
  <c r="E48" i="40"/>
  <c r="F48" i="40" s="1"/>
  <c r="O47" i="40"/>
  <c r="N47" i="40"/>
  <c r="K47" i="40"/>
  <c r="L47" i="40" s="1"/>
  <c r="H47" i="40"/>
  <c r="E47" i="40"/>
  <c r="N46" i="40"/>
  <c r="O46" i="40" s="1"/>
  <c r="K46" i="40"/>
  <c r="H46" i="40"/>
  <c r="E46" i="40"/>
  <c r="F46" i="40" s="1"/>
  <c r="N45" i="40"/>
  <c r="O45" i="40" s="1"/>
  <c r="K45" i="40"/>
  <c r="L45" i="40" s="1"/>
  <c r="H45" i="40"/>
  <c r="I45" i="40" s="1"/>
  <c r="E45" i="40"/>
  <c r="O44" i="40"/>
  <c r="N44" i="40"/>
  <c r="K44" i="40"/>
  <c r="L44" i="40" s="1"/>
  <c r="H44" i="40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K20" i="40"/>
  <c r="J20" i="40"/>
  <c r="G20" i="40"/>
  <c r="D20" i="40"/>
  <c r="C20" i="40"/>
  <c r="B20" i="40"/>
  <c r="N19" i="40"/>
  <c r="M19" i="40"/>
  <c r="K19" i="40"/>
  <c r="J19" i="40"/>
  <c r="H19" i="40"/>
  <c r="G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E198" i="39"/>
  <c r="F198" i="39" s="1"/>
  <c r="N197" i="39"/>
  <c r="O197" i="39" s="1"/>
  <c r="K197" i="39"/>
  <c r="L197" i="39" s="1"/>
  <c r="H197" i="39"/>
  <c r="I197" i="39" s="1"/>
  <c r="E197" i="39"/>
  <c r="F197" i="39" s="1"/>
  <c r="N196" i="39"/>
  <c r="O196" i="39" s="1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E195" i="39"/>
  <c r="F195" i="39" s="1"/>
  <c r="N194" i="39"/>
  <c r="O194" i="39" s="1"/>
  <c r="L194" i="39"/>
  <c r="K194" i="39"/>
  <c r="H194" i="39"/>
  <c r="I194" i="39" s="1"/>
  <c r="E194" i="39"/>
  <c r="F194" i="39" s="1"/>
  <c r="N193" i="39"/>
  <c r="O193" i="39" s="1"/>
  <c r="K193" i="39"/>
  <c r="L193" i="39" s="1"/>
  <c r="H193" i="39"/>
  <c r="I193" i="39" s="1"/>
  <c r="E193" i="39"/>
  <c r="F193" i="39" s="1"/>
  <c r="N192" i="39"/>
  <c r="O192" i="39" s="1"/>
  <c r="L192" i="39"/>
  <c r="K192" i="39"/>
  <c r="H192" i="39"/>
  <c r="I192" i="39" s="1"/>
  <c r="E192" i="39"/>
  <c r="F192" i="39" s="1"/>
  <c r="N191" i="39"/>
  <c r="O191" i="39" s="1"/>
  <c r="K191" i="39"/>
  <c r="L191" i="39" s="1"/>
  <c r="H191" i="39"/>
  <c r="I191" i="39" s="1"/>
  <c r="E191" i="39"/>
  <c r="F191" i="39" s="1"/>
  <c r="N190" i="39"/>
  <c r="O190" i="39" s="1"/>
  <c r="L190" i="39"/>
  <c r="K190" i="39"/>
  <c r="H190" i="39"/>
  <c r="I190" i="39" s="1"/>
  <c r="E190" i="39"/>
  <c r="F190" i="39" s="1"/>
  <c r="N189" i="39"/>
  <c r="O189" i="39" s="1"/>
  <c r="K189" i="39"/>
  <c r="L189" i="39" s="1"/>
  <c r="H189" i="39"/>
  <c r="I189" i="39" s="1"/>
  <c r="E189" i="39"/>
  <c r="F189" i="39" s="1"/>
  <c r="N188" i="39"/>
  <c r="O188" i="39" s="1"/>
  <c r="L188" i="39"/>
  <c r="K188" i="39"/>
  <c r="H188" i="39"/>
  <c r="I188" i="39" s="1"/>
  <c r="E188" i="39"/>
  <c r="F188" i="39" s="1"/>
  <c r="N187" i="39"/>
  <c r="O187" i="39" s="1"/>
  <c r="K187" i="39"/>
  <c r="L187" i="39" s="1"/>
  <c r="H187" i="39"/>
  <c r="I187" i="39" s="1"/>
  <c r="E187" i="39"/>
  <c r="F187" i="39" s="1"/>
  <c r="N186" i="39"/>
  <c r="O186" i="39" s="1"/>
  <c r="L186" i="39"/>
  <c r="K186" i="39"/>
  <c r="H186" i="39"/>
  <c r="I186" i="39" s="1"/>
  <c r="E186" i="39"/>
  <c r="F186" i="39" s="1"/>
  <c r="N185" i="39"/>
  <c r="O185" i="39" s="1"/>
  <c r="K185" i="39"/>
  <c r="L185" i="39" s="1"/>
  <c r="H185" i="39"/>
  <c r="I185" i="39" s="1"/>
  <c r="E185" i="39"/>
  <c r="F185" i="39" s="1"/>
  <c r="N184" i="39"/>
  <c r="O184" i="39" s="1"/>
  <c r="L184" i="39"/>
  <c r="K184" i="39"/>
  <c r="H184" i="39"/>
  <c r="I184" i="39" s="1"/>
  <c r="E184" i="39"/>
  <c r="F184" i="39" s="1"/>
  <c r="N183" i="39"/>
  <c r="O183" i="39" s="1"/>
  <c r="L183" i="39"/>
  <c r="K183" i="39"/>
  <c r="H183" i="39"/>
  <c r="I183" i="39" s="1"/>
  <c r="E183" i="39"/>
  <c r="F183" i="39" s="1"/>
  <c r="N182" i="39"/>
  <c r="O182" i="39" s="1"/>
  <c r="K182" i="39"/>
  <c r="L182" i="39" s="1"/>
  <c r="H182" i="39"/>
  <c r="I182" i="39" s="1"/>
  <c r="E182" i="39"/>
  <c r="F182" i="39" s="1"/>
  <c r="N181" i="39"/>
  <c r="O181" i="39" s="1"/>
  <c r="L181" i="39"/>
  <c r="K181" i="39"/>
  <c r="H181" i="39"/>
  <c r="I181" i="39" s="1"/>
  <c r="E181" i="39"/>
  <c r="F181" i="39" s="1"/>
  <c r="N180" i="39"/>
  <c r="O180" i="39" s="1"/>
  <c r="K180" i="39"/>
  <c r="L180" i="39" s="1"/>
  <c r="H180" i="39"/>
  <c r="I180" i="39" s="1"/>
  <c r="E180" i="39"/>
  <c r="F180" i="39" s="1"/>
  <c r="N179" i="39"/>
  <c r="L179" i="39"/>
  <c r="K179" i="39"/>
  <c r="H179" i="39"/>
  <c r="E179" i="39"/>
  <c r="M177" i="39"/>
  <c r="J177" i="39"/>
  <c r="G177" i="39"/>
  <c r="D177" i="39"/>
  <c r="B177" i="39"/>
  <c r="M176" i="39"/>
  <c r="G176" i="39"/>
  <c r="B172" i="39"/>
  <c r="L171" i="39" s="1"/>
  <c r="N171" i="39"/>
  <c r="O171" i="39" s="1"/>
  <c r="K171" i="39"/>
  <c r="H171" i="39"/>
  <c r="I171" i="39" s="1"/>
  <c r="E171" i="39"/>
  <c r="F171" i="39" s="1"/>
  <c r="N170" i="39"/>
  <c r="L170" i="39"/>
  <c r="K170" i="39"/>
  <c r="H170" i="39"/>
  <c r="I170" i="39" s="1"/>
  <c r="E170" i="39"/>
  <c r="N169" i="39"/>
  <c r="O169" i="39" s="1"/>
  <c r="K169" i="39"/>
  <c r="L169" i="39" s="1"/>
  <c r="H169" i="39"/>
  <c r="E169" i="39"/>
  <c r="F169" i="39" s="1"/>
  <c r="N168" i="39"/>
  <c r="O168" i="39" s="1"/>
  <c r="L168" i="39"/>
  <c r="K168" i="39"/>
  <c r="H168" i="39"/>
  <c r="I168" i="39" s="1"/>
  <c r="E168" i="39"/>
  <c r="F168" i="39" s="1"/>
  <c r="N167" i="39"/>
  <c r="O167" i="39" s="1"/>
  <c r="K167" i="39"/>
  <c r="L167" i="39" s="1"/>
  <c r="H167" i="39"/>
  <c r="I167" i="39" s="1"/>
  <c r="E167" i="39"/>
  <c r="F167" i="39" s="1"/>
  <c r="N166" i="39"/>
  <c r="O166" i="39" s="1"/>
  <c r="K166" i="39"/>
  <c r="L166" i="39" s="1"/>
  <c r="H166" i="39"/>
  <c r="I166" i="39" s="1"/>
  <c r="E166" i="39"/>
  <c r="F166" i="39" s="1"/>
  <c r="N165" i="39"/>
  <c r="O165" i="39" s="1"/>
  <c r="L165" i="39"/>
  <c r="K165" i="39"/>
  <c r="H165" i="39"/>
  <c r="I165" i="39" s="1"/>
  <c r="E165" i="39"/>
  <c r="F165" i="39" s="1"/>
  <c r="N164" i="39"/>
  <c r="O164" i="39" s="1"/>
  <c r="L164" i="39"/>
  <c r="K164" i="39"/>
  <c r="H164" i="39"/>
  <c r="I164" i="39" s="1"/>
  <c r="E164" i="39"/>
  <c r="F164" i="39" s="1"/>
  <c r="N163" i="39"/>
  <c r="O163" i="39" s="1"/>
  <c r="K163" i="39"/>
  <c r="L163" i="39" s="1"/>
  <c r="H163" i="39"/>
  <c r="I163" i="39" s="1"/>
  <c r="E163" i="39"/>
  <c r="F163" i="39" s="1"/>
  <c r="N162" i="39"/>
  <c r="O162" i="39" s="1"/>
  <c r="L162" i="39"/>
  <c r="K162" i="39"/>
  <c r="H162" i="39"/>
  <c r="I162" i="39" s="1"/>
  <c r="E162" i="39"/>
  <c r="F162" i="39" s="1"/>
  <c r="N161" i="39"/>
  <c r="O161" i="39" s="1"/>
  <c r="L161" i="39"/>
  <c r="K161" i="39"/>
  <c r="H161" i="39"/>
  <c r="I161" i="39" s="1"/>
  <c r="E161" i="39"/>
  <c r="F161" i="39" s="1"/>
  <c r="N160" i="39"/>
  <c r="O160" i="39" s="1"/>
  <c r="K160" i="39"/>
  <c r="L160" i="39" s="1"/>
  <c r="H160" i="39"/>
  <c r="I160" i="39" s="1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K158" i="39"/>
  <c r="L158" i="39" s="1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H156" i="39"/>
  <c r="I156" i="39" s="1"/>
  <c r="E156" i="39"/>
  <c r="F156" i="39" s="1"/>
  <c r="N155" i="39"/>
  <c r="O155" i="39" s="1"/>
  <c r="L155" i="39"/>
  <c r="K155" i="39"/>
  <c r="H155" i="39"/>
  <c r="I155" i="39" s="1"/>
  <c r="E155" i="39"/>
  <c r="F155" i="39" s="1"/>
  <c r="N154" i="39"/>
  <c r="O154" i="39" s="1"/>
  <c r="K154" i="39"/>
  <c r="L154" i="39" s="1"/>
  <c r="H154" i="39"/>
  <c r="I154" i="39" s="1"/>
  <c r="E154" i="39"/>
  <c r="F154" i="39" s="1"/>
  <c r="N153" i="39"/>
  <c r="O153" i="39" s="1"/>
  <c r="L153" i="39"/>
  <c r="K153" i="39"/>
  <c r="H153" i="39"/>
  <c r="I153" i="39" s="1"/>
  <c r="E153" i="39"/>
  <c r="F153" i="39" s="1"/>
  <c r="N152" i="39"/>
  <c r="K152" i="39"/>
  <c r="K172" i="39" s="1"/>
  <c r="H152" i="39"/>
  <c r="E152" i="39"/>
  <c r="F152" i="39" s="1"/>
  <c r="M150" i="39"/>
  <c r="J150" i="39"/>
  <c r="G150" i="39"/>
  <c r="D150" i="39"/>
  <c r="B150" i="39"/>
  <c r="M149" i="39"/>
  <c r="G149" i="39"/>
  <c r="B145" i="39"/>
  <c r="L143" i="39" s="1"/>
  <c r="N144" i="39"/>
  <c r="O144" i="39" s="1"/>
  <c r="L144" i="39"/>
  <c r="K144" i="39"/>
  <c r="H144" i="39"/>
  <c r="I144" i="39" s="1"/>
  <c r="E144" i="39"/>
  <c r="F144" i="39" s="1"/>
  <c r="N143" i="39"/>
  <c r="O143" i="39" s="1"/>
  <c r="K143" i="39"/>
  <c r="H143" i="39"/>
  <c r="I143" i="39" s="1"/>
  <c r="E143" i="39"/>
  <c r="F143" i="39" s="1"/>
  <c r="N142" i="39"/>
  <c r="K142" i="39"/>
  <c r="L142" i="39" s="1"/>
  <c r="H142" i="39"/>
  <c r="I142" i="39" s="1"/>
  <c r="E142" i="39"/>
  <c r="N141" i="39"/>
  <c r="O141" i="39" s="1"/>
  <c r="K141" i="39"/>
  <c r="L141" i="39" s="1"/>
  <c r="H141" i="39"/>
  <c r="E141" i="39"/>
  <c r="F141" i="39" s="1"/>
  <c r="N140" i="39"/>
  <c r="O140" i="39" s="1"/>
  <c r="L140" i="39"/>
  <c r="K140" i="39"/>
  <c r="H140" i="39"/>
  <c r="I140" i="39" s="1"/>
  <c r="E140" i="39"/>
  <c r="F140" i="39" s="1"/>
  <c r="N139" i="39"/>
  <c r="O139" i="39" s="1"/>
  <c r="K139" i="39"/>
  <c r="H139" i="39"/>
  <c r="I139" i="39" s="1"/>
  <c r="E139" i="39"/>
  <c r="F139" i="39" s="1"/>
  <c r="N138" i="39"/>
  <c r="K138" i="39"/>
  <c r="L138" i="39" s="1"/>
  <c r="L19" i="39" s="1"/>
  <c r="H138" i="39"/>
  <c r="I138" i="39" s="1"/>
  <c r="I19" i="39" s="1"/>
  <c r="E138" i="39"/>
  <c r="N137" i="39"/>
  <c r="O137" i="39" s="1"/>
  <c r="K137" i="39"/>
  <c r="L137" i="39" s="1"/>
  <c r="H137" i="39"/>
  <c r="E137" i="39"/>
  <c r="F137" i="39" s="1"/>
  <c r="N136" i="39"/>
  <c r="O136" i="39" s="1"/>
  <c r="L136" i="39"/>
  <c r="K136" i="39"/>
  <c r="H136" i="39"/>
  <c r="I136" i="39" s="1"/>
  <c r="E136" i="39"/>
  <c r="F136" i="39" s="1"/>
  <c r="N135" i="39"/>
  <c r="K135" i="39"/>
  <c r="L135" i="39" s="1"/>
  <c r="H135" i="39"/>
  <c r="I135" i="39" s="1"/>
  <c r="E135" i="39"/>
  <c r="N134" i="39"/>
  <c r="O134" i="39" s="1"/>
  <c r="K134" i="39"/>
  <c r="L134" i="39" s="1"/>
  <c r="H134" i="39"/>
  <c r="E134" i="39"/>
  <c r="F134" i="39" s="1"/>
  <c r="N133" i="39"/>
  <c r="O133" i="39" s="1"/>
  <c r="K133" i="39"/>
  <c r="H133" i="39"/>
  <c r="I133" i="39" s="1"/>
  <c r="E133" i="39"/>
  <c r="F133" i="39" s="1"/>
  <c r="N132" i="39"/>
  <c r="K132" i="39"/>
  <c r="L132" i="39" s="1"/>
  <c r="H132" i="39"/>
  <c r="I132" i="39" s="1"/>
  <c r="E132" i="39"/>
  <c r="N131" i="39"/>
  <c r="O131" i="39" s="1"/>
  <c r="K131" i="39"/>
  <c r="L131" i="39" s="1"/>
  <c r="H131" i="39"/>
  <c r="E131" i="39"/>
  <c r="F131" i="39" s="1"/>
  <c r="N130" i="39"/>
  <c r="O130" i="39" s="1"/>
  <c r="L130" i="39"/>
  <c r="K130" i="39"/>
  <c r="H130" i="39"/>
  <c r="I130" i="39" s="1"/>
  <c r="E130" i="39"/>
  <c r="F130" i="39" s="1"/>
  <c r="N129" i="39"/>
  <c r="O129" i="39" s="1"/>
  <c r="O17" i="39" s="1"/>
  <c r="K129" i="39"/>
  <c r="H129" i="39"/>
  <c r="I129" i="39" s="1"/>
  <c r="I17" i="39" s="1"/>
  <c r="E129" i="39"/>
  <c r="F129" i="39" s="1"/>
  <c r="F17" i="39" s="1"/>
  <c r="N128" i="39"/>
  <c r="K128" i="39"/>
  <c r="L128" i="39" s="1"/>
  <c r="H128" i="39"/>
  <c r="I128" i="39" s="1"/>
  <c r="E128" i="39"/>
  <c r="N127" i="39"/>
  <c r="O127" i="39" s="1"/>
  <c r="K127" i="39"/>
  <c r="L127" i="39" s="1"/>
  <c r="H127" i="39"/>
  <c r="E127" i="39"/>
  <c r="F127" i="39" s="1"/>
  <c r="N126" i="39"/>
  <c r="O126" i="39" s="1"/>
  <c r="L126" i="39"/>
  <c r="K126" i="39"/>
  <c r="H126" i="39"/>
  <c r="I126" i="39" s="1"/>
  <c r="E126" i="39"/>
  <c r="F126" i="39" s="1"/>
  <c r="N125" i="39"/>
  <c r="N145" i="39" s="1"/>
  <c r="K125" i="39"/>
  <c r="H125" i="39"/>
  <c r="E125" i="39"/>
  <c r="M123" i="39"/>
  <c r="J123" i="39"/>
  <c r="G123" i="39"/>
  <c r="D123" i="39"/>
  <c r="B123" i="39"/>
  <c r="M122" i="39"/>
  <c r="G122" i="39"/>
  <c r="B118" i="39"/>
  <c r="O114" i="39" s="1"/>
  <c r="N117" i="39"/>
  <c r="K117" i="39"/>
  <c r="H117" i="39"/>
  <c r="I117" i="39" s="1"/>
  <c r="E117" i="39"/>
  <c r="N116" i="39"/>
  <c r="K116" i="39"/>
  <c r="H116" i="39"/>
  <c r="I116" i="39" s="1"/>
  <c r="E116" i="39"/>
  <c r="N115" i="39"/>
  <c r="K115" i="39"/>
  <c r="H115" i="39"/>
  <c r="I115" i="39" s="1"/>
  <c r="E115" i="39"/>
  <c r="N114" i="39"/>
  <c r="K114" i="39"/>
  <c r="L114" i="39" s="1"/>
  <c r="H114" i="39"/>
  <c r="E114" i="39"/>
  <c r="N113" i="39"/>
  <c r="K113" i="39"/>
  <c r="H113" i="39"/>
  <c r="E113" i="39"/>
  <c r="N112" i="39"/>
  <c r="O112" i="39" s="1"/>
  <c r="K112" i="39"/>
  <c r="H112" i="39"/>
  <c r="E112" i="39"/>
  <c r="N111" i="39"/>
  <c r="K111" i="39"/>
  <c r="H111" i="39"/>
  <c r="E111" i="39"/>
  <c r="F111" i="39" s="1"/>
  <c r="N110" i="39"/>
  <c r="K110" i="39"/>
  <c r="H110" i="39"/>
  <c r="I110" i="39" s="1"/>
  <c r="E110" i="39"/>
  <c r="N109" i="39"/>
  <c r="K109" i="39"/>
  <c r="L109" i="39" s="1"/>
  <c r="H109" i="39"/>
  <c r="E109" i="39"/>
  <c r="N108" i="39"/>
  <c r="O108" i="39" s="1"/>
  <c r="K108" i="39"/>
  <c r="H108" i="39"/>
  <c r="E108" i="39"/>
  <c r="N107" i="39"/>
  <c r="O107" i="39" s="1"/>
  <c r="K107" i="39"/>
  <c r="H107" i="39"/>
  <c r="E107" i="39"/>
  <c r="O106" i="39"/>
  <c r="N106" i="39"/>
  <c r="K106" i="39"/>
  <c r="H106" i="39"/>
  <c r="E106" i="39"/>
  <c r="F106" i="39" s="1"/>
  <c r="N105" i="39"/>
  <c r="K105" i="39"/>
  <c r="H105" i="39"/>
  <c r="I105" i="39" s="1"/>
  <c r="E105" i="39"/>
  <c r="N104" i="39"/>
  <c r="K104" i="39"/>
  <c r="H104" i="39"/>
  <c r="I104" i="39" s="1"/>
  <c r="E104" i="39"/>
  <c r="N103" i="39"/>
  <c r="K103" i="39"/>
  <c r="H103" i="39"/>
  <c r="I103" i="39" s="1"/>
  <c r="E103" i="39"/>
  <c r="N102" i="39"/>
  <c r="K102" i="39"/>
  <c r="L102" i="39" s="1"/>
  <c r="H102" i="39"/>
  <c r="E102" i="39"/>
  <c r="N101" i="39"/>
  <c r="K101" i="39"/>
  <c r="H101" i="39"/>
  <c r="E101" i="39"/>
  <c r="N100" i="39"/>
  <c r="O100" i="39" s="1"/>
  <c r="K100" i="39"/>
  <c r="H100" i="39"/>
  <c r="E100" i="39"/>
  <c r="N99" i="39"/>
  <c r="O99" i="39" s="1"/>
  <c r="K99" i="39"/>
  <c r="H99" i="39"/>
  <c r="E99" i="39"/>
  <c r="F99" i="39" s="1"/>
  <c r="N98" i="39"/>
  <c r="K98" i="39"/>
  <c r="H98" i="39"/>
  <c r="E98" i="39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K88" i="39"/>
  <c r="L88" i="39" s="1"/>
  <c r="H88" i="39"/>
  <c r="I88" i="39" s="1"/>
  <c r="E88" i="39"/>
  <c r="F88" i="39" s="1"/>
  <c r="N87" i="39"/>
  <c r="O87" i="39" s="1"/>
  <c r="O20" i="39" s="1"/>
  <c r="K87" i="39"/>
  <c r="L87" i="39" s="1"/>
  <c r="H87" i="39"/>
  <c r="I87" i="39" s="1"/>
  <c r="I20" i="39" s="1"/>
  <c r="E87" i="39"/>
  <c r="F87" i="39" s="1"/>
  <c r="F20" i="39" s="1"/>
  <c r="O86" i="39"/>
  <c r="N86" i="39"/>
  <c r="K86" i="39"/>
  <c r="L86" i="39" s="1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N84" i="39"/>
  <c r="O84" i="39" s="1"/>
  <c r="K84" i="39"/>
  <c r="L84" i="39" s="1"/>
  <c r="H84" i="39"/>
  <c r="I84" i="39" s="1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K80" i="39"/>
  <c r="L80" i="39" s="1"/>
  <c r="H80" i="39"/>
  <c r="I80" i="39" s="1"/>
  <c r="E80" i="39"/>
  <c r="F80" i="39" s="1"/>
  <c r="N79" i="39"/>
  <c r="O79" i="39" s="1"/>
  <c r="K79" i="39"/>
  <c r="L79" i="39" s="1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N77" i="39"/>
  <c r="O77" i="39" s="1"/>
  <c r="L77" i="39"/>
  <c r="K77" i="39"/>
  <c r="H77" i="39"/>
  <c r="I77" i="39" s="1"/>
  <c r="E77" i="39"/>
  <c r="F77" i="39" s="1"/>
  <c r="N76" i="39"/>
  <c r="O76" i="39" s="1"/>
  <c r="K76" i="39"/>
  <c r="L76" i="39" s="1"/>
  <c r="H76" i="39"/>
  <c r="I76" i="39" s="1"/>
  <c r="E76" i="39"/>
  <c r="F76" i="39" s="1"/>
  <c r="N75" i="39"/>
  <c r="O75" i="39" s="1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K72" i="39"/>
  <c r="L72" i="39" s="1"/>
  <c r="H72" i="39"/>
  <c r="I72" i="39" s="1"/>
  <c r="E72" i="39"/>
  <c r="F72" i="39" s="1"/>
  <c r="N71" i="39"/>
  <c r="O71" i="39" s="1"/>
  <c r="O91" i="39" s="1"/>
  <c r="K71" i="39"/>
  <c r="H71" i="39"/>
  <c r="E71" i="39"/>
  <c r="M69" i="39"/>
  <c r="J69" i="39"/>
  <c r="G69" i="39"/>
  <c r="D69" i="39"/>
  <c r="B69" i="39"/>
  <c r="M68" i="39"/>
  <c r="G68" i="39"/>
  <c r="B64" i="39"/>
  <c r="N63" i="39"/>
  <c r="O63" i="39" s="1"/>
  <c r="K63" i="39"/>
  <c r="L63" i="39" s="1"/>
  <c r="H63" i="39"/>
  <c r="I63" i="39" s="1"/>
  <c r="E63" i="39"/>
  <c r="F63" i="39" s="1"/>
  <c r="N62" i="39"/>
  <c r="O62" i="39" s="1"/>
  <c r="K62" i="39"/>
  <c r="L62" i="39" s="1"/>
  <c r="H62" i="39"/>
  <c r="I62" i="39" s="1"/>
  <c r="E62" i="39"/>
  <c r="F62" i="39" s="1"/>
  <c r="O61" i="39"/>
  <c r="N61" i="39"/>
  <c r="L61" i="39"/>
  <c r="K61" i="39"/>
  <c r="H61" i="39"/>
  <c r="I61" i="39" s="1"/>
  <c r="E61" i="39"/>
  <c r="F61" i="39" s="1"/>
  <c r="O60" i="39"/>
  <c r="N60" i="39"/>
  <c r="L60" i="39"/>
  <c r="K60" i="39"/>
  <c r="H60" i="39"/>
  <c r="I60" i="39" s="1"/>
  <c r="E60" i="39"/>
  <c r="F60" i="39" s="1"/>
  <c r="O59" i="39"/>
  <c r="N59" i="39"/>
  <c r="L59" i="39"/>
  <c r="K59" i="39"/>
  <c r="H59" i="39"/>
  <c r="I59" i="39" s="1"/>
  <c r="E59" i="39"/>
  <c r="F59" i="39" s="1"/>
  <c r="O58" i="39"/>
  <c r="N58" i="39"/>
  <c r="K58" i="39"/>
  <c r="L58" i="39" s="1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N56" i="39"/>
  <c r="N18" i="39" s="1"/>
  <c r="K56" i="39"/>
  <c r="L56" i="39" s="1"/>
  <c r="L18" i="39" s="1"/>
  <c r="H56" i="39"/>
  <c r="E56" i="39"/>
  <c r="F56" i="39" s="1"/>
  <c r="F18" i="39" s="1"/>
  <c r="N55" i="39"/>
  <c r="O55" i="39" s="1"/>
  <c r="K55" i="39"/>
  <c r="L55" i="39" s="1"/>
  <c r="H55" i="39"/>
  <c r="I55" i="39" s="1"/>
  <c r="E55" i="39"/>
  <c r="F55" i="39" s="1"/>
  <c r="O54" i="39"/>
  <c r="N54" i="39"/>
  <c r="K54" i="39"/>
  <c r="L54" i="39" s="1"/>
  <c r="H54" i="39"/>
  <c r="I54" i="39" s="1"/>
  <c r="F54" i="39"/>
  <c r="E54" i="39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K51" i="39"/>
  <c r="L51" i="39" s="1"/>
  <c r="H51" i="39"/>
  <c r="I51" i="39" s="1"/>
  <c r="E51" i="39"/>
  <c r="F51" i="39" s="1"/>
  <c r="N50" i="39"/>
  <c r="O50" i="39" s="1"/>
  <c r="K50" i="39"/>
  <c r="L50" i="39" s="1"/>
  <c r="H50" i="39"/>
  <c r="I50" i="39" s="1"/>
  <c r="E50" i="39"/>
  <c r="F50" i="39" s="1"/>
  <c r="O49" i="39"/>
  <c r="N49" i="39"/>
  <c r="K49" i="39"/>
  <c r="L49" i="39" s="1"/>
  <c r="H49" i="39"/>
  <c r="I49" i="39" s="1"/>
  <c r="E49" i="39"/>
  <c r="F49" i="39" s="1"/>
  <c r="N48" i="39"/>
  <c r="O48" i="39" s="1"/>
  <c r="K48" i="39"/>
  <c r="L48" i="39" s="1"/>
  <c r="H48" i="39"/>
  <c r="I48" i="39" s="1"/>
  <c r="E48" i="39"/>
  <c r="F48" i="39" s="1"/>
  <c r="N47" i="39"/>
  <c r="O47" i="39" s="1"/>
  <c r="K47" i="39"/>
  <c r="L47" i="39" s="1"/>
  <c r="H47" i="39"/>
  <c r="I47" i="39" s="1"/>
  <c r="E47" i="39"/>
  <c r="F47" i="39" s="1"/>
  <c r="N46" i="39"/>
  <c r="O46" i="39" s="1"/>
  <c r="K46" i="39"/>
  <c r="L46" i="39" s="1"/>
  <c r="I46" i="39"/>
  <c r="H46" i="39"/>
  <c r="E46" i="39"/>
  <c r="F46" i="39" s="1"/>
  <c r="N45" i="39"/>
  <c r="O45" i="39" s="1"/>
  <c r="K45" i="39"/>
  <c r="L45" i="39" s="1"/>
  <c r="H45" i="39"/>
  <c r="I45" i="39" s="1"/>
  <c r="E45" i="39"/>
  <c r="F45" i="39" s="1"/>
  <c r="N44" i="39"/>
  <c r="K44" i="39"/>
  <c r="H44" i="39"/>
  <c r="E44" i="39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N20" i="39"/>
  <c r="M20" i="39"/>
  <c r="L20" i="39"/>
  <c r="J20" i="39"/>
  <c r="H20" i="39"/>
  <c r="G20" i="39"/>
  <c r="E20" i="39"/>
  <c r="D20" i="39"/>
  <c r="C20" i="39"/>
  <c r="B20" i="39"/>
  <c r="N19" i="39"/>
  <c r="M19" i="39"/>
  <c r="K19" i="39"/>
  <c r="J19" i="39"/>
  <c r="H19" i="39"/>
  <c r="G19" i="39"/>
  <c r="E19" i="39"/>
  <c r="D19" i="39"/>
  <c r="C19" i="39"/>
  <c r="B19" i="39"/>
  <c r="M18" i="39"/>
  <c r="K18" i="39"/>
  <c r="J18" i="39"/>
  <c r="G18" i="39"/>
  <c r="E18" i="39"/>
  <c r="D18" i="39"/>
  <c r="C18" i="39"/>
  <c r="B18" i="39"/>
  <c r="N17" i="39"/>
  <c r="M17" i="39"/>
  <c r="K17" i="39"/>
  <c r="J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K198" i="38"/>
  <c r="I198" i="38"/>
  <c r="H198" i="38"/>
  <c r="E198" i="38"/>
  <c r="F198" i="38" s="1"/>
  <c r="N197" i="38"/>
  <c r="O197" i="38" s="1"/>
  <c r="K197" i="38"/>
  <c r="L197" i="38" s="1"/>
  <c r="I197" i="38"/>
  <c r="H197" i="38"/>
  <c r="E197" i="38"/>
  <c r="F197" i="38" s="1"/>
  <c r="N196" i="38"/>
  <c r="O196" i="38" s="1"/>
  <c r="L196" i="38"/>
  <c r="K196" i="38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K194" i="38"/>
  <c r="L194" i="38" s="1"/>
  <c r="I194" i="38"/>
  <c r="H194" i="38"/>
  <c r="E194" i="38"/>
  <c r="F194" i="38" s="1"/>
  <c r="N193" i="38"/>
  <c r="O193" i="38" s="1"/>
  <c r="K193" i="38"/>
  <c r="L193" i="38" s="1"/>
  <c r="I193" i="38"/>
  <c r="H193" i="38"/>
  <c r="E193" i="38"/>
  <c r="F193" i="38" s="1"/>
  <c r="N192" i="38"/>
  <c r="O192" i="38" s="1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N190" i="38"/>
  <c r="O190" i="38" s="1"/>
  <c r="K190" i="38"/>
  <c r="L190" i="38" s="1"/>
  <c r="I190" i="38"/>
  <c r="H190" i="38"/>
  <c r="E190" i="38"/>
  <c r="F190" i="38" s="1"/>
  <c r="N189" i="38"/>
  <c r="O189" i="38" s="1"/>
  <c r="K189" i="38"/>
  <c r="L189" i="38" s="1"/>
  <c r="I189" i="38"/>
  <c r="H189" i="38"/>
  <c r="E189" i="38"/>
  <c r="F189" i="38" s="1"/>
  <c r="N188" i="38"/>
  <c r="O188" i="38" s="1"/>
  <c r="L188" i="38"/>
  <c r="K188" i="38"/>
  <c r="H188" i="38"/>
  <c r="I188" i="38" s="1"/>
  <c r="F188" i="38"/>
  <c r="E188" i="38"/>
  <c r="N187" i="38"/>
  <c r="O187" i="38" s="1"/>
  <c r="L187" i="38"/>
  <c r="K187" i="38"/>
  <c r="H187" i="38"/>
  <c r="I187" i="38" s="1"/>
  <c r="F187" i="38"/>
  <c r="E187" i="38"/>
  <c r="N186" i="38"/>
  <c r="O186" i="38" s="1"/>
  <c r="K186" i="38"/>
  <c r="L186" i="38" s="1"/>
  <c r="I186" i="38"/>
  <c r="H186" i="38"/>
  <c r="E186" i="38"/>
  <c r="F186" i="38" s="1"/>
  <c r="N185" i="38"/>
  <c r="O185" i="38" s="1"/>
  <c r="K185" i="38"/>
  <c r="L185" i="38" s="1"/>
  <c r="I185" i="38"/>
  <c r="H185" i="38"/>
  <c r="E185" i="38"/>
  <c r="F185" i="38" s="1"/>
  <c r="N184" i="38"/>
  <c r="O184" i="38" s="1"/>
  <c r="L184" i="38"/>
  <c r="K184" i="38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K182" i="38"/>
  <c r="L182" i="38" s="1"/>
  <c r="I182" i="38"/>
  <c r="H182" i="38"/>
  <c r="E182" i="38"/>
  <c r="F182" i="38" s="1"/>
  <c r="N181" i="38"/>
  <c r="O181" i="38" s="1"/>
  <c r="K181" i="38"/>
  <c r="L181" i="38" s="1"/>
  <c r="I181" i="38"/>
  <c r="H181" i="38"/>
  <c r="E181" i="38"/>
  <c r="F181" i="38" s="1"/>
  <c r="N180" i="38"/>
  <c r="O180" i="38" s="1"/>
  <c r="L180" i="38"/>
  <c r="K180" i="38"/>
  <c r="H180" i="38"/>
  <c r="I180" i="38" s="1"/>
  <c r="F180" i="38"/>
  <c r="E180" i="38"/>
  <c r="N179" i="38"/>
  <c r="L179" i="38"/>
  <c r="K179" i="38"/>
  <c r="H179" i="38"/>
  <c r="I179" i="38" s="1"/>
  <c r="I199" i="38" s="1"/>
  <c r="F179" i="38"/>
  <c r="E179" i="38"/>
  <c r="M177" i="38"/>
  <c r="J177" i="38"/>
  <c r="G177" i="38"/>
  <c r="D177" i="38"/>
  <c r="B177" i="38"/>
  <c r="M176" i="38"/>
  <c r="G176" i="38"/>
  <c r="B172" i="38"/>
  <c r="L171" i="38" s="1"/>
  <c r="L21" i="38" s="1"/>
  <c r="N171" i="38"/>
  <c r="K171" i="38"/>
  <c r="H171" i="38"/>
  <c r="I171" i="38" s="1"/>
  <c r="I21" i="38" s="1"/>
  <c r="E171" i="38"/>
  <c r="N170" i="38"/>
  <c r="O170" i="38" s="1"/>
  <c r="K170" i="38"/>
  <c r="L170" i="38" s="1"/>
  <c r="H170" i="38"/>
  <c r="E170" i="38"/>
  <c r="O169" i="38"/>
  <c r="N169" i="38"/>
  <c r="K169" i="38"/>
  <c r="H169" i="38"/>
  <c r="I169" i="38" s="1"/>
  <c r="E169" i="38"/>
  <c r="N168" i="38"/>
  <c r="O168" i="38" s="1"/>
  <c r="K168" i="38"/>
  <c r="L168" i="38" s="1"/>
  <c r="H168" i="38"/>
  <c r="E168" i="38"/>
  <c r="N167" i="38"/>
  <c r="O167" i="38" s="1"/>
  <c r="K167" i="38"/>
  <c r="H167" i="38"/>
  <c r="I167" i="38" s="1"/>
  <c r="F167" i="38"/>
  <c r="E167" i="38"/>
  <c r="N166" i="38"/>
  <c r="K166" i="38"/>
  <c r="L166" i="38" s="1"/>
  <c r="H166" i="38"/>
  <c r="E166" i="38"/>
  <c r="N165" i="38"/>
  <c r="O165" i="38" s="1"/>
  <c r="K165" i="38"/>
  <c r="H165" i="38"/>
  <c r="I165" i="38" s="1"/>
  <c r="F165" i="38"/>
  <c r="E165" i="38"/>
  <c r="N164" i="38"/>
  <c r="K164" i="38"/>
  <c r="L164" i="38" s="1"/>
  <c r="H164" i="38"/>
  <c r="E164" i="38"/>
  <c r="N163" i="38"/>
  <c r="O163" i="38" s="1"/>
  <c r="K163" i="38"/>
  <c r="H163" i="38"/>
  <c r="I163" i="38" s="1"/>
  <c r="F163" i="38"/>
  <c r="E163" i="38"/>
  <c r="N162" i="38"/>
  <c r="K162" i="38"/>
  <c r="L162" i="38" s="1"/>
  <c r="H162" i="38"/>
  <c r="I162" i="38" s="1"/>
  <c r="E162" i="38"/>
  <c r="O161" i="38"/>
  <c r="N161" i="38"/>
  <c r="K161" i="38"/>
  <c r="H161" i="38"/>
  <c r="I161" i="38" s="1"/>
  <c r="F161" i="38"/>
  <c r="E161" i="38"/>
  <c r="N160" i="38"/>
  <c r="K160" i="38"/>
  <c r="L160" i="38" s="1"/>
  <c r="H160" i="38"/>
  <c r="I160" i="38" s="1"/>
  <c r="E160" i="38"/>
  <c r="O159" i="38"/>
  <c r="N159" i="38"/>
  <c r="K159" i="38"/>
  <c r="H159" i="38"/>
  <c r="I159" i="38" s="1"/>
  <c r="F159" i="38"/>
  <c r="E159" i="38"/>
  <c r="N158" i="38"/>
  <c r="K158" i="38"/>
  <c r="L158" i="38" s="1"/>
  <c r="H158" i="38"/>
  <c r="E158" i="38"/>
  <c r="N157" i="38"/>
  <c r="O157" i="38" s="1"/>
  <c r="K157" i="38"/>
  <c r="H157" i="38"/>
  <c r="I157" i="38" s="1"/>
  <c r="F157" i="38"/>
  <c r="E157" i="38"/>
  <c r="N156" i="38"/>
  <c r="K156" i="38"/>
  <c r="L156" i="38" s="1"/>
  <c r="H156" i="38"/>
  <c r="I156" i="38" s="1"/>
  <c r="E156" i="38"/>
  <c r="N155" i="38"/>
  <c r="O155" i="38" s="1"/>
  <c r="L155" i="38"/>
  <c r="K155" i="38"/>
  <c r="H155" i="38"/>
  <c r="F155" i="38"/>
  <c r="E155" i="38"/>
  <c r="N154" i="38"/>
  <c r="K154" i="38"/>
  <c r="H154" i="38"/>
  <c r="I154" i="38" s="1"/>
  <c r="F154" i="38"/>
  <c r="E154" i="38"/>
  <c r="N153" i="38"/>
  <c r="L153" i="38"/>
  <c r="K153" i="38"/>
  <c r="H153" i="38"/>
  <c r="F153" i="38"/>
  <c r="E153" i="38"/>
  <c r="N152" i="38"/>
  <c r="K152" i="38"/>
  <c r="H152" i="38"/>
  <c r="H172" i="38" s="1"/>
  <c r="F152" i="38"/>
  <c r="E152" i="38"/>
  <c r="M150" i="38"/>
  <c r="J150" i="38"/>
  <c r="G150" i="38"/>
  <c r="D150" i="38"/>
  <c r="B150" i="38"/>
  <c r="M149" i="38"/>
  <c r="G149" i="38"/>
  <c r="B145" i="38"/>
  <c r="N144" i="38"/>
  <c r="O144" i="38" s="1"/>
  <c r="L144" i="38"/>
  <c r="K144" i="38"/>
  <c r="H144" i="38"/>
  <c r="I144" i="38" s="1"/>
  <c r="E144" i="38"/>
  <c r="F144" i="38" s="1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E142" i="38"/>
  <c r="F142" i="38" s="1"/>
  <c r="N141" i="38"/>
  <c r="O141" i="38" s="1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E140" i="38"/>
  <c r="F140" i="38" s="1"/>
  <c r="N139" i="38"/>
  <c r="O139" i="38" s="1"/>
  <c r="K139" i="38"/>
  <c r="L139" i="38" s="1"/>
  <c r="H139" i="38"/>
  <c r="I139" i="38" s="1"/>
  <c r="E139" i="38"/>
  <c r="F139" i="38" s="1"/>
  <c r="O138" i="38"/>
  <c r="N138" i="38"/>
  <c r="K138" i="38"/>
  <c r="L138" i="38" s="1"/>
  <c r="H138" i="38"/>
  <c r="I138" i="38" s="1"/>
  <c r="E138" i="38"/>
  <c r="F138" i="38" s="1"/>
  <c r="N137" i="38"/>
  <c r="O137" i="38" s="1"/>
  <c r="K137" i="38"/>
  <c r="L137" i="38" s="1"/>
  <c r="H137" i="38"/>
  <c r="I137" i="38" s="1"/>
  <c r="E137" i="38"/>
  <c r="F137" i="38" s="1"/>
  <c r="N136" i="38"/>
  <c r="O136" i="38" s="1"/>
  <c r="K136" i="38"/>
  <c r="L136" i="38" s="1"/>
  <c r="H136" i="38"/>
  <c r="I136" i="38" s="1"/>
  <c r="F136" i="38"/>
  <c r="E136" i="38"/>
  <c r="N135" i="38"/>
  <c r="O135" i="38" s="1"/>
  <c r="K135" i="38"/>
  <c r="L135" i="38" s="1"/>
  <c r="H135" i="38"/>
  <c r="I135" i="38" s="1"/>
  <c r="E135" i="38"/>
  <c r="F135" i="38" s="1"/>
  <c r="N134" i="38"/>
  <c r="O134" i="38" s="1"/>
  <c r="O19" i="38" s="1"/>
  <c r="K134" i="38"/>
  <c r="L134" i="38" s="1"/>
  <c r="L19" i="38" s="1"/>
  <c r="H134" i="38"/>
  <c r="I134" i="38" s="1"/>
  <c r="I19" i="38" s="1"/>
  <c r="F134" i="38"/>
  <c r="E134" i="38"/>
  <c r="N133" i="38"/>
  <c r="O133" i="38" s="1"/>
  <c r="K133" i="38"/>
  <c r="L133" i="38" s="1"/>
  <c r="H133" i="38"/>
  <c r="I133" i="38" s="1"/>
  <c r="E133" i="38"/>
  <c r="F133" i="38" s="1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N130" i="38"/>
  <c r="O130" i="38" s="1"/>
  <c r="O18" i="38" s="1"/>
  <c r="L130" i="38"/>
  <c r="K130" i="38"/>
  <c r="H130" i="38"/>
  <c r="I130" i="38" s="1"/>
  <c r="I18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L128" i="38"/>
  <c r="K128" i="38"/>
  <c r="H128" i="38"/>
  <c r="I128" i="38" s="1"/>
  <c r="E128" i="38"/>
  <c r="F128" i="38" s="1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E126" i="38"/>
  <c r="F126" i="38" s="1"/>
  <c r="N125" i="38"/>
  <c r="K125" i="38"/>
  <c r="H125" i="38"/>
  <c r="F125" i="38"/>
  <c r="E125" i="38"/>
  <c r="M123" i="38"/>
  <c r="J123" i="38"/>
  <c r="G123" i="38"/>
  <c r="D123" i="38"/>
  <c r="B123" i="38"/>
  <c r="M122" i="38"/>
  <c r="G122" i="38"/>
  <c r="B118" i="38"/>
  <c r="L117" i="38" s="1"/>
  <c r="N117" i="38"/>
  <c r="K117" i="38"/>
  <c r="H117" i="38"/>
  <c r="I117" i="38" s="1"/>
  <c r="E117" i="38"/>
  <c r="N116" i="38"/>
  <c r="O116" i="38" s="1"/>
  <c r="K116" i="38"/>
  <c r="L116" i="38" s="1"/>
  <c r="H116" i="38"/>
  <c r="E116" i="38"/>
  <c r="O115" i="38"/>
  <c r="O29" i="38" s="1"/>
  <c r="N115" i="38"/>
  <c r="K115" i="38"/>
  <c r="H115" i="38"/>
  <c r="H29" i="38" s="1"/>
  <c r="E115" i="38"/>
  <c r="N114" i="38"/>
  <c r="O114" i="38" s="1"/>
  <c r="K114" i="38"/>
  <c r="L114" i="38" s="1"/>
  <c r="H114" i="38"/>
  <c r="E114" i="38"/>
  <c r="N113" i="38"/>
  <c r="O113" i="38" s="1"/>
  <c r="K113" i="38"/>
  <c r="H113" i="38"/>
  <c r="I113" i="38" s="1"/>
  <c r="F113" i="38"/>
  <c r="E113" i="38"/>
  <c r="N112" i="38"/>
  <c r="K112" i="38"/>
  <c r="L112" i="38" s="1"/>
  <c r="L28" i="38" s="1"/>
  <c r="H112" i="38"/>
  <c r="E112" i="38"/>
  <c r="N111" i="38"/>
  <c r="O111" i="38" s="1"/>
  <c r="K111" i="38"/>
  <c r="H111" i="38"/>
  <c r="I111" i="38" s="1"/>
  <c r="F111" i="38"/>
  <c r="E111" i="38"/>
  <c r="N110" i="38"/>
  <c r="K110" i="38"/>
  <c r="L110" i="38" s="1"/>
  <c r="L27" i="38" s="1"/>
  <c r="H110" i="38"/>
  <c r="H27" i="38" s="1"/>
  <c r="E110" i="38"/>
  <c r="N109" i="38"/>
  <c r="O109" i="38" s="1"/>
  <c r="L109" i="38"/>
  <c r="K109" i="38"/>
  <c r="H109" i="38"/>
  <c r="F109" i="38"/>
  <c r="E109" i="38"/>
  <c r="N108" i="38"/>
  <c r="K108" i="38"/>
  <c r="H108" i="38"/>
  <c r="I108" i="38" s="1"/>
  <c r="I25" i="38" s="1"/>
  <c r="F108" i="38"/>
  <c r="E108" i="38"/>
  <c r="N107" i="38"/>
  <c r="L107" i="38"/>
  <c r="K107" i="38"/>
  <c r="H107" i="38"/>
  <c r="F107" i="38"/>
  <c r="E107" i="38"/>
  <c r="N106" i="38"/>
  <c r="K106" i="38"/>
  <c r="H106" i="38"/>
  <c r="I106" i="38" s="1"/>
  <c r="F106" i="38"/>
  <c r="E106" i="38"/>
  <c r="N105" i="38"/>
  <c r="L105" i="38"/>
  <c r="K105" i="38"/>
  <c r="H105" i="38"/>
  <c r="E105" i="38"/>
  <c r="O104" i="38"/>
  <c r="O23" i="38" s="1"/>
  <c r="N104" i="38"/>
  <c r="K104" i="38"/>
  <c r="K23" i="38" s="1"/>
  <c r="H104" i="38"/>
  <c r="H23" i="38" s="1"/>
  <c r="F104" i="38"/>
  <c r="E104" i="38"/>
  <c r="N103" i="38"/>
  <c r="L103" i="38"/>
  <c r="K103" i="38"/>
  <c r="H103" i="38"/>
  <c r="E103" i="38"/>
  <c r="N102" i="38"/>
  <c r="O102" i="38" s="1"/>
  <c r="K102" i="38"/>
  <c r="H102" i="38"/>
  <c r="I102" i="38" s="1"/>
  <c r="F102" i="38"/>
  <c r="E102" i="38"/>
  <c r="N101" i="38"/>
  <c r="L101" i="38"/>
  <c r="K101" i="38"/>
  <c r="H101" i="38"/>
  <c r="F101" i="38"/>
  <c r="E101" i="38"/>
  <c r="N100" i="38"/>
  <c r="K100" i="38"/>
  <c r="H100" i="38"/>
  <c r="I100" i="38" s="1"/>
  <c r="F100" i="38"/>
  <c r="E100" i="38"/>
  <c r="N99" i="38"/>
  <c r="L99" i="38"/>
  <c r="K99" i="38"/>
  <c r="H99" i="38"/>
  <c r="E99" i="38"/>
  <c r="O98" i="38"/>
  <c r="N98" i="38"/>
  <c r="K98" i="38"/>
  <c r="H98" i="38"/>
  <c r="E98" i="38"/>
  <c r="M96" i="38"/>
  <c r="J96" i="38"/>
  <c r="G96" i="38"/>
  <c r="D96" i="38"/>
  <c r="B96" i="38"/>
  <c r="M95" i="38"/>
  <c r="G95" i="38"/>
  <c r="B91" i="38"/>
  <c r="L89" i="38" s="1"/>
  <c r="L20" i="38" s="1"/>
  <c r="N90" i="38"/>
  <c r="O90" i="38" s="1"/>
  <c r="L90" i="38"/>
  <c r="K90" i="38"/>
  <c r="H90" i="38"/>
  <c r="I90" i="38" s="1"/>
  <c r="E90" i="38"/>
  <c r="F90" i="38" s="1"/>
  <c r="N89" i="38"/>
  <c r="O89" i="38" s="1"/>
  <c r="O20" i="38" s="1"/>
  <c r="K89" i="38"/>
  <c r="H89" i="38"/>
  <c r="I89" i="38" s="1"/>
  <c r="I20" i="38" s="1"/>
  <c r="E89" i="38"/>
  <c r="F89" i="38" s="1"/>
  <c r="F20" i="38" s="1"/>
  <c r="N88" i="38"/>
  <c r="K88" i="38"/>
  <c r="L88" i="38" s="1"/>
  <c r="H88" i="38"/>
  <c r="I88" i="38" s="1"/>
  <c r="E88" i="38"/>
  <c r="N87" i="38"/>
  <c r="O87" i="38" s="1"/>
  <c r="L87" i="38"/>
  <c r="K87" i="38"/>
  <c r="H87" i="38"/>
  <c r="E87" i="38"/>
  <c r="F87" i="38" s="1"/>
  <c r="O86" i="38"/>
  <c r="N86" i="38"/>
  <c r="K86" i="38"/>
  <c r="L86" i="38" s="1"/>
  <c r="H86" i="38"/>
  <c r="I86" i="38" s="1"/>
  <c r="E86" i="38"/>
  <c r="N85" i="38"/>
  <c r="O85" i="38" s="1"/>
  <c r="K85" i="38"/>
  <c r="L85" i="38" s="1"/>
  <c r="H85" i="38"/>
  <c r="I85" i="38" s="1"/>
  <c r="E85" i="38"/>
  <c r="N84" i="38"/>
  <c r="O84" i="38" s="1"/>
  <c r="L84" i="38"/>
  <c r="K84" i="38"/>
  <c r="H84" i="38"/>
  <c r="E84" i="38"/>
  <c r="F84" i="38" s="1"/>
  <c r="N83" i="38"/>
  <c r="O83" i="38" s="1"/>
  <c r="K83" i="38"/>
  <c r="L83" i="38" s="1"/>
  <c r="H83" i="38"/>
  <c r="E83" i="38"/>
  <c r="F83" i="38" s="1"/>
  <c r="N82" i="38"/>
  <c r="O82" i="38" s="1"/>
  <c r="K82" i="38"/>
  <c r="H82" i="38"/>
  <c r="I82" i="38" s="1"/>
  <c r="E82" i="38"/>
  <c r="F82" i="38" s="1"/>
  <c r="N81" i="38"/>
  <c r="K81" i="38"/>
  <c r="L81" i="38" s="1"/>
  <c r="H81" i="38"/>
  <c r="I81" i="38" s="1"/>
  <c r="E81" i="38"/>
  <c r="N80" i="38"/>
  <c r="O80" i="38" s="1"/>
  <c r="L80" i="38"/>
  <c r="K80" i="38"/>
  <c r="H80" i="38"/>
  <c r="E80" i="38"/>
  <c r="F80" i="38" s="1"/>
  <c r="N79" i="38"/>
  <c r="O79" i="38" s="1"/>
  <c r="L79" i="38"/>
  <c r="K79" i="38"/>
  <c r="H79" i="38"/>
  <c r="I79" i="38" s="1"/>
  <c r="E79" i="38"/>
  <c r="F79" i="38" s="1"/>
  <c r="N78" i="38"/>
  <c r="K78" i="38"/>
  <c r="L78" i="38" s="1"/>
  <c r="H78" i="38"/>
  <c r="I78" i="38" s="1"/>
  <c r="E78" i="38"/>
  <c r="N77" i="38"/>
  <c r="O77" i="38" s="1"/>
  <c r="L77" i="38"/>
  <c r="K77" i="38"/>
  <c r="H77" i="38"/>
  <c r="E77" i="38"/>
  <c r="F77" i="38" s="1"/>
  <c r="N76" i="38"/>
  <c r="N31" i="38" s="1"/>
  <c r="K76" i="38"/>
  <c r="L76" i="38" s="1"/>
  <c r="L31" i="38" s="1"/>
  <c r="H76" i="38"/>
  <c r="E76" i="38"/>
  <c r="F76" i="38" s="1"/>
  <c r="F31" i="38" s="1"/>
  <c r="O75" i="38"/>
  <c r="O30" i="38" s="1"/>
  <c r="N75" i="38"/>
  <c r="K75" i="38"/>
  <c r="I75" i="38"/>
  <c r="I30" i="38" s="1"/>
  <c r="H75" i="38"/>
  <c r="E75" i="38"/>
  <c r="N74" i="38"/>
  <c r="O74" i="38" s="1"/>
  <c r="L74" i="38"/>
  <c r="K74" i="38"/>
  <c r="H74" i="38"/>
  <c r="E74" i="38"/>
  <c r="F74" i="38" s="1"/>
  <c r="N73" i="38"/>
  <c r="O73" i="38" s="1"/>
  <c r="O26" i="38" s="1"/>
  <c r="L73" i="38"/>
  <c r="K73" i="38"/>
  <c r="H73" i="38"/>
  <c r="I73" i="38" s="1"/>
  <c r="I26" i="38" s="1"/>
  <c r="E73" i="38"/>
  <c r="F73" i="38" s="1"/>
  <c r="F26" i="38" s="1"/>
  <c r="N72" i="38"/>
  <c r="O72" i="38" s="1"/>
  <c r="K72" i="38"/>
  <c r="L72" i="38" s="1"/>
  <c r="H72" i="38"/>
  <c r="I72" i="38" s="1"/>
  <c r="E72" i="38"/>
  <c r="F72" i="38" s="1"/>
  <c r="N71" i="38"/>
  <c r="K71" i="38"/>
  <c r="L71" i="38" s="1"/>
  <c r="I71" i="38"/>
  <c r="H71" i="38"/>
  <c r="E71" i="38"/>
  <c r="M69" i="38"/>
  <c r="J69" i="38"/>
  <c r="G69" i="38"/>
  <c r="D69" i="38"/>
  <c r="B69" i="38"/>
  <c r="M68" i="38"/>
  <c r="G68" i="38"/>
  <c r="B64" i="38"/>
  <c r="L63" i="38" s="1"/>
  <c r="O63" i="38"/>
  <c r="N63" i="38"/>
  <c r="K63" i="38"/>
  <c r="I63" i="38"/>
  <c r="H63" i="38"/>
  <c r="E63" i="38"/>
  <c r="N62" i="38"/>
  <c r="O62" i="38" s="1"/>
  <c r="L62" i="38"/>
  <c r="K62" i="38"/>
  <c r="H62" i="38"/>
  <c r="E62" i="38"/>
  <c r="F62" i="38" s="1"/>
  <c r="N61" i="38"/>
  <c r="O61" i="38" s="1"/>
  <c r="L61" i="38"/>
  <c r="K61" i="38"/>
  <c r="H61" i="38"/>
  <c r="I61" i="38" s="1"/>
  <c r="E61" i="38"/>
  <c r="F61" i="38" s="1"/>
  <c r="N60" i="38"/>
  <c r="O60" i="38" s="1"/>
  <c r="K60" i="38"/>
  <c r="I60" i="38"/>
  <c r="H60" i="38"/>
  <c r="E60" i="38"/>
  <c r="N59" i="38"/>
  <c r="O59" i="38" s="1"/>
  <c r="K59" i="38"/>
  <c r="L59" i="38" s="1"/>
  <c r="I59" i="38"/>
  <c r="H59" i="38"/>
  <c r="E59" i="38"/>
  <c r="F59" i="38" s="1"/>
  <c r="O58" i="38"/>
  <c r="N58" i="38"/>
  <c r="K58" i="38"/>
  <c r="H58" i="38"/>
  <c r="I58" i="38" s="1"/>
  <c r="E58" i="38"/>
  <c r="F58" i="38" s="1"/>
  <c r="N57" i="38"/>
  <c r="K57" i="38"/>
  <c r="L57" i="38" s="1"/>
  <c r="I57" i="38"/>
  <c r="H57" i="38"/>
  <c r="E57" i="38"/>
  <c r="F57" i="38" s="1"/>
  <c r="N56" i="38"/>
  <c r="O56" i="38" s="1"/>
  <c r="K56" i="38"/>
  <c r="L56" i="38" s="1"/>
  <c r="H56" i="38"/>
  <c r="E56" i="38"/>
  <c r="F56" i="38" s="1"/>
  <c r="N55" i="38"/>
  <c r="O55" i="38" s="1"/>
  <c r="O17" i="38" s="1"/>
  <c r="K55" i="38"/>
  <c r="I55" i="38"/>
  <c r="H55" i="38"/>
  <c r="E55" i="38"/>
  <c r="N54" i="38"/>
  <c r="O54" i="38" s="1"/>
  <c r="L54" i="38"/>
  <c r="K54" i="38"/>
  <c r="H54" i="38"/>
  <c r="E54" i="38"/>
  <c r="F54" i="38" s="1"/>
  <c r="O53" i="38"/>
  <c r="N53" i="38"/>
  <c r="K53" i="38"/>
  <c r="H53" i="38"/>
  <c r="I53" i="38" s="1"/>
  <c r="E53" i="38"/>
  <c r="F53" i="38" s="1"/>
  <c r="N52" i="38"/>
  <c r="K52" i="38"/>
  <c r="L52" i="38" s="1"/>
  <c r="I52" i="38"/>
  <c r="H52" i="38"/>
  <c r="E52" i="38"/>
  <c r="F52" i="38" s="1"/>
  <c r="N51" i="38"/>
  <c r="O51" i="38" s="1"/>
  <c r="L51" i="38"/>
  <c r="K51" i="38"/>
  <c r="H51" i="38"/>
  <c r="I51" i="38" s="1"/>
  <c r="E51" i="38"/>
  <c r="F51" i="38" s="1"/>
  <c r="N50" i="38"/>
  <c r="L50" i="38"/>
  <c r="K50" i="38"/>
  <c r="H50" i="38"/>
  <c r="E50" i="38"/>
  <c r="F50" i="38" s="1"/>
  <c r="F24" i="38" s="1"/>
  <c r="N49" i="38"/>
  <c r="O49" i="38" s="1"/>
  <c r="L49" i="38"/>
  <c r="K49" i="38"/>
  <c r="H49" i="38"/>
  <c r="I49" i="38" s="1"/>
  <c r="E49" i="38"/>
  <c r="F49" i="38" s="1"/>
  <c r="N48" i="38"/>
  <c r="K48" i="38"/>
  <c r="L48" i="38" s="1"/>
  <c r="I48" i="38"/>
  <c r="H48" i="38"/>
  <c r="E48" i="38"/>
  <c r="N47" i="38"/>
  <c r="O47" i="38" s="1"/>
  <c r="O22" i="38" s="1"/>
  <c r="L47" i="38"/>
  <c r="K47" i="38"/>
  <c r="H47" i="38"/>
  <c r="E47" i="38"/>
  <c r="F47" i="38" s="1"/>
  <c r="F22" i="38" s="1"/>
  <c r="N46" i="38"/>
  <c r="O46" i="38" s="1"/>
  <c r="K46" i="38"/>
  <c r="H46" i="38"/>
  <c r="I46" i="38" s="1"/>
  <c r="E46" i="38"/>
  <c r="F46" i="38" s="1"/>
  <c r="N45" i="38"/>
  <c r="O45" i="38" s="1"/>
  <c r="K45" i="38"/>
  <c r="H45" i="38"/>
  <c r="I45" i="38" s="1"/>
  <c r="E45" i="38"/>
  <c r="F45" i="38" s="1"/>
  <c r="N44" i="38"/>
  <c r="K44" i="38"/>
  <c r="L44" i="38" s="1"/>
  <c r="I44" i="38"/>
  <c r="H44" i="38"/>
  <c r="E44" i="38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M31" i="38"/>
  <c r="J31" i="38"/>
  <c r="H31" i="38"/>
  <c r="G31" i="38"/>
  <c r="E31" i="38"/>
  <c r="D31" i="38"/>
  <c r="C31" i="38"/>
  <c r="B31" i="38"/>
  <c r="N30" i="38"/>
  <c r="M30" i="38"/>
  <c r="K30" i="38"/>
  <c r="J30" i="38"/>
  <c r="H30" i="38"/>
  <c r="G30" i="38"/>
  <c r="E30" i="38"/>
  <c r="D30" i="38"/>
  <c r="C30" i="38"/>
  <c r="B30" i="38"/>
  <c r="N29" i="38"/>
  <c r="M29" i="38"/>
  <c r="K29" i="38"/>
  <c r="J29" i="38"/>
  <c r="G29" i="38"/>
  <c r="E29" i="38"/>
  <c r="D29" i="38"/>
  <c r="C29" i="38"/>
  <c r="B29" i="38"/>
  <c r="N28" i="38"/>
  <c r="M28" i="38"/>
  <c r="J28" i="38"/>
  <c r="H28" i="38"/>
  <c r="G28" i="38"/>
  <c r="E28" i="38"/>
  <c r="D28" i="38"/>
  <c r="C28" i="38"/>
  <c r="B28" i="38"/>
  <c r="N27" i="38"/>
  <c r="M27" i="38"/>
  <c r="K27" i="38"/>
  <c r="J27" i="38"/>
  <c r="G27" i="38"/>
  <c r="E27" i="38"/>
  <c r="D27" i="38"/>
  <c r="C27" i="38"/>
  <c r="B27" i="38"/>
  <c r="N26" i="38"/>
  <c r="M26" i="38"/>
  <c r="L26" i="38"/>
  <c r="K26" i="38"/>
  <c r="J26" i="38"/>
  <c r="H26" i="38"/>
  <c r="G26" i="38"/>
  <c r="E26" i="38"/>
  <c r="D26" i="38"/>
  <c r="C26" i="38"/>
  <c r="B26" i="38"/>
  <c r="N25" i="38"/>
  <c r="M25" i="38"/>
  <c r="K25" i="38"/>
  <c r="J25" i="38"/>
  <c r="H25" i="38"/>
  <c r="G25" i="38"/>
  <c r="F25" i="38"/>
  <c r="E25" i="38"/>
  <c r="D25" i="38"/>
  <c r="C25" i="38"/>
  <c r="B25" i="38"/>
  <c r="N24" i="38"/>
  <c r="M24" i="38"/>
  <c r="L24" i="38"/>
  <c r="K24" i="38"/>
  <c r="J24" i="38"/>
  <c r="H24" i="38"/>
  <c r="G24" i="38"/>
  <c r="E24" i="38"/>
  <c r="D24" i="38"/>
  <c r="C24" i="38"/>
  <c r="B24" i="38"/>
  <c r="N23" i="38"/>
  <c r="M23" i="38"/>
  <c r="J23" i="38"/>
  <c r="G23" i="38"/>
  <c r="F23" i="38"/>
  <c r="E23" i="38"/>
  <c r="D23" i="38"/>
  <c r="C23" i="38"/>
  <c r="B23" i="38"/>
  <c r="N22" i="38"/>
  <c r="M22" i="38"/>
  <c r="L22" i="38"/>
  <c r="K22" i="38"/>
  <c r="J22" i="38"/>
  <c r="H22" i="38"/>
  <c r="G22" i="38"/>
  <c r="E22" i="38"/>
  <c r="D22" i="38"/>
  <c r="C22" i="38"/>
  <c r="B22" i="38"/>
  <c r="N21" i="38"/>
  <c r="M21" i="38"/>
  <c r="K21" i="38"/>
  <c r="J21" i="38"/>
  <c r="H21" i="38"/>
  <c r="G21" i="38"/>
  <c r="E21" i="38"/>
  <c r="D21" i="38"/>
  <c r="C21" i="38"/>
  <c r="B21" i="38"/>
  <c r="N20" i="38"/>
  <c r="M20" i="38"/>
  <c r="K20" i="38"/>
  <c r="J20" i="38"/>
  <c r="H20" i="38"/>
  <c r="G20" i="38"/>
  <c r="E20" i="38"/>
  <c r="D20" i="38"/>
  <c r="C20" i="38"/>
  <c r="B20" i="38"/>
  <c r="N19" i="38"/>
  <c r="M19" i="38"/>
  <c r="K19" i="38"/>
  <c r="J19" i="38"/>
  <c r="H19" i="38"/>
  <c r="G19" i="38"/>
  <c r="F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N17" i="38"/>
  <c r="M17" i="38"/>
  <c r="K17" i="38"/>
  <c r="J17" i="38"/>
  <c r="I17" i="38"/>
  <c r="H17" i="38"/>
  <c r="G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L198" i="37" s="1"/>
  <c r="N198" i="37"/>
  <c r="O198" i="37" s="1"/>
  <c r="K198" i="37"/>
  <c r="H198" i="37"/>
  <c r="I198" i="37" s="1"/>
  <c r="F198" i="37"/>
  <c r="E198" i="37"/>
  <c r="N197" i="37"/>
  <c r="K197" i="37"/>
  <c r="L197" i="37" s="1"/>
  <c r="H197" i="37"/>
  <c r="I197" i="37" s="1"/>
  <c r="E197" i="37"/>
  <c r="N196" i="37"/>
  <c r="O196" i="37" s="1"/>
  <c r="K196" i="37"/>
  <c r="H196" i="37"/>
  <c r="F196" i="37"/>
  <c r="E196" i="37"/>
  <c r="N195" i="37"/>
  <c r="K195" i="37"/>
  <c r="L195" i="37" s="1"/>
  <c r="I195" i="37"/>
  <c r="H195" i="37"/>
  <c r="E195" i="37"/>
  <c r="N194" i="37"/>
  <c r="O194" i="37" s="1"/>
  <c r="K194" i="37"/>
  <c r="H194" i="37"/>
  <c r="F194" i="37"/>
  <c r="E194" i="37"/>
  <c r="N193" i="37"/>
  <c r="K193" i="37"/>
  <c r="L193" i="37" s="1"/>
  <c r="H193" i="37"/>
  <c r="I193" i="37" s="1"/>
  <c r="E193" i="37"/>
  <c r="N192" i="37"/>
  <c r="O192" i="37" s="1"/>
  <c r="L192" i="37"/>
  <c r="K192" i="37"/>
  <c r="H192" i="37"/>
  <c r="E192" i="37"/>
  <c r="F192" i="37" s="1"/>
  <c r="N191" i="37"/>
  <c r="K191" i="37"/>
  <c r="H191" i="37"/>
  <c r="I191" i="37" s="1"/>
  <c r="E191" i="37"/>
  <c r="N190" i="37"/>
  <c r="O190" i="37" s="1"/>
  <c r="K190" i="37"/>
  <c r="L190" i="37" s="1"/>
  <c r="H190" i="37"/>
  <c r="E190" i="37"/>
  <c r="N189" i="37"/>
  <c r="O189" i="37" s="1"/>
  <c r="K189" i="37"/>
  <c r="H189" i="37"/>
  <c r="E189" i="37"/>
  <c r="F189" i="37" s="1"/>
  <c r="N188" i="37"/>
  <c r="K188" i="37"/>
  <c r="H188" i="37"/>
  <c r="I188" i="37" s="1"/>
  <c r="E188" i="37"/>
  <c r="N187" i="37"/>
  <c r="O187" i="37" s="1"/>
  <c r="K187" i="37"/>
  <c r="H187" i="37"/>
  <c r="I187" i="37" s="1"/>
  <c r="F187" i="37"/>
  <c r="E187" i="37"/>
  <c r="N186" i="37"/>
  <c r="K186" i="37"/>
  <c r="L186" i="37" s="1"/>
  <c r="H186" i="37"/>
  <c r="I186" i="37" s="1"/>
  <c r="E186" i="37"/>
  <c r="N185" i="37"/>
  <c r="O185" i="37" s="1"/>
  <c r="K185" i="37"/>
  <c r="L185" i="37" s="1"/>
  <c r="H185" i="37"/>
  <c r="E185" i="37"/>
  <c r="N184" i="37"/>
  <c r="O184" i="37" s="1"/>
  <c r="K184" i="37"/>
  <c r="H184" i="37"/>
  <c r="I184" i="37" s="1"/>
  <c r="F184" i="37"/>
  <c r="E184" i="37"/>
  <c r="N183" i="37"/>
  <c r="K183" i="37"/>
  <c r="L183" i="37" s="1"/>
  <c r="H183" i="37"/>
  <c r="E183" i="37"/>
  <c r="N182" i="37"/>
  <c r="O182" i="37" s="1"/>
  <c r="K182" i="37"/>
  <c r="H182" i="37"/>
  <c r="E182" i="37"/>
  <c r="F182" i="37" s="1"/>
  <c r="N181" i="37"/>
  <c r="K181" i="37"/>
  <c r="H181" i="37"/>
  <c r="I181" i="37" s="1"/>
  <c r="F181" i="37"/>
  <c r="E181" i="37"/>
  <c r="N180" i="37"/>
  <c r="K180" i="37"/>
  <c r="L180" i="37" s="1"/>
  <c r="H180" i="37"/>
  <c r="E180" i="37"/>
  <c r="O179" i="37"/>
  <c r="N179" i="37"/>
  <c r="K179" i="37"/>
  <c r="H179" i="37"/>
  <c r="H199" i="37" s="1"/>
  <c r="E179" i="37"/>
  <c r="M177" i="37"/>
  <c r="J177" i="37"/>
  <c r="G177" i="37"/>
  <c r="D177" i="37"/>
  <c r="B177" i="37"/>
  <c r="M176" i="37"/>
  <c r="G176" i="37"/>
  <c r="B172" i="37"/>
  <c r="N171" i="37"/>
  <c r="K171" i="37"/>
  <c r="L171" i="37" s="1"/>
  <c r="L21" i="37" s="1"/>
  <c r="H171" i="37"/>
  <c r="I171" i="37" s="1"/>
  <c r="I21" i="37" s="1"/>
  <c r="E171" i="37"/>
  <c r="F171" i="37" s="1"/>
  <c r="O170" i="37"/>
  <c r="N170" i="37"/>
  <c r="K170" i="37"/>
  <c r="L170" i="37" s="1"/>
  <c r="H170" i="37"/>
  <c r="I170" i="37" s="1"/>
  <c r="F170" i="37"/>
  <c r="E170" i="37"/>
  <c r="O169" i="37"/>
  <c r="N169" i="37"/>
  <c r="L169" i="37"/>
  <c r="K169" i="37"/>
  <c r="H169" i="37"/>
  <c r="I169" i="37" s="1"/>
  <c r="E169" i="37"/>
  <c r="F169" i="37" s="1"/>
  <c r="N168" i="37"/>
  <c r="O168" i="37" s="1"/>
  <c r="L168" i="37"/>
  <c r="K168" i="37"/>
  <c r="H168" i="37"/>
  <c r="I168" i="37" s="1"/>
  <c r="E168" i="37"/>
  <c r="F168" i="37" s="1"/>
  <c r="O167" i="37"/>
  <c r="N167" i="37"/>
  <c r="K167" i="37"/>
  <c r="L167" i="37" s="1"/>
  <c r="H167" i="37"/>
  <c r="I167" i="37" s="1"/>
  <c r="F167" i="37"/>
  <c r="E167" i="37"/>
  <c r="N166" i="37"/>
  <c r="O166" i="37" s="1"/>
  <c r="L166" i="37"/>
  <c r="K166" i="37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K163" i="37"/>
  <c r="L163" i="37" s="1"/>
  <c r="H163" i="37"/>
  <c r="I163" i="37" s="1"/>
  <c r="E163" i="37"/>
  <c r="F163" i="37" s="1"/>
  <c r="N162" i="37"/>
  <c r="O162" i="37" s="1"/>
  <c r="L162" i="37"/>
  <c r="K162" i="37"/>
  <c r="H162" i="37"/>
  <c r="I162" i="37" s="1"/>
  <c r="F162" i="37"/>
  <c r="E162" i="37"/>
  <c r="N161" i="37"/>
  <c r="O161" i="37" s="1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E160" i="37"/>
  <c r="F160" i="37" s="1"/>
  <c r="O159" i="37"/>
  <c r="N159" i="37"/>
  <c r="K159" i="37"/>
  <c r="L159" i="37" s="1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L157" i="37"/>
  <c r="K157" i="37"/>
  <c r="H157" i="37"/>
  <c r="I157" i="37" s="1"/>
  <c r="E157" i="37"/>
  <c r="F157" i="37" s="1"/>
  <c r="O156" i="37"/>
  <c r="N156" i="37"/>
  <c r="K156" i="37"/>
  <c r="L156" i="37" s="1"/>
  <c r="H156" i="37"/>
  <c r="I156" i="37" s="1"/>
  <c r="F156" i="37"/>
  <c r="E156" i="37"/>
  <c r="N155" i="37"/>
  <c r="O155" i="37" s="1"/>
  <c r="K155" i="37"/>
  <c r="L155" i="37" s="1"/>
  <c r="H155" i="37"/>
  <c r="I155" i="37" s="1"/>
  <c r="E155" i="37"/>
  <c r="F155" i="37" s="1"/>
  <c r="O154" i="37"/>
  <c r="N154" i="37"/>
  <c r="K154" i="37"/>
  <c r="L154" i="37" s="1"/>
  <c r="H154" i="37"/>
  <c r="I154" i="37" s="1"/>
  <c r="F154" i="37"/>
  <c r="E154" i="37"/>
  <c r="O153" i="37"/>
  <c r="N153" i="37"/>
  <c r="L153" i="37"/>
  <c r="K153" i="37"/>
  <c r="H153" i="37"/>
  <c r="I153" i="37" s="1"/>
  <c r="E153" i="37"/>
  <c r="F153" i="37" s="1"/>
  <c r="N152" i="37"/>
  <c r="L152" i="37"/>
  <c r="K152" i="37"/>
  <c r="H152" i="37"/>
  <c r="H172" i="37" s="1"/>
  <c r="E152" i="37"/>
  <c r="M150" i="37"/>
  <c r="J150" i="37"/>
  <c r="G150" i="37"/>
  <c r="D150" i="37"/>
  <c r="B150" i="37"/>
  <c r="M149" i="37"/>
  <c r="G149" i="37"/>
  <c r="B145" i="37"/>
  <c r="O144" i="37" s="1"/>
  <c r="N144" i="37"/>
  <c r="K144" i="37"/>
  <c r="H144" i="37"/>
  <c r="I144" i="37" s="1"/>
  <c r="E144" i="37"/>
  <c r="N143" i="37"/>
  <c r="K143" i="37"/>
  <c r="L143" i="37" s="1"/>
  <c r="H143" i="37"/>
  <c r="E143" i="37"/>
  <c r="O142" i="37"/>
  <c r="N142" i="37"/>
  <c r="K142" i="37"/>
  <c r="H142" i="37"/>
  <c r="F142" i="37"/>
  <c r="E142" i="37"/>
  <c r="N141" i="37"/>
  <c r="K141" i="37"/>
  <c r="H141" i="37"/>
  <c r="E141" i="37"/>
  <c r="O140" i="37"/>
  <c r="N140" i="37"/>
  <c r="K140" i="37"/>
  <c r="H140" i="37"/>
  <c r="F140" i="37"/>
  <c r="E140" i="37"/>
  <c r="N139" i="37"/>
  <c r="K139" i="37"/>
  <c r="L139" i="37" s="1"/>
  <c r="H139" i="37"/>
  <c r="E139" i="37"/>
  <c r="O138" i="37"/>
  <c r="N138" i="37"/>
  <c r="K138" i="37"/>
  <c r="H138" i="37"/>
  <c r="I138" i="37" s="1"/>
  <c r="E138" i="37"/>
  <c r="N137" i="37"/>
  <c r="K137" i="37"/>
  <c r="H137" i="37"/>
  <c r="I137" i="37" s="1"/>
  <c r="E137" i="37"/>
  <c r="N136" i="37"/>
  <c r="K136" i="37"/>
  <c r="L136" i="37" s="1"/>
  <c r="H136" i="37"/>
  <c r="E136" i="37"/>
  <c r="O135" i="37"/>
  <c r="O19" i="37" s="1"/>
  <c r="N135" i="37"/>
  <c r="K135" i="37"/>
  <c r="H135" i="37"/>
  <c r="F135" i="37"/>
  <c r="F19" i="37" s="1"/>
  <c r="E135" i="37"/>
  <c r="N134" i="37"/>
  <c r="K134" i="37"/>
  <c r="H134" i="37"/>
  <c r="E134" i="37"/>
  <c r="N133" i="37"/>
  <c r="O133" i="37" s="1"/>
  <c r="K133" i="37"/>
  <c r="H133" i="37"/>
  <c r="E133" i="37"/>
  <c r="O132" i="37"/>
  <c r="N132" i="37"/>
  <c r="K132" i="37"/>
  <c r="H132" i="37"/>
  <c r="F132" i="37"/>
  <c r="E132" i="37"/>
  <c r="N131" i="37"/>
  <c r="K131" i="37"/>
  <c r="L131" i="37" s="1"/>
  <c r="H131" i="37"/>
  <c r="E131" i="37"/>
  <c r="O130" i="37"/>
  <c r="N130" i="37"/>
  <c r="K130" i="37"/>
  <c r="H130" i="37"/>
  <c r="I130" i="37" s="1"/>
  <c r="E130" i="37"/>
  <c r="N129" i="37"/>
  <c r="L129" i="37"/>
  <c r="K129" i="37"/>
  <c r="H129" i="37"/>
  <c r="E129" i="37"/>
  <c r="O128" i="37"/>
  <c r="N128" i="37"/>
  <c r="K128" i="37"/>
  <c r="H128" i="37"/>
  <c r="I128" i="37" s="1"/>
  <c r="F128" i="37"/>
  <c r="E128" i="37"/>
  <c r="N127" i="37"/>
  <c r="K127" i="37"/>
  <c r="H127" i="37"/>
  <c r="I127" i="37" s="1"/>
  <c r="I18" i="37" s="1"/>
  <c r="E127" i="37"/>
  <c r="N126" i="37"/>
  <c r="K126" i="37"/>
  <c r="H126" i="37"/>
  <c r="I126" i="37" s="1"/>
  <c r="E126" i="37"/>
  <c r="N125" i="37"/>
  <c r="L125" i="37"/>
  <c r="K125" i="37"/>
  <c r="H125" i="37"/>
  <c r="F125" i="37"/>
  <c r="E125" i="37"/>
  <c r="M123" i="37"/>
  <c r="J123" i="37"/>
  <c r="G123" i="37"/>
  <c r="D123" i="37"/>
  <c r="B123" i="37"/>
  <c r="M122" i="37"/>
  <c r="G122" i="37"/>
  <c r="B118" i="37"/>
  <c r="O117" i="37" s="1"/>
  <c r="N117" i="37"/>
  <c r="K117" i="37"/>
  <c r="L117" i="37" s="1"/>
  <c r="H117" i="37"/>
  <c r="I117" i="37" s="1"/>
  <c r="E117" i="37"/>
  <c r="N116" i="37"/>
  <c r="O116" i="37" s="1"/>
  <c r="K116" i="37"/>
  <c r="L116" i="37" s="1"/>
  <c r="H116" i="37"/>
  <c r="E116" i="37"/>
  <c r="O115" i="37"/>
  <c r="N115" i="37"/>
  <c r="K115" i="37"/>
  <c r="H115" i="37"/>
  <c r="I115" i="37" s="1"/>
  <c r="F115" i="37"/>
  <c r="E115" i="37"/>
  <c r="N114" i="37"/>
  <c r="L114" i="37"/>
  <c r="K114" i="37"/>
  <c r="H114" i="37"/>
  <c r="E114" i="37"/>
  <c r="N113" i="37"/>
  <c r="O113" i="37" s="1"/>
  <c r="K113" i="37"/>
  <c r="H113" i="37"/>
  <c r="F113" i="37"/>
  <c r="E113" i="37"/>
  <c r="N112" i="37"/>
  <c r="K112" i="37"/>
  <c r="H112" i="37"/>
  <c r="E112" i="37"/>
  <c r="N111" i="37"/>
  <c r="O111" i="37" s="1"/>
  <c r="O30" i="37" s="1"/>
  <c r="K111" i="37"/>
  <c r="H111" i="37"/>
  <c r="I111" i="37" s="1"/>
  <c r="I30" i="37" s="1"/>
  <c r="F111" i="37"/>
  <c r="F30" i="37" s="1"/>
  <c r="E111" i="37"/>
  <c r="N110" i="37"/>
  <c r="L110" i="37"/>
  <c r="K110" i="37"/>
  <c r="H110" i="37"/>
  <c r="F110" i="37"/>
  <c r="E110" i="37"/>
  <c r="O109" i="37"/>
  <c r="N109" i="37"/>
  <c r="K109" i="37"/>
  <c r="L109" i="37" s="1"/>
  <c r="L28" i="37" s="1"/>
  <c r="H109" i="37"/>
  <c r="I109" i="37" s="1"/>
  <c r="I28" i="37" s="1"/>
  <c r="F109" i="37"/>
  <c r="F28" i="37" s="1"/>
  <c r="E109" i="37"/>
  <c r="N108" i="37"/>
  <c r="O108" i="37" s="1"/>
  <c r="K108" i="37"/>
  <c r="L108" i="37" s="1"/>
  <c r="H108" i="37"/>
  <c r="I108" i="37" s="1"/>
  <c r="E108" i="37"/>
  <c r="O107" i="37"/>
  <c r="N107" i="37"/>
  <c r="K107" i="37"/>
  <c r="H107" i="37"/>
  <c r="I107" i="37" s="1"/>
  <c r="F107" i="37"/>
  <c r="E107" i="37"/>
  <c r="N106" i="37"/>
  <c r="N25" i="37" s="1"/>
  <c r="L106" i="37"/>
  <c r="L25" i="37" s="1"/>
  <c r="K106" i="37"/>
  <c r="H106" i="37"/>
  <c r="F106" i="37"/>
  <c r="F25" i="37" s="1"/>
  <c r="E106" i="37"/>
  <c r="N105" i="37"/>
  <c r="O105" i="37" s="1"/>
  <c r="K105" i="37"/>
  <c r="H105" i="37"/>
  <c r="I105" i="37" s="1"/>
  <c r="F105" i="37"/>
  <c r="E105" i="37"/>
  <c r="N104" i="37"/>
  <c r="K104" i="37"/>
  <c r="L104" i="37" s="1"/>
  <c r="H104" i="37"/>
  <c r="I104" i="37" s="1"/>
  <c r="E104" i="37"/>
  <c r="N103" i="37"/>
  <c r="O103" i="37" s="1"/>
  <c r="L103" i="37"/>
  <c r="K103" i="37"/>
  <c r="H103" i="37"/>
  <c r="I103" i="37" s="1"/>
  <c r="F103" i="37"/>
  <c r="E103" i="37"/>
  <c r="N102" i="37"/>
  <c r="L102" i="37"/>
  <c r="K102" i="37"/>
  <c r="H102" i="37"/>
  <c r="I102" i="37" s="1"/>
  <c r="E102" i="37"/>
  <c r="O101" i="37"/>
  <c r="N101" i="37"/>
  <c r="K101" i="37"/>
  <c r="H101" i="37"/>
  <c r="I101" i="37" s="1"/>
  <c r="F101" i="37"/>
  <c r="E101" i="37"/>
  <c r="N100" i="37"/>
  <c r="K100" i="37"/>
  <c r="H100" i="37"/>
  <c r="I100" i="37" s="1"/>
  <c r="I27" i="37" s="1"/>
  <c r="F100" i="37"/>
  <c r="F27" i="37" s="1"/>
  <c r="E100" i="37"/>
  <c r="O99" i="37"/>
  <c r="N99" i="37"/>
  <c r="L99" i="37"/>
  <c r="K99" i="37"/>
  <c r="H99" i="37"/>
  <c r="I99" i="37" s="1"/>
  <c r="F99" i="37"/>
  <c r="E99" i="37"/>
  <c r="N98" i="37"/>
  <c r="L98" i="37"/>
  <c r="K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K90" i="37"/>
  <c r="H90" i="37"/>
  <c r="E90" i="37"/>
  <c r="N89" i="37"/>
  <c r="K89" i="37"/>
  <c r="H89" i="37"/>
  <c r="E89" i="37"/>
  <c r="N88" i="37"/>
  <c r="K88" i="37"/>
  <c r="H88" i="37"/>
  <c r="E88" i="37"/>
  <c r="N87" i="37"/>
  <c r="K87" i="37"/>
  <c r="H87" i="37"/>
  <c r="E87" i="37"/>
  <c r="N86" i="37"/>
  <c r="K86" i="37"/>
  <c r="H86" i="37"/>
  <c r="E86" i="37"/>
  <c r="N85" i="37"/>
  <c r="K85" i="37"/>
  <c r="H85" i="37"/>
  <c r="E85" i="37"/>
  <c r="N84" i="37"/>
  <c r="K84" i="37"/>
  <c r="H84" i="37"/>
  <c r="E84" i="37"/>
  <c r="N83" i="37"/>
  <c r="K83" i="37"/>
  <c r="H83" i="37"/>
  <c r="E83" i="37"/>
  <c r="N82" i="37"/>
  <c r="K82" i="37"/>
  <c r="H82" i="37"/>
  <c r="E82" i="37"/>
  <c r="N81" i="37"/>
  <c r="K81" i="37"/>
  <c r="H81" i="37"/>
  <c r="E81" i="37"/>
  <c r="N80" i="37"/>
  <c r="K80" i="37"/>
  <c r="H80" i="37"/>
  <c r="E80" i="37"/>
  <c r="N79" i="37"/>
  <c r="K79" i="37"/>
  <c r="H79" i="37"/>
  <c r="E79" i="37"/>
  <c r="N78" i="37"/>
  <c r="K78" i="37"/>
  <c r="H78" i="37"/>
  <c r="E78" i="37"/>
  <c r="N77" i="37"/>
  <c r="N29" i="37" s="1"/>
  <c r="K77" i="37"/>
  <c r="H77" i="37"/>
  <c r="E77" i="37"/>
  <c r="N76" i="37"/>
  <c r="K76" i="37"/>
  <c r="H76" i="37"/>
  <c r="E76" i="37"/>
  <c r="N75" i="37"/>
  <c r="N23" i="37" s="1"/>
  <c r="K75" i="37"/>
  <c r="H75" i="37"/>
  <c r="E75" i="37"/>
  <c r="N74" i="37"/>
  <c r="K74" i="37"/>
  <c r="K22" i="37" s="1"/>
  <c r="H74" i="37"/>
  <c r="E74" i="37"/>
  <c r="N73" i="37"/>
  <c r="K73" i="37"/>
  <c r="H73" i="37"/>
  <c r="E73" i="37"/>
  <c r="N72" i="37"/>
  <c r="K72" i="37"/>
  <c r="H72" i="37"/>
  <c r="E72" i="37"/>
  <c r="N71" i="37"/>
  <c r="K71" i="37"/>
  <c r="H71" i="37"/>
  <c r="E71" i="37"/>
  <c r="M69" i="37"/>
  <c r="J69" i="37"/>
  <c r="G69" i="37"/>
  <c r="D69" i="37"/>
  <c r="B69" i="37"/>
  <c r="M68" i="37"/>
  <c r="G68" i="37"/>
  <c r="B64" i="37"/>
  <c r="N63" i="37"/>
  <c r="L63" i="37"/>
  <c r="K63" i="37"/>
  <c r="H63" i="37"/>
  <c r="I63" i="37" s="1"/>
  <c r="E63" i="37"/>
  <c r="O62" i="37"/>
  <c r="N62" i="37"/>
  <c r="K62" i="37"/>
  <c r="L62" i="37" s="1"/>
  <c r="H62" i="37"/>
  <c r="E62" i="37"/>
  <c r="F62" i="37" s="1"/>
  <c r="N61" i="37"/>
  <c r="O61" i="37" s="1"/>
  <c r="L61" i="37"/>
  <c r="K61" i="37"/>
  <c r="I61" i="37"/>
  <c r="H61" i="37"/>
  <c r="E61" i="37"/>
  <c r="F61" i="37" s="1"/>
  <c r="N60" i="37"/>
  <c r="L60" i="37"/>
  <c r="K60" i="37"/>
  <c r="H60" i="37"/>
  <c r="E60" i="37"/>
  <c r="F60" i="37" s="1"/>
  <c r="N59" i="37"/>
  <c r="O59" i="37" s="1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N57" i="37"/>
  <c r="O57" i="37" s="1"/>
  <c r="K57" i="37"/>
  <c r="L57" i="37" s="1"/>
  <c r="H57" i="37"/>
  <c r="E57" i="37"/>
  <c r="F57" i="37" s="1"/>
  <c r="N56" i="37"/>
  <c r="O56" i="37" s="1"/>
  <c r="K56" i="37"/>
  <c r="H56" i="37"/>
  <c r="I56" i="37" s="1"/>
  <c r="E56" i="37"/>
  <c r="F56" i="37" s="1"/>
  <c r="N55" i="37"/>
  <c r="L55" i="37"/>
  <c r="K55" i="37"/>
  <c r="H55" i="37"/>
  <c r="I55" i="37" s="1"/>
  <c r="E55" i="37"/>
  <c r="N54" i="37"/>
  <c r="O54" i="37" s="1"/>
  <c r="L54" i="37"/>
  <c r="K54" i="37"/>
  <c r="H54" i="37"/>
  <c r="E54" i="37"/>
  <c r="F54" i="37" s="1"/>
  <c r="O53" i="37"/>
  <c r="N53" i="37"/>
  <c r="L53" i="37"/>
  <c r="K53" i="37"/>
  <c r="I53" i="37"/>
  <c r="H53" i="37"/>
  <c r="E53" i="37"/>
  <c r="F53" i="37" s="1"/>
  <c r="N52" i="37"/>
  <c r="O52" i="37" s="1"/>
  <c r="L52" i="37"/>
  <c r="K52" i="37"/>
  <c r="H52" i="37"/>
  <c r="I52" i="37" s="1"/>
  <c r="E52" i="37"/>
  <c r="F52" i="37" s="1"/>
  <c r="N51" i="37"/>
  <c r="O51" i="37" s="1"/>
  <c r="K51" i="37"/>
  <c r="H51" i="37"/>
  <c r="I51" i="37" s="1"/>
  <c r="E51" i="37"/>
  <c r="F51" i="37" s="1"/>
  <c r="N50" i="37"/>
  <c r="L50" i="37"/>
  <c r="K50" i="37"/>
  <c r="I50" i="37"/>
  <c r="H50" i="37"/>
  <c r="E50" i="37"/>
  <c r="F50" i="37" s="1"/>
  <c r="N49" i="37"/>
  <c r="O49" i="37" s="1"/>
  <c r="O17" i="37" s="1"/>
  <c r="K49" i="37"/>
  <c r="L49" i="37" s="1"/>
  <c r="L17" i="37" s="1"/>
  <c r="H49" i="37"/>
  <c r="E49" i="37"/>
  <c r="F49" i="37" s="1"/>
  <c r="F17" i="37" s="1"/>
  <c r="O48" i="37"/>
  <c r="N48" i="37"/>
  <c r="L48" i="37"/>
  <c r="K48" i="37"/>
  <c r="H48" i="37"/>
  <c r="I48" i="37" s="1"/>
  <c r="E48" i="37"/>
  <c r="N47" i="37"/>
  <c r="O47" i="37" s="1"/>
  <c r="L47" i="37"/>
  <c r="K47" i="37"/>
  <c r="H47" i="37"/>
  <c r="E47" i="37"/>
  <c r="F47" i="37" s="1"/>
  <c r="N46" i="37"/>
  <c r="O46" i="37" s="1"/>
  <c r="K46" i="37"/>
  <c r="H46" i="37"/>
  <c r="I46" i="37" s="1"/>
  <c r="E46" i="37"/>
  <c r="F46" i="37" s="1"/>
  <c r="N45" i="37"/>
  <c r="O45" i="37" s="1"/>
  <c r="K45" i="37"/>
  <c r="I45" i="37"/>
  <c r="H45" i="37"/>
  <c r="E45" i="37"/>
  <c r="N44" i="37"/>
  <c r="N26" i="37" s="1"/>
  <c r="L44" i="37"/>
  <c r="K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N31" i="37"/>
  <c r="M31" i="37"/>
  <c r="K31" i="37"/>
  <c r="J31" i="37"/>
  <c r="G31" i="37"/>
  <c r="E31" i="37"/>
  <c r="D31" i="37"/>
  <c r="C31" i="37"/>
  <c r="B31" i="37"/>
  <c r="N30" i="37"/>
  <c r="M30" i="37"/>
  <c r="K30" i="37"/>
  <c r="J30" i="37"/>
  <c r="H30" i="37"/>
  <c r="G30" i="37"/>
  <c r="E30" i="37"/>
  <c r="D30" i="37"/>
  <c r="C30" i="37"/>
  <c r="B30" i="37"/>
  <c r="M29" i="37"/>
  <c r="K29" i="37"/>
  <c r="J29" i="37"/>
  <c r="H29" i="37"/>
  <c r="G29" i="37"/>
  <c r="D29" i="37"/>
  <c r="C29" i="37"/>
  <c r="B29" i="37"/>
  <c r="O28" i="37"/>
  <c r="N28" i="37"/>
  <c r="M28" i="37"/>
  <c r="J28" i="37"/>
  <c r="H28" i="37"/>
  <c r="G28" i="37"/>
  <c r="E28" i="37"/>
  <c r="D28" i="37"/>
  <c r="C28" i="37"/>
  <c r="B28" i="37"/>
  <c r="N27" i="37"/>
  <c r="M27" i="37"/>
  <c r="J27" i="37"/>
  <c r="H27" i="37"/>
  <c r="G27" i="37"/>
  <c r="E27" i="37"/>
  <c r="D27" i="37"/>
  <c r="C27" i="37"/>
  <c r="B27" i="37"/>
  <c r="M26" i="37"/>
  <c r="L26" i="37"/>
  <c r="K26" i="37"/>
  <c r="J26" i="37"/>
  <c r="H26" i="37"/>
  <c r="G26" i="37"/>
  <c r="D26" i="37"/>
  <c r="C26" i="37"/>
  <c r="B26" i="37"/>
  <c r="M25" i="37"/>
  <c r="K25" i="37"/>
  <c r="J25" i="37"/>
  <c r="H25" i="37"/>
  <c r="G25" i="37"/>
  <c r="E25" i="37"/>
  <c r="D25" i="37"/>
  <c r="C25" i="37"/>
  <c r="B25" i="37"/>
  <c r="N24" i="37"/>
  <c r="M24" i="37"/>
  <c r="J24" i="37"/>
  <c r="H24" i="37"/>
  <c r="G24" i="37"/>
  <c r="E24" i="37"/>
  <c r="D24" i="37"/>
  <c r="C24" i="37"/>
  <c r="B24" i="37"/>
  <c r="M23" i="37"/>
  <c r="K23" i="37"/>
  <c r="J23" i="37"/>
  <c r="H23" i="37"/>
  <c r="G23" i="37"/>
  <c r="D23" i="37"/>
  <c r="C23" i="37"/>
  <c r="B23" i="37"/>
  <c r="N22" i="37"/>
  <c r="M22" i="37"/>
  <c r="J22" i="37"/>
  <c r="H22" i="37"/>
  <c r="G22" i="37"/>
  <c r="E22" i="37"/>
  <c r="D22" i="37"/>
  <c r="C22" i="37"/>
  <c r="B22" i="37"/>
  <c r="M21" i="37"/>
  <c r="K21" i="37"/>
  <c r="J21" i="37"/>
  <c r="H21" i="37"/>
  <c r="G21" i="37"/>
  <c r="F21" i="37"/>
  <c r="E21" i="37"/>
  <c r="D21" i="37"/>
  <c r="C21" i="37"/>
  <c r="B21" i="37"/>
  <c r="N20" i="37"/>
  <c r="M20" i="37"/>
  <c r="J20" i="37"/>
  <c r="H20" i="37"/>
  <c r="G20" i="37"/>
  <c r="E20" i="37"/>
  <c r="D20" i="37"/>
  <c r="C20" i="37"/>
  <c r="B20" i="37"/>
  <c r="N19" i="37"/>
  <c r="M19" i="37"/>
  <c r="K19" i="37"/>
  <c r="J19" i="37"/>
  <c r="H19" i="37"/>
  <c r="G19" i="37"/>
  <c r="E19" i="37"/>
  <c r="D19" i="37"/>
  <c r="C19" i="37"/>
  <c r="B19" i="37"/>
  <c r="N18" i="37"/>
  <c r="M18" i="37"/>
  <c r="J18" i="37"/>
  <c r="H18" i="37"/>
  <c r="G18" i="37"/>
  <c r="E18" i="37"/>
  <c r="D18" i="37"/>
  <c r="C18" i="37"/>
  <c r="B18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K198" i="36"/>
  <c r="H198" i="36"/>
  <c r="E198" i="36"/>
  <c r="N197" i="36"/>
  <c r="O197" i="36" s="1"/>
  <c r="K197" i="36"/>
  <c r="L197" i="36" s="1"/>
  <c r="H197" i="36"/>
  <c r="E197" i="36"/>
  <c r="F197" i="36" s="1"/>
  <c r="N196" i="36"/>
  <c r="O196" i="36" s="1"/>
  <c r="K196" i="36"/>
  <c r="H196" i="36"/>
  <c r="I196" i="36" s="1"/>
  <c r="E196" i="36"/>
  <c r="F196" i="36" s="1"/>
  <c r="N195" i="36"/>
  <c r="K195" i="36"/>
  <c r="L195" i="36" s="1"/>
  <c r="H195" i="36"/>
  <c r="I195" i="36" s="1"/>
  <c r="F195" i="36"/>
  <c r="E195" i="36"/>
  <c r="N194" i="36"/>
  <c r="O194" i="36" s="1"/>
  <c r="K194" i="36"/>
  <c r="L194" i="36" s="1"/>
  <c r="H194" i="36"/>
  <c r="E194" i="36"/>
  <c r="F194" i="36" s="1"/>
  <c r="N193" i="36"/>
  <c r="O193" i="36" s="1"/>
  <c r="K193" i="36"/>
  <c r="H193" i="36"/>
  <c r="I193" i="36" s="1"/>
  <c r="E193" i="36"/>
  <c r="F193" i="36" s="1"/>
  <c r="N192" i="36"/>
  <c r="K192" i="36"/>
  <c r="L192" i="36" s="1"/>
  <c r="H192" i="36"/>
  <c r="I192" i="36" s="1"/>
  <c r="E192" i="36"/>
  <c r="N191" i="36"/>
  <c r="K191" i="36"/>
  <c r="L191" i="36" s="1"/>
  <c r="H191" i="36"/>
  <c r="F191" i="36"/>
  <c r="E191" i="36"/>
  <c r="O190" i="36"/>
  <c r="N190" i="36"/>
  <c r="L190" i="36"/>
  <c r="K190" i="36"/>
  <c r="H190" i="36"/>
  <c r="I190" i="36" s="1"/>
  <c r="E190" i="36"/>
  <c r="N189" i="36"/>
  <c r="O189" i="36" s="1"/>
  <c r="K189" i="36"/>
  <c r="H189" i="36"/>
  <c r="E189" i="36"/>
  <c r="F189" i="36" s="1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E187" i="36"/>
  <c r="N186" i="36"/>
  <c r="O186" i="36" s="1"/>
  <c r="L186" i="36"/>
  <c r="K186" i="36"/>
  <c r="H186" i="36"/>
  <c r="I186" i="36" s="1"/>
  <c r="E186" i="36"/>
  <c r="F186" i="36" s="1"/>
  <c r="N185" i="36"/>
  <c r="K185" i="36"/>
  <c r="L185" i="36" s="1"/>
  <c r="H185" i="36"/>
  <c r="I185" i="36" s="1"/>
  <c r="E185" i="36"/>
  <c r="N184" i="36"/>
  <c r="O184" i="36" s="1"/>
  <c r="K184" i="36"/>
  <c r="L184" i="36" s="1"/>
  <c r="H184" i="36"/>
  <c r="E184" i="36"/>
  <c r="F184" i="36" s="1"/>
  <c r="O183" i="36"/>
  <c r="N183" i="36"/>
  <c r="K183" i="36"/>
  <c r="L183" i="36" s="1"/>
  <c r="H183" i="36"/>
  <c r="I183" i="36" s="1"/>
  <c r="F183" i="36"/>
  <c r="E183" i="36"/>
  <c r="N182" i="36"/>
  <c r="O182" i="36" s="1"/>
  <c r="K182" i="36"/>
  <c r="L182" i="36" s="1"/>
  <c r="H182" i="36"/>
  <c r="E182" i="36"/>
  <c r="F182" i="36" s="1"/>
  <c r="N181" i="36"/>
  <c r="O181" i="36" s="1"/>
  <c r="K181" i="36"/>
  <c r="H181" i="36"/>
  <c r="I181" i="36" s="1"/>
  <c r="E181" i="36"/>
  <c r="F181" i="36" s="1"/>
  <c r="N180" i="36"/>
  <c r="K180" i="36"/>
  <c r="L180" i="36" s="1"/>
  <c r="H180" i="36"/>
  <c r="I180" i="36" s="1"/>
  <c r="F180" i="36"/>
  <c r="E180" i="36"/>
  <c r="N179" i="36"/>
  <c r="K179" i="36"/>
  <c r="H179" i="36"/>
  <c r="H199" i="36" s="1"/>
  <c r="E179" i="36"/>
  <c r="M177" i="36"/>
  <c r="J177" i="36"/>
  <c r="G177" i="36"/>
  <c r="D177" i="36"/>
  <c r="B177" i="36"/>
  <c r="M176" i="36"/>
  <c r="G176" i="36"/>
  <c r="B172" i="36"/>
  <c r="I170" i="36" s="1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E170" i="36"/>
  <c r="F170" i="36" s="1"/>
  <c r="N169" i="36"/>
  <c r="K169" i="36"/>
  <c r="L169" i="36" s="1"/>
  <c r="I169" i="36"/>
  <c r="H169" i="36"/>
  <c r="E169" i="36"/>
  <c r="F169" i="36" s="1"/>
  <c r="N168" i="36"/>
  <c r="O168" i="36" s="1"/>
  <c r="K168" i="36"/>
  <c r="H168" i="36"/>
  <c r="I168" i="36" s="1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E166" i="36"/>
  <c r="F166" i="36" s="1"/>
  <c r="N165" i="36"/>
  <c r="K165" i="36"/>
  <c r="L165" i="36" s="1"/>
  <c r="I165" i="36"/>
  <c r="H165" i="36"/>
  <c r="E165" i="36"/>
  <c r="F165" i="36" s="1"/>
  <c r="N164" i="36"/>
  <c r="O164" i="36" s="1"/>
  <c r="K164" i="36"/>
  <c r="H164" i="36"/>
  <c r="I164" i="36" s="1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E162" i="36"/>
  <c r="F162" i="36" s="1"/>
  <c r="N161" i="36"/>
  <c r="K161" i="36"/>
  <c r="L161" i="36" s="1"/>
  <c r="I161" i="36"/>
  <c r="H161" i="36"/>
  <c r="E161" i="36"/>
  <c r="F161" i="36" s="1"/>
  <c r="N160" i="36"/>
  <c r="O160" i="36" s="1"/>
  <c r="O21" i="36" s="1"/>
  <c r="K160" i="36"/>
  <c r="H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E158" i="36"/>
  <c r="F158" i="36" s="1"/>
  <c r="N157" i="36"/>
  <c r="K157" i="36"/>
  <c r="L157" i="36" s="1"/>
  <c r="I157" i="36"/>
  <c r="H157" i="36"/>
  <c r="E157" i="36"/>
  <c r="F157" i="36" s="1"/>
  <c r="N156" i="36"/>
  <c r="O156" i="36" s="1"/>
  <c r="K156" i="36"/>
  <c r="H156" i="36"/>
  <c r="I156" i="36" s="1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E154" i="36"/>
  <c r="F154" i="36" s="1"/>
  <c r="N153" i="36"/>
  <c r="K153" i="36"/>
  <c r="L153" i="36" s="1"/>
  <c r="I153" i="36"/>
  <c r="H153" i="36"/>
  <c r="E153" i="36"/>
  <c r="F153" i="36" s="1"/>
  <c r="N152" i="36"/>
  <c r="K152" i="36"/>
  <c r="H152" i="36"/>
  <c r="E152" i="36"/>
  <c r="M150" i="36"/>
  <c r="J150" i="36"/>
  <c r="G150" i="36"/>
  <c r="D150" i="36"/>
  <c r="B150" i="36"/>
  <c r="M149" i="36"/>
  <c r="G149" i="36"/>
  <c r="B145" i="36"/>
  <c r="F143" i="36" s="1"/>
  <c r="N144" i="36"/>
  <c r="O144" i="36" s="1"/>
  <c r="K144" i="36"/>
  <c r="H144" i="36"/>
  <c r="I144" i="36" s="1"/>
  <c r="E144" i="36"/>
  <c r="F144" i="36" s="1"/>
  <c r="N143" i="36"/>
  <c r="K143" i="36"/>
  <c r="L143" i="36" s="1"/>
  <c r="H143" i="36"/>
  <c r="I143" i="36" s="1"/>
  <c r="E143" i="36"/>
  <c r="N142" i="36"/>
  <c r="O142" i="36" s="1"/>
  <c r="K142" i="36"/>
  <c r="L142" i="36" s="1"/>
  <c r="H142" i="36"/>
  <c r="E142" i="36"/>
  <c r="F142" i="36" s="1"/>
  <c r="N141" i="36"/>
  <c r="O141" i="36" s="1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E140" i="36"/>
  <c r="N139" i="36"/>
  <c r="O139" i="36" s="1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E138" i="36"/>
  <c r="N137" i="36"/>
  <c r="O137" i="36" s="1"/>
  <c r="L137" i="36"/>
  <c r="K137" i="36"/>
  <c r="H137" i="36"/>
  <c r="I137" i="36" s="1"/>
  <c r="E137" i="36"/>
  <c r="F137" i="36" s="1"/>
  <c r="N136" i="36"/>
  <c r="K136" i="36"/>
  <c r="L136" i="36" s="1"/>
  <c r="H136" i="36"/>
  <c r="I136" i="36" s="1"/>
  <c r="E136" i="36"/>
  <c r="N135" i="36"/>
  <c r="O135" i="36" s="1"/>
  <c r="L135" i="36"/>
  <c r="K135" i="36"/>
  <c r="H135" i="36"/>
  <c r="I135" i="36" s="1"/>
  <c r="E135" i="36"/>
  <c r="F135" i="36" s="1"/>
  <c r="N134" i="36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E133" i="36"/>
  <c r="N132" i="36"/>
  <c r="O132" i="36" s="1"/>
  <c r="K132" i="36"/>
  <c r="L132" i="36" s="1"/>
  <c r="H132" i="36"/>
  <c r="E132" i="36"/>
  <c r="F132" i="36" s="1"/>
  <c r="N131" i="36"/>
  <c r="O131" i="36" s="1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E130" i="36"/>
  <c r="N129" i="36"/>
  <c r="O129" i="36" s="1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E128" i="36"/>
  <c r="N127" i="36"/>
  <c r="O127" i="36" s="1"/>
  <c r="L127" i="36"/>
  <c r="K127" i="36"/>
  <c r="H127" i="36"/>
  <c r="I127" i="36" s="1"/>
  <c r="E127" i="36"/>
  <c r="F127" i="36" s="1"/>
  <c r="N126" i="36"/>
  <c r="K126" i="36"/>
  <c r="L126" i="36" s="1"/>
  <c r="H126" i="36"/>
  <c r="I126" i="36" s="1"/>
  <c r="E126" i="36"/>
  <c r="N125" i="36"/>
  <c r="K125" i="36"/>
  <c r="H125" i="36"/>
  <c r="E125" i="36"/>
  <c r="M123" i="36"/>
  <c r="J123" i="36"/>
  <c r="G123" i="36"/>
  <c r="D123" i="36"/>
  <c r="B123" i="36"/>
  <c r="M122" i="36"/>
  <c r="G122" i="36"/>
  <c r="B118" i="36"/>
  <c r="F113" i="36" s="1"/>
  <c r="O117" i="36"/>
  <c r="N117" i="36"/>
  <c r="K117" i="36"/>
  <c r="H117" i="36"/>
  <c r="I117" i="36" s="1"/>
  <c r="F117" i="36"/>
  <c r="E117" i="36"/>
  <c r="N116" i="36"/>
  <c r="K116" i="36"/>
  <c r="L116" i="36" s="1"/>
  <c r="H116" i="36"/>
  <c r="E116" i="36"/>
  <c r="N115" i="36"/>
  <c r="O115" i="36" s="1"/>
  <c r="K115" i="36"/>
  <c r="H115" i="36"/>
  <c r="E115" i="36"/>
  <c r="F115" i="36" s="1"/>
  <c r="N114" i="36"/>
  <c r="K114" i="36"/>
  <c r="H114" i="36"/>
  <c r="I114" i="36" s="1"/>
  <c r="F114" i="36"/>
  <c r="E114" i="36"/>
  <c r="N113" i="36"/>
  <c r="K113" i="36"/>
  <c r="L113" i="36" s="1"/>
  <c r="H113" i="36"/>
  <c r="I113" i="36" s="1"/>
  <c r="E113" i="36"/>
  <c r="N112" i="36"/>
  <c r="O112" i="36" s="1"/>
  <c r="L112" i="36"/>
  <c r="K112" i="36"/>
  <c r="H112" i="36"/>
  <c r="E112" i="36"/>
  <c r="F112" i="36" s="1"/>
  <c r="N111" i="36"/>
  <c r="K111" i="36"/>
  <c r="H111" i="36"/>
  <c r="I111" i="36" s="1"/>
  <c r="F111" i="36"/>
  <c r="E111" i="36"/>
  <c r="N110" i="36"/>
  <c r="K110" i="36"/>
  <c r="L110" i="36" s="1"/>
  <c r="H110" i="36"/>
  <c r="E110" i="36"/>
  <c r="N109" i="36"/>
  <c r="O109" i="36" s="1"/>
  <c r="K109" i="36"/>
  <c r="H109" i="36"/>
  <c r="E109" i="36"/>
  <c r="F109" i="36" s="1"/>
  <c r="N108" i="36"/>
  <c r="K108" i="36"/>
  <c r="L108" i="36" s="1"/>
  <c r="H108" i="36"/>
  <c r="E108" i="36"/>
  <c r="N107" i="36"/>
  <c r="O107" i="36" s="1"/>
  <c r="K107" i="36"/>
  <c r="H107" i="36"/>
  <c r="E107" i="36"/>
  <c r="F107" i="36" s="1"/>
  <c r="N106" i="36"/>
  <c r="K106" i="36"/>
  <c r="H106" i="36"/>
  <c r="I106" i="36" s="1"/>
  <c r="F106" i="36"/>
  <c r="E106" i="36"/>
  <c r="N105" i="36"/>
  <c r="K105" i="36"/>
  <c r="L105" i="36" s="1"/>
  <c r="H105" i="36"/>
  <c r="I105" i="36" s="1"/>
  <c r="E105" i="36"/>
  <c r="N104" i="36"/>
  <c r="O104" i="36" s="1"/>
  <c r="L104" i="36"/>
  <c r="K104" i="36"/>
  <c r="H104" i="36"/>
  <c r="E104" i="36"/>
  <c r="F104" i="36" s="1"/>
  <c r="N103" i="36"/>
  <c r="K103" i="36"/>
  <c r="L103" i="36" s="1"/>
  <c r="H103" i="36"/>
  <c r="I103" i="36" s="1"/>
  <c r="E103" i="36"/>
  <c r="N102" i="36"/>
  <c r="O102" i="36" s="1"/>
  <c r="K102" i="36"/>
  <c r="L102" i="36" s="1"/>
  <c r="H102" i="36"/>
  <c r="E102" i="36"/>
  <c r="O101" i="36"/>
  <c r="N101" i="36"/>
  <c r="K101" i="36"/>
  <c r="H101" i="36"/>
  <c r="I101" i="36" s="1"/>
  <c r="F101" i="36"/>
  <c r="E101" i="36"/>
  <c r="N100" i="36"/>
  <c r="K100" i="36"/>
  <c r="L100" i="36" s="1"/>
  <c r="H100" i="36"/>
  <c r="E100" i="36"/>
  <c r="N99" i="36"/>
  <c r="O99" i="36" s="1"/>
  <c r="K99" i="36"/>
  <c r="H99" i="36"/>
  <c r="E99" i="36"/>
  <c r="F99" i="36" s="1"/>
  <c r="N98" i="36"/>
  <c r="K98" i="36"/>
  <c r="H98" i="36"/>
  <c r="F98" i="36"/>
  <c r="E98" i="36"/>
  <c r="M96" i="36"/>
  <c r="J96" i="36"/>
  <c r="G96" i="36"/>
  <c r="D96" i="36"/>
  <c r="B96" i="36"/>
  <c r="M95" i="36"/>
  <c r="G95" i="36"/>
  <c r="B91" i="36"/>
  <c r="I89" i="36" s="1"/>
  <c r="N90" i="36"/>
  <c r="O90" i="36" s="1"/>
  <c r="L90" i="36"/>
  <c r="K90" i="36"/>
  <c r="H90" i="36"/>
  <c r="I90" i="36" s="1"/>
  <c r="F90" i="36"/>
  <c r="E90" i="36"/>
  <c r="N89" i="36"/>
  <c r="O89" i="36" s="1"/>
  <c r="K89" i="36"/>
  <c r="L89" i="36" s="1"/>
  <c r="H89" i="36"/>
  <c r="E89" i="36"/>
  <c r="F89" i="36" s="1"/>
  <c r="N88" i="36"/>
  <c r="K88" i="36"/>
  <c r="L88" i="36" s="1"/>
  <c r="I88" i="36"/>
  <c r="H88" i="36"/>
  <c r="E88" i="36"/>
  <c r="F88" i="36" s="1"/>
  <c r="N87" i="36"/>
  <c r="O87" i="36" s="1"/>
  <c r="K87" i="36"/>
  <c r="H87" i="36"/>
  <c r="I87" i="36" s="1"/>
  <c r="E87" i="36"/>
  <c r="N86" i="36"/>
  <c r="O86" i="36" s="1"/>
  <c r="L86" i="36"/>
  <c r="K86" i="36"/>
  <c r="H86" i="36"/>
  <c r="I86" i="36" s="1"/>
  <c r="F86" i="36"/>
  <c r="E86" i="36"/>
  <c r="N85" i="36"/>
  <c r="O85" i="36" s="1"/>
  <c r="K85" i="36"/>
  <c r="L85" i="36" s="1"/>
  <c r="H85" i="36"/>
  <c r="E85" i="36"/>
  <c r="F85" i="36" s="1"/>
  <c r="N84" i="36"/>
  <c r="K84" i="36"/>
  <c r="L84" i="36" s="1"/>
  <c r="I84" i="36"/>
  <c r="H84" i="36"/>
  <c r="E84" i="36"/>
  <c r="F84" i="36" s="1"/>
  <c r="N83" i="36"/>
  <c r="O83" i="36" s="1"/>
  <c r="O20" i="36" s="1"/>
  <c r="K83" i="36"/>
  <c r="H83" i="36"/>
  <c r="E83" i="36"/>
  <c r="N82" i="36"/>
  <c r="O82" i="36" s="1"/>
  <c r="L82" i="36"/>
  <c r="K82" i="36"/>
  <c r="H82" i="36"/>
  <c r="I82" i="36" s="1"/>
  <c r="F82" i="36"/>
  <c r="E82" i="36"/>
  <c r="N81" i="36"/>
  <c r="O81" i="36" s="1"/>
  <c r="K81" i="36"/>
  <c r="L81" i="36" s="1"/>
  <c r="H81" i="36"/>
  <c r="E81" i="36"/>
  <c r="F81" i="36" s="1"/>
  <c r="N80" i="36"/>
  <c r="K80" i="36"/>
  <c r="L80" i="36" s="1"/>
  <c r="I80" i="36"/>
  <c r="H80" i="36"/>
  <c r="E80" i="36"/>
  <c r="F80" i="36" s="1"/>
  <c r="N79" i="36"/>
  <c r="O79" i="36" s="1"/>
  <c r="K79" i="36"/>
  <c r="H79" i="36"/>
  <c r="I79" i="36" s="1"/>
  <c r="E79" i="36"/>
  <c r="N78" i="36"/>
  <c r="O78" i="36" s="1"/>
  <c r="L78" i="36"/>
  <c r="K78" i="36"/>
  <c r="H78" i="36"/>
  <c r="I78" i="36" s="1"/>
  <c r="F78" i="36"/>
  <c r="E78" i="36"/>
  <c r="N77" i="36"/>
  <c r="O77" i="36" s="1"/>
  <c r="K77" i="36"/>
  <c r="L77" i="36" s="1"/>
  <c r="H77" i="36"/>
  <c r="E77" i="36"/>
  <c r="F77" i="36" s="1"/>
  <c r="N76" i="36"/>
  <c r="K76" i="36"/>
  <c r="L76" i="36" s="1"/>
  <c r="I76" i="36"/>
  <c r="H76" i="36"/>
  <c r="E76" i="36"/>
  <c r="F76" i="36" s="1"/>
  <c r="N75" i="36"/>
  <c r="O75" i="36" s="1"/>
  <c r="K75" i="36"/>
  <c r="H75" i="36"/>
  <c r="I75" i="36" s="1"/>
  <c r="E75" i="36"/>
  <c r="N74" i="36"/>
  <c r="O74" i="36" s="1"/>
  <c r="L74" i="36"/>
  <c r="K74" i="36"/>
  <c r="H74" i="36"/>
  <c r="I74" i="36" s="1"/>
  <c r="F74" i="36"/>
  <c r="E74" i="36"/>
  <c r="N73" i="36"/>
  <c r="O73" i="36" s="1"/>
  <c r="K73" i="36"/>
  <c r="L73" i="36" s="1"/>
  <c r="H73" i="36"/>
  <c r="E73" i="36"/>
  <c r="F73" i="36" s="1"/>
  <c r="N72" i="36"/>
  <c r="K72" i="36"/>
  <c r="L72" i="36" s="1"/>
  <c r="I72" i="36"/>
  <c r="H72" i="36"/>
  <c r="E72" i="36"/>
  <c r="F72" i="36" s="1"/>
  <c r="N71" i="36"/>
  <c r="K71" i="36"/>
  <c r="H71" i="36"/>
  <c r="E71" i="36"/>
  <c r="M69" i="36"/>
  <c r="J69" i="36"/>
  <c r="G69" i="36"/>
  <c r="D69" i="36"/>
  <c r="B69" i="36"/>
  <c r="M68" i="36"/>
  <c r="G68" i="36"/>
  <c r="B64" i="36"/>
  <c r="I62" i="36" s="1"/>
  <c r="N63" i="36"/>
  <c r="O63" i="36" s="1"/>
  <c r="L63" i="36"/>
  <c r="K63" i="36"/>
  <c r="H63" i="36"/>
  <c r="I63" i="36" s="1"/>
  <c r="F63" i="36"/>
  <c r="E63" i="36"/>
  <c r="N62" i="36"/>
  <c r="O62" i="36" s="1"/>
  <c r="K62" i="36"/>
  <c r="L62" i="36" s="1"/>
  <c r="H62" i="36"/>
  <c r="E62" i="36"/>
  <c r="F62" i="36" s="1"/>
  <c r="N61" i="36"/>
  <c r="K61" i="36"/>
  <c r="L61" i="36" s="1"/>
  <c r="I61" i="36"/>
  <c r="I19" i="36" s="1"/>
  <c r="H61" i="36"/>
  <c r="E61" i="36"/>
  <c r="F61" i="36" s="1"/>
  <c r="F19" i="36" s="1"/>
  <c r="N60" i="36"/>
  <c r="O60" i="36" s="1"/>
  <c r="K60" i="36"/>
  <c r="H60" i="36"/>
  <c r="I60" i="36" s="1"/>
  <c r="E60" i="36"/>
  <c r="N59" i="36"/>
  <c r="O59" i="36" s="1"/>
  <c r="L59" i="36"/>
  <c r="K59" i="36"/>
  <c r="H59" i="36"/>
  <c r="I59" i="36" s="1"/>
  <c r="F59" i="36"/>
  <c r="E59" i="36"/>
  <c r="N58" i="36"/>
  <c r="O58" i="36" s="1"/>
  <c r="K58" i="36"/>
  <c r="L58" i="36" s="1"/>
  <c r="H58" i="36"/>
  <c r="E58" i="36"/>
  <c r="F58" i="36" s="1"/>
  <c r="N57" i="36"/>
  <c r="K57" i="36"/>
  <c r="L57" i="36" s="1"/>
  <c r="L18" i="36" s="1"/>
  <c r="H57" i="36"/>
  <c r="I57" i="36" s="1"/>
  <c r="E57" i="36"/>
  <c r="N56" i="36"/>
  <c r="O56" i="36" s="1"/>
  <c r="L56" i="36"/>
  <c r="K56" i="36"/>
  <c r="H56" i="36"/>
  <c r="I56" i="36" s="1"/>
  <c r="F56" i="36"/>
  <c r="E56" i="36"/>
  <c r="N55" i="36"/>
  <c r="O55" i="36" s="1"/>
  <c r="K55" i="36"/>
  <c r="L55" i="36" s="1"/>
  <c r="H55" i="36"/>
  <c r="E55" i="36"/>
  <c r="F55" i="36" s="1"/>
  <c r="N54" i="36"/>
  <c r="K54" i="36"/>
  <c r="L54" i="36" s="1"/>
  <c r="L17" i="36" s="1"/>
  <c r="I54" i="36"/>
  <c r="H54" i="36"/>
  <c r="E54" i="36"/>
  <c r="F54" i="36" s="1"/>
  <c r="N53" i="36"/>
  <c r="O53" i="36" s="1"/>
  <c r="K53" i="36"/>
  <c r="H53" i="36"/>
  <c r="I53" i="36" s="1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E51" i="36"/>
  <c r="F51" i="36" s="1"/>
  <c r="N50" i="36"/>
  <c r="K50" i="36"/>
  <c r="L50" i="36" s="1"/>
  <c r="I50" i="36"/>
  <c r="H50" i="36"/>
  <c r="E50" i="36"/>
  <c r="F50" i="36" s="1"/>
  <c r="N49" i="36"/>
  <c r="O49" i="36" s="1"/>
  <c r="K49" i="36"/>
  <c r="H49" i="36"/>
  <c r="I49" i="36" s="1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E47" i="36"/>
  <c r="F47" i="36" s="1"/>
  <c r="N46" i="36"/>
  <c r="K46" i="36"/>
  <c r="L46" i="36" s="1"/>
  <c r="I46" i="36"/>
  <c r="H46" i="36"/>
  <c r="E46" i="36"/>
  <c r="F46" i="36" s="1"/>
  <c r="N45" i="36"/>
  <c r="O45" i="36" s="1"/>
  <c r="K45" i="36"/>
  <c r="H45" i="36"/>
  <c r="I45" i="36" s="1"/>
  <c r="E45" i="36"/>
  <c r="N44" i="36"/>
  <c r="L44" i="36"/>
  <c r="K44" i="36"/>
  <c r="H44" i="36"/>
  <c r="F44" i="36"/>
  <c r="E44" i="36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N21" i="36"/>
  <c r="M21" i="36"/>
  <c r="K21" i="36"/>
  <c r="J21" i="36"/>
  <c r="G21" i="36"/>
  <c r="E21" i="36"/>
  <c r="D21" i="36"/>
  <c r="C21" i="36"/>
  <c r="B21" i="36"/>
  <c r="N20" i="36"/>
  <c r="M20" i="36"/>
  <c r="K20" i="36"/>
  <c r="J20" i="36"/>
  <c r="G20" i="36"/>
  <c r="E20" i="36"/>
  <c r="D20" i="36"/>
  <c r="C20" i="36"/>
  <c r="B20" i="36"/>
  <c r="N19" i="36"/>
  <c r="M19" i="36"/>
  <c r="L19" i="36"/>
  <c r="K19" i="36"/>
  <c r="J19" i="36"/>
  <c r="H19" i="36"/>
  <c r="G19" i="36"/>
  <c r="E19" i="36"/>
  <c r="D19" i="36"/>
  <c r="C19" i="36"/>
  <c r="B19" i="36"/>
  <c r="N18" i="36"/>
  <c r="M18" i="36"/>
  <c r="K18" i="36"/>
  <c r="J18" i="36"/>
  <c r="I18" i="36"/>
  <c r="H18" i="36"/>
  <c r="G18" i="36"/>
  <c r="E18" i="36"/>
  <c r="D18" i="36"/>
  <c r="C18" i="36"/>
  <c r="B18" i="36"/>
  <c r="N17" i="36"/>
  <c r="M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K197" i="35"/>
  <c r="L197" i="35" s="1"/>
  <c r="H197" i="35"/>
  <c r="I197" i="35" s="1"/>
  <c r="E197" i="35"/>
  <c r="N196" i="35"/>
  <c r="O196" i="35" s="1"/>
  <c r="K196" i="35"/>
  <c r="H196" i="35"/>
  <c r="I196" i="35" s="1"/>
  <c r="F196" i="35"/>
  <c r="E196" i="35"/>
  <c r="N195" i="35"/>
  <c r="K195" i="35"/>
  <c r="L195" i="35" s="1"/>
  <c r="H195" i="35"/>
  <c r="I195" i="35" s="1"/>
  <c r="E195" i="35"/>
  <c r="N194" i="35"/>
  <c r="O194" i="35" s="1"/>
  <c r="L194" i="35"/>
  <c r="K194" i="35"/>
  <c r="H194" i="35"/>
  <c r="E194" i="35"/>
  <c r="F194" i="35" s="1"/>
  <c r="N193" i="35"/>
  <c r="K193" i="35"/>
  <c r="L193" i="35" s="1"/>
  <c r="H193" i="35"/>
  <c r="I193" i="35" s="1"/>
  <c r="E193" i="35"/>
  <c r="N192" i="35"/>
  <c r="O192" i="35" s="1"/>
  <c r="L192" i="35"/>
  <c r="K192" i="35"/>
  <c r="H192" i="35"/>
  <c r="E192" i="35"/>
  <c r="F192" i="35" s="1"/>
  <c r="N191" i="35"/>
  <c r="K191" i="35"/>
  <c r="H191" i="35"/>
  <c r="I191" i="35" s="1"/>
  <c r="F191" i="35"/>
  <c r="E191" i="35"/>
  <c r="N190" i="35"/>
  <c r="K190" i="35"/>
  <c r="L190" i="35" s="1"/>
  <c r="H190" i="35"/>
  <c r="E190" i="35"/>
  <c r="N189" i="35"/>
  <c r="O189" i="35" s="1"/>
  <c r="K189" i="35"/>
  <c r="L189" i="35" s="1"/>
  <c r="H189" i="35"/>
  <c r="F189" i="35"/>
  <c r="E189" i="35"/>
  <c r="O188" i="35"/>
  <c r="N188" i="35"/>
  <c r="L188" i="35"/>
  <c r="K188" i="35"/>
  <c r="H188" i="35"/>
  <c r="I188" i="35" s="1"/>
  <c r="E188" i="35"/>
  <c r="N187" i="35"/>
  <c r="O187" i="35" s="1"/>
  <c r="K187" i="35"/>
  <c r="L187" i="35" s="1"/>
  <c r="H187" i="35"/>
  <c r="E187" i="35"/>
  <c r="N186" i="35"/>
  <c r="O186" i="35" s="1"/>
  <c r="K186" i="35"/>
  <c r="H186" i="35"/>
  <c r="F186" i="35"/>
  <c r="E186" i="35"/>
  <c r="O185" i="35"/>
  <c r="N185" i="35"/>
  <c r="K185" i="35"/>
  <c r="L185" i="35" s="1"/>
  <c r="H185" i="35"/>
  <c r="F185" i="35"/>
  <c r="E185" i="35"/>
  <c r="N184" i="35"/>
  <c r="O184" i="35" s="1"/>
  <c r="K184" i="35"/>
  <c r="H184" i="35"/>
  <c r="I184" i="35" s="1"/>
  <c r="E184" i="35"/>
  <c r="N183" i="35"/>
  <c r="O183" i="35" s="1"/>
  <c r="K183" i="35"/>
  <c r="L183" i="35" s="1"/>
  <c r="H183" i="35"/>
  <c r="E183" i="35"/>
  <c r="N182" i="35"/>
  <c r="O182" i="35" s="1"/>
  <c r="L182" i="35"/>
  <c r="K182" i="35"/>
  <c r="H182" i="35"/>
  <c r="I182" i="35" s="1"/>
  <c r="E182" i="35"/>
  <c r="F182" i="35" s="1"/>
  <c r="N181" i="35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E180" i="35"/>
  <c r="F180" i="35" s="1"/>
  <c r="N179" i="35"/>
  <c r="K179" i="35"/>
  <c r="H179" i="35"/>
  <c r="F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H171" i="35"/>
  <c r="I171" i="35" s="1"/>
  <c r="F171" i="35"/>
  <c r="E171" i="35"/>
  <c r="N170" i="35"/>
  <c r="O170" i="35" s="1"/>
  <c r="K170" i="35"/>
  <c r="L170" i="35" s="1"/>
  <c r="I170" i="35"/>
  <c r="H170" i="35"/>
  <c r="E170" i="35"/>
  <c r="F170" i="35" s="1"/>
  <c r="N169" i="35"/>
  <c r="O169" i="35" s="1"/>
  <c r="K169" i="35"/>
  <c r="L169" i="35" s="1"/>
  <c r="H169" i="35"/>
  <c r="I169" i="35" s="1"/>
  <c r="E169" i="35"/>
  <c r="F169" i="35" s="1"/>
  <c r="N168" i="35"/>
  <c r="O168" i="35" s="1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E167" i="35"/>
  <c r="F167" i="35" s="1"/>
  <c r="N166" i="35"/>
  <c r="O166" i="35" s="1"/>
  <c r="L166" i="35"/>
  <c r="K166" i="35"/>
  <c r="I166" i="35"/>
  <c r="H166" i="35"/>
  <c r="F166" i="35"/>
  <c r="E166" i="35"/>
  <c r="N165" i="35"/>
  <c r="O165" i="35" s="1"/>
  <c r="K165" i="35"/>
  <c r="L165" i="35" s="1"/>
  <c r="H165" i="35"/>
  <c r="I165" i="35" s="1"/>
  <c r="E165" i="35"/>
  <c r="F165" i="35" s="1"/>
  <c r="N164" i="35"/>
  <c r="O164" i="35" s="1"/>
  <c r="L164" i="35"/>
  <c r="K164" i="35"/>
  <c r="I164" i="35"/>
  <c r="H164" i="35"/>
  <c r="F164" i="35"/>
  <c r="E164" i="35"/>
  <c r="N163" i="35"/>
  <c r="K163" i="35"/>
  <c r="L163" i="35" s="1"/>
  <c r="L21" i="35" s="1"/>
  <c r="H163" i="35"/>
  <c r="E163" i="35"/>
  <c r="F163" i="35" s="1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K156" i="35"/>
  <c r="L156" i="35" s="1"/>
  <c r="H156" i="35"/>
  <c r="I156" i="35" s="1"/>
  <c r="E156" i="35"/>
  <c r="F156" i="35" s="1"/>
  <c r="N155" i="35"/>
  <c r="O155" i="35" s="1"/>
  <c r="L155" i="35"/>
  <c r="K155" i="35"/>
  <c r="I155" i="35"/>
  <c r="H155" i="35"/>
  <c r="F155" i="35"/>
  <c r="E155" i="35"/>
  <c r="N154" i="35"/>
  <c r="K154" i="35"/>
  <c r="L154" i="35" s="1"/>
  <c r="H154" i="35"/>
  <c r="I154" i="35" s="1"/>
  <c r="I19" i="35" s="1"/>
  <c r="E154" i="35"/>
  <c r="F154" i="35" s="1"/>
  <c r="F19" i="35" s="1"/>
  <c r="N153" i="35"/>
  <c r="O153" i="35" s="1"/>
  <c r="L153" i="35"/>
  <c r="K153" i="35"/>
  <c r="I153" i="35"/>
  <c r="H153" i="35"/>
  <c r="F153" i="35"/>
  <c r="E153" i="35"/>
  <c r="N152" i="35"/>
  <c r="K152" i="35"/>
  <c r="H152" i="35"/>
  <c r="E152" i="35"/>
  <c r="M150" i="35"/>
  <c r="J150" i="35"/>
  <c r="G150" i="35"/>
  <c r="D150" i="35"/>
  <c r="B150" i="35"/>
  <c r="M149" i="35"/>
  <c r="G149" i="35"/>
  <c r="B145" i="35"/>
  <c r="F138" i="35" s="1"/>
  <c r="N144" i="35"/>
  <c r="K144" i="35"/>
  <c r="H144" i="35"/>
  <c r="E144" i="35"/>
  <c r="N143" i="35"/>
  <c r="K143" i="35"/>
  <c r="H143" i="35"/>
  <c r="E143" i="35"/>
  <c r="N142" i="35"/>
  <c r="K142" i="35"/>
  <c r="H142" i="35"/>
  <c r="E142" i="35"/>
  <c r="N141" i="35"/>
  <c r="K141" i="35"/>
  <c r="H141" i="35"/>
  <c r="E141" i="35"/>
  <c r="N140" i="35"/>
  <c r="K140" i="35"/>
  <c r="H140" i="35"/>
  <c r="E140" i="35"/>
  <c r="N139" i="35"/>
  <c r="K139" i="35"/>
  <c r="H139" i="35"/>
  <c r="E139" i="35"/>
  <c r="N138" i="35"/>
  <c r="K138" i="35"/>
  <c r="H138" i="35"/>
  <c r="E138" i="35"/>
  <c r="N137" i="35"/>
  <c r="K137" i="35"/>
  <c r="H137" i="35"/>
  <c r="E137" i="35"/>
  <c r="N136" i="35"/>
  <c r="K136" i="35"/>
  <c r="H136" i="35"/>
  <c r="E136" i="35"/>
  <c r="N135" i="35"/>
  <c r="O135" i="35" s="1"/>
  <c r="K135" i="35"/>
  <c r="H135" i="35"/>
  <c r="E135" i="35"/>
  <c r="N134" i="35"/>
  <c r="K134" i="35"/>
  <c r="H134" i="35"/>
  <c r="F134" i="35"/>
  <c r="E134" i="35"/>
  <c r="N133" i="35"/>
  <c r="K133" i="35"/>
  <c r="H133" i="35"/>
  <c r="E133" i="35"/>
  <c r="N132" i="35"/>
  <c r="K132" i="35"/>
  <c r="I132" i="35"/>
  <c r="H132" i="35"/>
  <c r="E132" i="35"/>
  <c r="N131" i="35"/>
  <c r="K131" i="35"/>
  <c r="H131" i="35"/>
  <c r="E131" i="35"/>
  <c r="N130" i="35"/>
  <c r="L130" i="35"/>
  <c r="K130" i="35"/>
  <c r="H130" i="35"/>
  <c r="E130" i="35"/>
  <c r="N129" i="35"/>
  <c r="K129" i="35"/>
  <c r="H129" i="35"/>
  <c r="E129" i="35"/>
  <c r="N128" i="35"/>
  <c r="K128" i="35"/>
  <c r="H128" i="35"/>
  <c r="E128" i="35"/>
  <c r="N127" i="35"/>
  <c r="K127" i="35"/>
  <c r="H127" i="35"/>
  <c r="E127" i="35"/>
  <c r="N126" i="35"/>
  <c r="K126" i="35"/>
  <c r="H126" i="35"/>
  <c r="E126" i="35"/>
  <c r="N125" i="35"/>
  <c r="K125" i="35"/>
  <c r="H125" i="35"/>
  <c r="E125" i="35"/>
  <c r="M123" i="35"/>
  <c r="J123" i="35"/>
  <c r="G123" i="35"/>
  <c r="D123" i="35"/>
  <c r="B123" i="35"/>
  <c r="M122" i="35"/>
  <c r="G122" i="35"/>
  <c r="B118" i="35"/>
  <c r="N117" i="35"/>
  <c r="K117" i="35"/>
  <c r="H117" i="35"/>
  <c r="I117" i="35" s="1"/>
  <c r="E117" i="35"/>
  <c r="N116" i="35"/>
  <c r="K116" i="35"/>
  <c r="H116" i="35"/>
  <c r="I116" i="35" s="1"/>
  <c r="E116" i="35"/>
  <c r="N115" i="35"/>
  <c r="L115" i="35"/>
  <c r="K115" i="35"/>
  <c r="H115" i="35"/>
  <c r="E115" i="35"/>
  <c r="F115" i="35" s="1"/>
  <c r="N114" i="35"/>
  <c r="K114" i="35"/>
  <c r="H114" i="35"/>
  <c r="E114" i="35"/>
  <c r="F114" i="35" s="1"/>
  <c r="N113" i="35"/>
  <c r="K113" i="35"/>
  <c r="H113" i="35"/>
  <c r="I113" i="35" s="1"/>
  <c r="E113" i="35"/>
  <c r="N112" i="35"/>
  <c r="K112" i="35"/>
  <c r="H112" i="35"/>
  <c r="I112" i="35" s="1"/>
  <c r="E112" i="35"/>
  <c r="N111" i="35"/>
  <c r="K111" i="35"/>
  <c r="I111" i="35"/>
  <c r="H111" i="35"/>
  <c r="E111" i="35"/>
  <c r="N110" i="35"/>
  <c r="K110" i="35"/>
  <c r="H110" i="35"/>
  <c r="E110" i="35"/>
  <c r="F110" i="35" s="1"/>
  <c r="N109" i="35"/>
  <c r="K109" i="35"/>
  <c r="H109" i="35"/>
  <c r="E109" i="35"/>
  <c r="F109" i="35" s="1"/>
  <c r="N108" i="35"/>
  <c r="K108" i="35"/>
  <c r="H108" i="35"/>
  <c r="I108" i="35" s="1"/>
  <c r="E108" i="35"/>
  <c r="N107" i="35"/>
  <c r="K107" i="35"/>
  <c r="I107" i="35"/>
  <c r="H107" i="35"/>
  <c r="E107" i="35"/>
  <c r="N106" i="35"/>
  <c r="K106" i="35"/>
  <c r="L106" i="35" s="1"/>
  <c r="H106" i="35"/>
  <c r="E106" i="35"/>
  <c r="N105" i="35"/>
  <c r="K105" i="35"/>
  <c r="H105" i="35"/>
  <c r="E105" i="35"/>
  <c r="N104" i="35"/>
  <c r="O104" i="35" s="1"/>
  <c r="K104" i="35"/>
  <c r="H104" i="35"/>
  <c r="E104" i="35"/>
  <c r="N103" i="35"/>
  <c r="O103" i="35" s="1"/>
  <c r="K103" i="35"/>
  <c r="H103" i="35"/>
  <c r="E103" i="35"/>
  <c r="F103" i="35" s="1"/>
  <c r="N102" i="35"/>
  <c r="K102" i="35"/>
  <c r="H102" i="35"/>
  <c r="I102" i="35" s="1"/>
  <c r="E102" i="35"/>
  <c r="N101" i="35"/>
  <c r="K101" i="35"/>
  <c r="H101" i="35"/>
  <c r="E101" i="35"/>
  <c r="N100" i="35"/>
  <c r="K100" i="35"/>
  <c r="L100" i="35" s="1"/>
  <c r="H100" i="35"/>
  <c r="E100" i="35"/>
  <c r="N99" i="35"/>
  <c r="K99" i="35"/>
  <c r="H99" i="35"/>
  <c r="E99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H90" i="35"/>
  <c r="I90" i="35" s="1"/>
  <c r="E90" i="35"/>
  <c r="N89" i="35"/>
  <c r="O89" i="35" s="1"/>
  <c r="K89" i="35"/>
  <c r="L89" i="35" s="1"/>
  <c r="H89" i="35"/>
  <c r="E89" i="35"/>
  <c r="F89" i="35" s="1"/>
  <c r="N88" i="35"/>
  <c r="O88" i="35" s="1"/>
  <c r="K88" i="35"/>
  <c r="H88" i="35"/>
  <c r="I88" i="35" s="1"/>
  <c r="E88" i="35"/>
  <c r="N87" i="35"/>
  <c r="O87" i="35" s="1"/>
  <c r="K87" i="35"/>
  <c r="L87" i="35" s="1"/>
  <c r="H87" i="35"/>
  <c r="I87" i="35" s="1"/>
  <c r="E87" i="35"/>
  <c r="O86" i="35"/>
  <c r="N86" i="35"/>
  <c r="K86" i="35"/>
  <c r="L86" i="35" s="1"/>
  <c r="H86" i="35"/>
  <c r="E86" i="35"/>
  <c r="F86" i="35" s="1"/>
  <c r="N85" i="35"/>
  <c r="O85" i="35" s="1"/>
  <c r="K85" i="35"/>
  <c r="H85" i="35"/>
  <c r="I85" i="35" s="1"/>
  <c r="E85" i="35"/>
  <c r="F85" i="35" s="1"/>
  <c r="N84" i="35"/>
  <c r="K84" i="35"/>
  <c r="L84" i="35" s="1"/>
  <c r="H84" i="35"/>
  <c r="E84" i="35"/>
  <c r="F84" i="35" s="1"/>
  <c r="N83" i="35"/>
  <c r="O83" i="35" s="1"/>
  <c r="K83" i="35"/>
  <c r="H83" i="35"/>
  <c r="I83" i="35" s="1"/>
  <c r="E83" i="35"/>
  <c r="F83" i="35" s="1"/>
  <c r="O82" i="35"/>
  <c r="N82" i="35"/>
  <c r="K82" i="35"/>
  <c r="L82" i="35" s="1"/>
  <c r="H82" i="35"/>
  <c r="I82" i="35" s="1"/>
  <c r="E82" i="35"/>
  <c r="N81" i="35"/>
  <c r="O81" i="35" s="1"/>
  <c r="K81" i="35"/>
  <c r="L81" i="35" s="1"/>
  <c r="H81" i="35"/>
  <c r="E81" i="35"/>
  <c r="F81" i="35" s="1"/>
  <c r="N80" i="35"/>
  <c r="O80" i="35" s="1"/>
  <c r="K80" i="35"/>
  <c r="H80" i="35"/>
  <c r="I80" i="35" s="1"/>
  <c r="E80" i="35"/>
  <c r="N79" i="35"/>
  <c r="O79" i="35" s="1"/>
  <c r="K79" i="35"/>
  <c r="L79" i="35" s="1"/>
  <c r="H79" i="35"/>
  <c r="I79" i="35" s="1"/>
  <c r="E79" i="35"/>
  <c r="O78" i="35"/>
  <c r="N78" i="35"/>
  <c r="K78" i="35"/>
  <c r="L78" i="35" s="1"/>
  <c r="H78" i="35"/>
  <c r="E78" i="35"/>
  <c r="F78" i="35" s="1"/>
  <c r="N77" i="35"/>
  <c r="O77" i="35" s="1"/>
  <c r="K77" i="35"/>
  <c r="H77" i="35"/>
  <c r="I77" i="35" s="1"/>
  <c r="E77" i="35"/>
  <c r="F77" i="35" s="1"/>
  <c r="N76" i="35"/>
  <c r="N20" i="35" s="1"/>
  <c r="K76" i="35"/>
  <c r="L76" i="35" s="1"/>
  <c r="L20" i="35" s="1"/>
  <c r="H76" i="35"/>
  <c r="H20" i="35" s="1"/>
  <c r="E76" i="35"/>
  <c r="F76" i="35" s="1"/>
  <c r="N75" i="35"/>
  <c r="O75" i="35" s="1"/>
  <c r="K75" i="35"/>
  <c r="H75" i="35"/>
  <c r="I75" i="35" s="1"/>
  <c r="E75" i="35"/>
  <c r="F75" i="35" s="1"/>
  <c r="O74" i="35"/>
  <c r="N74" i="35"/>
  <c r="K74" i="35"/>
  <c r="L74" i="35" s="1"/>
  <c r="H74" i="35"/>
  <c r="I74" i="35" s="1"/>
  <c r="E74" i="35"/>
  <c r="N73" i="35"/>
  <c r="O73" i="35" s="1"/>
  <c r="K73" i="35"/>
  <c r="L73" i="35" s="1"/>
  <c r="H73" i="35"/>
  <c r="E73" i="35"/>
  <c r="F73" i="35" s="1"/>
  <c r="N72" i="35"/>
  <c r="O72" i="35" s="1"/>
  <c r="K72" i="35"/>
  <c r="H72" i="35"/>
  <c r="I72" i="35" s="1"/>
  <c r="E72" i="35"/>
  <c r="N71" i="35"/>
  <c r="N91" i="35" s="1"/>
  <c r="K71" i="35"/>
  <c r="H71" i="35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H62" i="35"/>
  <c r="I62" i="35" s="1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H60" i="35"/>
  <c r="I60" i="35" s="1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N58" i="35"/>
  <c r="O58" i="35" s="1"/>
  <c r="L58" i="35"/>
  <c r="K58" i="35"/>
  <c r="I58" i="35"/>
  <c r="H58" i="35"/>
  <c r="E58" i="35"/>
  <c r="F58" i="35" s="1"/>
  <c r="N57" i="35"/>
  <c r="O57" i="35" s="1"/>
  <c r="K57" i="35"/>
  <c r="L57" i="35" s="1"/>
  <c r="H57" i="35"/>
  <c r="I57" i="35" s="1"/>
  <c r="E57" i="35"/>
  <c r="F57" i="35" s="1"/>
  <c r="N56" i="35"/>
  <c r="O56" i="35" s="1"/>
  <c r="K56" i="35"/>
  <c r="L56" i="35" s="1"/>
  <c r="H56" i="35"/>
  <c r="I56" i="35" s="1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H52" i="35"/>
  <c r="I52" i="35" s="1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N49" i="35"/>
  <c r="O49" i="35" s="1"/>
  <c r="K49" i="35"/>
  <c r="L49" i="35" s="1"/>
  <c r="H49" i="35"/>
  <c r="I49" i="35" s="1"/>
  <c r="E49" i="35"/>
  <c r="F49" i="35" s="1"/>
  <c r="N48" i="35"/>
  <c r="O48" i="35" s="1"/>
  <c r="K48" i="35"/>
  <c r="L48" i="35" s="1"/>
  <c r="H48" i="35"/>
  <c r="I48" i="35" s="1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H46" i="35"/>
  <c r="I46" i="35" s="1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H44" i="35"/>
  <c r="I44" i="35" s="1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M21" i="35"/>
  <c r="K21" i="35"/>
  <c r="J21" i="35"/>
  <c r="G21" i="35"/>
  <c r="F21" i="35"/>
  <c r="E21" i="35"/>
  <c r="D21" i="35"/>
  <c r="C21" i="35"/>
  <c r="B21" i="35"/>
  <c r="M20" i="35"/>
  <c r="K20" i="35"/>
  <c r="J20" i="35"/>
  <c r="G20" i="35"/>
  <c r="F20" i="35"/>
  <c r="E20" i="35"/>
  <c r="D20" i="35"/>
  <c r="C20" i="35"/>
  <c r="B20" i="35"/>
  <c r="M19" i="35"/>
  <c r="L19" i="35"/>
  <c r="K19" i="35"/>
  <c r="J19" i="35"/>
  <c r="H19" i="35"/>
  <c r="G19" i="35"/>
  <c r="E19" i="35"/>
  <c r="D19" i="35"/>
  <c r="C19" i="35"/>
  <c r="B19" i="35"/>
  <c r="N18" i="35"/>
  <c r="M18" i="35"/>
  <c r="J18" i="35"/>
  <c r="H18" i="35"/>
  <c r="G18" i="35"/>
  <c r="D18" i="35"/>
  <c r="C18" i="35"/>
  <c r="B18" i="35"/>
  <c r="O17" i="35"/>
  <c r="N17" i="35"/>
  <c r="M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K198" i="34"/>
  <c r="I198" i="34"/>
  <c r="H198" i="34"/>
  <c r="E198" i="34"/>
  <c r="N197" i="34"/>
  <c r="O197" i="34" s="1"/>
  <c r="K197" i="34"/>
  <c r="H197" i="34"/>
  <c r="E197" i="34"/>
  <c r="N196" i="34"/>
  <c r="L196" i="34"/>
  <c r="K196" i="34"/>
  <c r="H196" i="34"/>
  <c r="E196" i="34"/>
  <c r="N195" i="34"/>
  <c r="K195" i="34"/>
  <c r="H195" i="34"/>
  <c r="F195" i="34"/>
  <c r="E195" i="34"/>
  <c r="N194" i="34"/>
  <c r="L194" i="34"/>
  <c r="K194" i="34"/>
  <c r="H194" i="34"/>
  <c r="E194" i="34"/>
  <c r="N193" i="34"/>
  <c r="K193" i="34"/>
  <c r="H193" i="34"/>
  <c r="F193" i="34"/>
  <c r="E193" i="34"/>
  <c r="N192" i="34"/>
  <c r="L192" i="34"/>
  <c r="K192" i="34"/>
  <c r="H192" i="34"/>
  <c r="E192" i="34"/>
  <c r="N191" i="34"/>
  <c r="K191" i="34"/>
  <c r="H191" i="34"/>
  <c r="I191" i="34" s="1"/>
  <c r="E191" i="34"/>
  <c r="N190" i="34"/>
  <c r="L190" i="34"/>
  <c r="K190" i="34"/>
  <c r="H190" i="34"/>
  <c r="E190" i="34"/>
  <c r="N189" i="34"/>
  <c r="K189" i="34"/>
  <c r="H189" i="34"/>
  <c r="I189" i="34" s="1"/>
  <c r="E189" i="34"/>
  <c r="N188" i="34"/>
  <c r="L188" i="34"/>
  <c r="K188" i="34"/>
  <c r="H188" i="34"/>
  <c r="E188" i="34"/>
  <c r="N187" i="34"/>
  <c r="K187" i="34"/>
  <c r="H187" i="34"/>
  <c r="F187" i="34"/>
  <c r="E187" i="34"/>
  <c r="N186" i="34"/>
  <c r="L186" i="34"/>
  <c r="K186" i="34"/>
  <c r="H186" i="34"/>
  <c r="E186" i="34"/>
  <c r="N185" i="34"/>
  <c r="K185" i="34"/>
  <c r="H185" i="34"/>
  <c r="F185" i="34"/>
  <c r="E185" i="34"/>
  <c r="N184" i="34"/>
  <c r="L184" i="34"/>
  <c r="K184" i="34"/>
  <c r="H184" i="34"/>
  <c r="E184" i="34"/>
  <c r="N183" i="34"/>
  <c r="K183" i="34"/>
  <c r="H183" i="34"/>
  <c r="I183" i="34" s="1"/>
  <c r="E183" i="34"/>
  <c r="N182" i="34"/>
  <c r="L182" i="34"/>
  <c r="K182" i="34"/>
  <c r="H182" i="34"/>
  <c r="E182" i="34"/>
  <c r="N181" i="34"/>
  <c r="K181" i="34"/>
  <c r="H181" i="34"/>
  <c r="I181" i="34" s="1"/>
  <c r="E181" i="34"/>
  <c r="N180" i="34"/>
  <c r="L180" i="34"/>
  <c r="K180" i="34"/>
  <c r="H180" i="34"/>
  <c r="E180" i="34"/>
  <c r="N179" i="34"/>
  <c r="K179" i="34"/>
  <c r="H179" i="34"/>
  <c r="F179" i="34"/>
  <c r="E179" i="34"/>
  <c r="M177" i="34"/>
  <c r="J177" i="34"/>
  <c r="G177" i="34"/>
  <c r="D177" i="34"/>
  <c r="B177" i="34"/>
  <c r="M176" i="34"/>
  <c r="G176" i="34"/>
  <c r="B172" i="34"/>
  <c r="I168" i="34" s="1"/>
  <c r="N171" i="34"/>
  <c r="O171" i="34" s="1"/>
  <c r="K171" i="34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I169" i="34"/>
  <c r="H169" i="34"/>
  <c r="F169" i="34"/>
  <c r="E169" i="34"/>
  <c r="O168" i="34"/>
  <c r="N168" i="34"/>
  <c r="K168" i="34"/>
  <c r="L168" i="34" s="1"/>
  <c r="H168" i="34"/>
  <c r="E168" i="34"/>
  <c r="F168" i="34" s="1"/>
  <c r="N167" i="34"/>
  <c r="K167" i="34"/>
  <c r="L167" i="34" s="1"/>
  <c r="H167" i="34"/>
  <c r="I167" i="34" s="1"/>
  <c r="E167" i="34"/>
  <c r="N166" i="34"/>
  <c r="O166" i="34" s="1"/>
  <c r="K166" i="34"/>
  <c r="L166" i="34" s="1"/>
  <c r="H166" i="34"/>
  <c r="E166" i="34"/>
  <c r="F166" i="34" s="1"/>
  <c r="N165" i="34"/>
  <c r="K165" i="34"/>
  <c r="L165" i="34" s="1"/>
  <c r="H165" i="34"/>
  <c r="I165" i="34" s="1"/>
  <c r="E165" i="34"/>
  <c r="N164" i="34"/>
  <c r="O164" i="34" s="1"/>
  <c r="K164" i="34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I152" i="34"/>
  <c r="H152" i="34"/>
  <c r="F152" i="34"/>
  <c r="E152" i="34"/>
  <c r="M150" i="34"/>
  <c r="J150" i="34"/>
  <c r="G150" i="34"/>
  <c r="D150" i="34"/>
  <c r="B150" i="34"/>
  <c r="M149" i="34"/>
  <c r="G149" i="34"/>
  <c r="B145" i="34"/>
  <c r="O144" i="34" s="1"/>
  <c r="N144" i="34"/>
  <c r="K144" i="34"/>
  <c r="H144" i="34"/>
  <c r="E144" i="34"/>
  <c r="N143" i="34"/>
  <c r="K143" i="34"/>
  <c r="L143" i="34" s="1"/>
  <c r="H143" i="34"/>
  <c r="E143" i="34"/>
  <c r="N142" i="34"/>
  <c r="O142" i="34" s="1"/>
  <c r="K142" i="34"/>
  <c r="H142" i="34"/>
  <c r="E142" i="34"/>
  <c r="N141" i="34"/>
  <c r="K141" i="34"/>
  <c r="H141" i="34"/>
  <c r="E141" i="34"/>
  <c r="N140" i="34"/>
  <c r="K140" i="34"/>
  <c r="H140" i="34"/>
  <c r="E140" i="34"/>
  <c r="N139" i="34"/>
  <c r="O139" i="34" s="1"/>
  <c r="O17" i="34" s="1"/>
  <c r="K139" i="34"/>
  <c r="H139" i="34"/>
  <c r="E139" i="34"/>
  <c r="N138" i="34"/>
  <c r="O138" i="34" s="1"/>
  <c r="K138" i="34"/>
  <c r="H138" i="34"/>
  <c r="F138" i="34"/>
  <c r="E138" i="34"/>
  <c r="N137" i="34"/>
  <c r="K137" i="34"/>
  <c r="H137" i="34"/>
  <c r="I137" i="34" s="1"/>
  <c r="E137" i="34"/>
  <c r="N136" i="34"/>
  <c r="K136" i="34"/>
  <c r="H136" i="34"/>
  <c r="E136" i="34"/>
  <c r="N135" i="34"/>
  <c r="K135" i="34"/>
  <c r="H135" i="34"/>
  <c r="F135" i="34"/>
  <c r="E135" i="34"/>
  <c r="N134" i="34"/>
  <c r="K134" i="34"/>
  <c r="H134" i="34"/>
  <c r="E134" i="34"/>
  <c r="N133" i="34"/>
  <c r="O133" i="34" s="1"/>
  <c r="K133" i="34"/>
  <c r="H133" i="34"/>
  <c r="E133" i="34"/>
  <c r="N132" i="34"/>
  <c r="K132" i="34"/>
  <c r="H132" i="34"/>
  <c r="F132" i="34"/>
  <c r="E132" i="34"/>
  <c r="N131" i="34"/>
  <c r="K131" i="34"/>
  <c r="H131" i="34"/>
  <c r="I131" i="34" s="1"/>
  <c r="E131" i="34"/>
  <c r="N130" i="34"/>
  <c r="K130" i="34"/>
  <c r="H130" i="34"/>
  <c r="E130" i="34"/>
  <c r="N129" i="34"/>
  <c r="K129" i="34"/>
  <c r="H129" i="34"/>
  <c r="E129" i="34"/>
  <c r="N128" i="34"/>
  <c r="O128" i="34" s="1"/>
  <c r="K128" i="34"/>
  <c r="H128" i="34"/>
  <c r="E128" i="34"/>
  <c r="N127" i="34"/>
  <c r="K127" i="34"/>
  <c r="H127" i="34"/>
  <c r="I127" i="34" s="1"/>
  <c r="E127" i="34"/>
  <c r="N126" i="34"/>
  <c r="L126" i="34"/>
  <c r="K126" i="34"/>
  <c r="H126" i="34"/>
  <c r="E126" i="34"/>
  <c r="N125" i="34"/>
  <c r="K125" i="34"/>
  <c r="H125" i="34"/>
  <c r="F125" i="34"/>
  <c r="E125" i="34"/>
  <c r="M123" i="34"/>
  <c r="J123" i="34"/>
  <c r="G123" i="34"/>
  <c r="D123" i="34"/>
  <c r="B123" i="34"/>
  <c r="M122" i="34"/>
  <c r="G122" i="34"/>
  <c r="B118" i="34"/>
  <c r="N117" i="34"/>
  <c r="K117" i="34"/>
  <c r="H117" i="34"/>
  <c r="I117" i="34" s="1"/>
  <c r="F117" i="34"/>
  <c r="E117" i="34"/>
  <c r="N116" i="34"/>
  <c r="K116" i="34"/>
  <c r="L116" i="34" s="1"/>
  <c r="H116" i="34"/>
  <c r="I116" i="34" s="1"/>
  <c r="E116" i="34"/>
  <c r="N115" i="34"/>
  <c r="L115" i="34"/>
  <c r="K115" i="34"/>
  <c r="H115" i="34"/>
  <c r="E115" i="34"/>
  <c r="N114" i="34"/>
  <c r="K114" i="34"/>
  <c r="H114" i="34"/>
  <c r="F114" i="34"/>
  <c r="E114" i="34"/>
  <c r="N113" i="34"/>
  <c r="K113" i="34"/>
  <c r="L113" i="34" s="1"/>
  <c r="H113" i="34"/>
  <c r="E113" i="34"/>
  <c r="N112" i="34"/>
  <c r="O112" i="34" s="1"/>
  <c r="K112" i="34"/>
  <c r="H112" i="34"/>
  <c r="E112" i="34"/>
  <c r="N111" i="34"/>
  <c r="K111" i="34"/>
  <c r="H111" i="34"/>
  <c r="F111" i="34"/>
  <c r="E111" i="34"/>
  <c r="N110" i="34"/>
  <c r="K110" i="34"/>
  <c r="H110" i="34"/>
  <c r="I110" i="34" s="1"/>
  <c r="E110" i="34"/>
  <c r="N109" i="34"/>
  <c r="K109" i="34"/>
  <c r="L109" i="34" s="1"/>
  <c r="H109" i="34"/>
  <c r="E109" i="34"/>
  <c r="N108" i="34"/>
  <c r="O108" i="34" s="1"/>
  <c r="K108" i="34"/>
  <c r="H108" i="34"/>
  <c r="E108" i="34"/>
  <c r="N107" i="34"/>
  <c r="O107" i="34" s="1"/>
  <c r="K107" i="34"/>
  <c r="H107" i="34"/>
  <c r="I107" i="34" s="1"/>
  <c r="F107" i="34"/>
  <c r="E107" i="34"/>
  <c r="N106" i="34"/>
  <c r="K106" i="34"/>
  <c r="L106" i="34" s="1"/>
  <c r="H106" i="34"/>
  <c r="I106" i="34" s="1"/>
  <c r="E106" i="34"/>
  <c r="N105" i="34"/>
  <c r="K105" i="34"/>
  <c r="L105" i="34" s="1"/>
  <c r="H105" i="34"/>
  <c r="E105" i="34"/>
  <c r="O104" i="34"/>
  <c r="N104" i="34"/>
  <c r="K104" i="34"/>
  <c r="H104" i="34"/>
  <c r="F104" i="34"/>
  <c r="E104" i="34"/>
  <c r="N103" i="34"/>
  <c r="K103" i="34"/>
  <c r="H103" i="34"/>
  <c r="E103" i="34"/>
  <c r="N102" i="34"/>
  <c r="O102" i="34" s="1"/>
  <c r="K102" i="34"/>
  <c r="H102" i="34"/>
  <c r="E102" i="34"/>
  <c r="N101" i="34"/>
  <c r="K101" i="34"/>
  <c r="H101" i="34"/>
  <c r="F101" i="34"/>
  <c r="E101" i="34"/>
  <c r="N100" i="34"/>
  <c r="K100" i="34"/>
  <c r="H100" i="34"/>
  <c r="I100" i="34" s="1"/>
  <c r="E100" i="34"/>
  <c r="N99" i="34"/>
  <c r="K99" i="34"/>
  <c r="H99" i="34"/>
  <c r="I99" i="34" s="1"/>
  <c r="E99" i="34"/>
  <c r="N98" i="34"/>
  <c r="K98" i="34"/>
  <c r="H98" i="34"/>
  <c r="E98" i="34"/>
  <c r="E118" i="34" s="1"/>
  <c r="M96" i="34"/>
  <c r="J96" i="34"/>
  <c r="G96" i="34"/>
  <c r="D96" i="34"/>
  <c r="B96" i="34"/>
  <c r="M95" i="34"/>
  <c r="G95" i="34"/>
  <c r="B91" i="34"/>
  <c r="F90" i="34" s="1"/>
  <c r="N90" i="34"/>
  <c r="K90" i="34"/>
  <c r="I90" i="34"/>
  <c r="H90" i="34"/>
  <c r="E90" i="34"/>
  <c r="N89" i="34"/>
  <c r="O89" i="34" s="1"/>
  <c r="K89" i="34"/>
  <c r="H89" i="34"/>
  <c r="F89" i="34"/>
  <c r="E89" i="34"/>
  <c r="N88" i="34"/>
  <c r="K88" i="34"/>
  <c r="I88" i="34"/>
  <c r="H88" i="34"/>
  <c r="E88" i="34"/>
  <c r="N87" i="34"/>
  <c r="O87" i="34" s="1"/>
  <c r="K87" i="34"/>
  <c r="H87" i="34"/>
  <c r="F87" i="34"/>
  <c r="E87" i="34"/>
  <c r="N86" i="34"/>
  <c r="K86" i="34"/>
  <c r="L86" i="34" s="1"/>
  <c r="H86" i="34"/>
  <c r="E86" i="34"/>
  <c r="N85" i="34"/>
  <c r="K85" i="34"/>
  <c r="H85" i="34"/>
  <c r="E85" i="34"/>
  <c r="N84" i="34"/>
  <c r="K84" i="34"/>
  <c r="L84" i="34" s="1"/>
  <c r="H84" i="34"/>
  <c r="E84" i="34"/>
  <c r="N83" i="34"/>
  <c r="K83" i="34"/>
  <c r="H83" i="34"/>
  <c r="E83" i="34"/>
  <c r="N82" i="34"/>
  <c r="K82" i="34"/>
  <c r="H82" i="34"/>
  <c r="F82" i="34"/>
  <c r="E82" i="34"/>
  <c r="N81" i="34"/>
  <c r="K81" i="34"/>
  <c r="I81" i="34"/>
  <c r="H81" i="34"/>
  <c r="E81" i="34"/>
  <c r="N80" i="34"/>
  <c r="O80" i="34" s="1"/>
  <c r="K80" i="34"/>
  <c r="H80" i="34"/>
  <c r="F80" i="34"/>
  <c r="E80" i="34"/>
  <c r="N79" i="34"/>
  <c r="K79" i="34"/>
  <c r="I79" i="34"/>
  <c r="I19" i="34" s="1"/>
  <c r="H79" i="34"/>
  <c r="E79" i="34"/>
  <c r="O78" i="34"/>
  <c r="N78" i="34"/>
  <c r="K78" i="34"/>
  <c r="H78" i="34"/>
  <c r="E78" i="34"/>
  <c r="N77" i="34"/>
  <c r="K77" i="34"/>
  <c r="L77" i="34" s="1"/>
  <c r="H77" i="34"/>
  <c r="E77" i="34"/>
  <c r="N76" i="34"/>
  <c r="K76" i="34"/>
  <c r="H76" i="34"/>
  <c r="E76" i="34"/>
  <c r="N75" i="34"/>
  <c r="K75" i="34"/>
  <c r="L75" i="34" s="1"/>
  <c r="H75" i="34"/>
  <c r="E75" i="34"/>
  <c r="N74" i="34"/>
  <c r="K74" i="34"/>
  <c r="I74" i="34"/>
  <c r="H74" i="34"/>
  <c r="E74" i="34"/>
  <c r="N73" i="34"/>
  <c r="O73" i="34" s="1"/>
  <c r="K73" i="34"/>
  <c r="H73" i="34"/>
  <c r="F73" i="34"/>
  <c r="E73" i="34"/>
  <c r="N72" i="34"/>
  <c r="K72" i="34"/>
  <c r="I72" i="34"/>
  <c r="H72" i="34"/>
  <c r="E72" i="34"/>
  <c r="N71" i="34"/>
  <c r="K71" i="34"/>
  <c r="H71" i="34"/>
  <c r="F71" i="34"/>
  <c r="E71" i="34"/>
  <c r="M69" i="34"/>
  <c r="J69" i="34"/>
  <c r="G69" i="34"/>
  <c r="D69" i="34"/>
  <c r="B69" i="34"/>
  <c r="M68" i="34"/>
  <c r="G68" i="34"/>
  <c r="B64" i="34"/>
  <c r="O63" i="34" s="1"/>
  <c r="N63" i="34"/>
  <c r="K63" i="34"/>
  <c r="L63" i="34" s="1"/>
  <c r="H63" i="34"/>
  <c r="I63" i="34" s="1"/>
  <c r="E63" i="34"/>
  <c r="N62" i="34"/>
  <c r="O62" i="34" s="1"/>
  <c r="K62" i="34"/>
  <c r="L62" i="34" s="1"/>
  <c r="H62" i="34"/>
  <c r="E62" i="34"/>
  <c r="O61" i="34"/>
  <c r="N61" i="34"/>
  <c r="K61" i="34"/>
  <c r="H61" i="34"/>
  <c r="I61" i="34" s="1"/>
  <c r="E61" i="34"/>
  <c r="N60" i="34"/>
  <c r="O60" i="34" s="1"/>
  <c r="K60" i="34"/>
  <c r="L60" i="34" s="1"/>
  <c r="H60" i="34"/>
  <c r="E60" i="34"/>
  <c r="N59" i="34"/>
  <c r="O59" i="34" s="1"/>
  <c r="K59" i="34"/>
  <c r="H59" i="34"/>
  <c r="F59" i="34"/>
  <c r="E59" i="34"/>
  <c r="N58" i="34"/>
  <c r="K58" i="34"/>
  <c r="H58" i="34"/>
  <c r="I58" i="34" s="1"/>
  <c r="I18" i="34" s="1"/>
  <c r="F58" i="34"/>
  <c r="E58" i="34"/>
  <c r="N57" i="34"/>
  <c r="L57" i="34"/>
  <c r="K57" i="34"/>
  <c r="H57" i="34"/>
  <c r="E57" i="34"/>
  <c r="O56" i="34"/>
  <c r="N56" i="34"/>
  <c r="K56" i="34"/>
  <c r="H56" i="34"/>
  <c r="I56" i="34" s="1"/>
  <c r="F56" i="34"/>
  <c r="E56" i="34"/>
  <c r="N55" i="34"/>
  <c r="K55" i="34"/>
  <c r="L55" i="34" s="1"/>
  <c r="H55" i="34"/>
  <c r="I55" i="34" s="1"/>
  <c r="E55" i="34"/>
  <c r="O54" i="34"/>
  <c r="N54" i="34"/>
  <c r="K54" i="34"/>
  <c r="H54" i="34"/>
  <c r="E54" i="34"/>
  <c r="F54" i="34" s="1"/>
  <c r="N53" i="34"/>
  <c r="O53" i="34" s="1"/>
  <c r="K53" i="34"/>
  <c r="H53" i="34"/>
  <c r="F53" i="34"/>
  <c r="E53" i="34"/>
  <c r="N52" i="34"/>
  <c r="K52" i="34"/>
  <c r="H52" i="34"/>
  <c r="I52" i="34" s="1"/>
  <c r="F52" i="34"/>
  <c r="E52" i="34"/>
  <c r="N51" i="34"/>
  <c r="K51" i="34"/>
  <c r="L51" i="34" s="1"/>
  <c r="H51" i="34"/>
  <c r="I51" i="34" s="1"/>
  <c r="E51" i="34"/>
  <c r="N50" i="34"/>
  <c r="O50" i="34" s="1"/>
  <c r="L50" i="34"/>
  <c r="K50" i="34"/>
  <c r="H50" i="34"/>
  <c r="F50" i="34"/>
  <c r="E50" i="34"/>
  <c r="N49" i="34"/>
  <c r="K49" i="34"/>
  <c r="H49" i="34"/>
  <c r="I49" i="34" s="1"/>
  <c r="F49" i="34"/>
  <c r="E49" i="34"/>
  <c r="N48" i="34"/>
  <c r="K48" i="34"/>
  <c r="L48" i="34" s="1"/>
  <c r="H48" i="34"/>
  <c r="E48" i="34"/>
  <c r="N47" i="34"/>
  <c r="O47" i="34" s="1"/>
  <c r="K47" i="34"/>
  <c r="H47" i="34"/>
  <c r="F47" i="34"/>
  <c r="E47" i="34"/>
  <c r="N46" i="34"/>
  <c r="L46" i="34"/>
  <c r="K46" i="34"/>
  <c r="H46" i="34"/>
  <c r="E46" i="34"/>
  <c r="N45" i="34"/>
  <c r="O45" i="34" s="1"/>
  <c r="K45" i="34"/>
  <c r="H45" i="34"/>
  <c r="F45" i="34"/>
  <c r="E45" i="34"/>
  <c r="N44" i="34"/>
  <c r="K44" i="34"/>
  <c r="H44" i="34"/>
  <c r="H64" i="34" s="1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E19" i="34"/>
  <c r="D19" i="34"/>
  <c r="C19" i="34"/>
  <c r="B19" i="34"/>
  <c r="N18" i="34"/>
  <c r="M18" i="34"/>
  <c r="K18" i="34"/>
  <c r="J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F196" i="33" s="1"/>
  <c r="N198" i="33"/>
  <c r="O198" i="33" s="1"/>
  <c r="L198" i="33"/>
  <c r="K198" i="33"/>
  <c r="H198" i="33"/>
  <c r="I198" i="33" s="1"/>
  <c r="F198" i="33"/>
  <c r="E198" i="33"/>
  <c r="N197" i="33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E196" i="33"/>
  <c r="N195" i="33"/>
  <c r="O195" i="33" s="1"/>
  <c r="L195" i="33"/>
  <c r="K195" i="33"/>
  <c r="H195" i="33"/>
  <c r="I195" i="33" s="1"/>
  <c r="F195" i="33"/>
  <c r="E195" i="33"/>
  <c r="N194" i="33"/>
  <c r="L194" i="33"/>
  <c r="K194" i="33"/>
  <c r="H194" i="33"/>
  <c r="E194" i="33"/>
  <c r="F194" i="33" s="1"/>
  <c r="N193" i="33"/>
  <c r="O193" i="33" s="1"/>
  <c r="K193" i="33"/>
  <c r="H193" i="33"/>
  <c r="I193" i="33" s="1"/>
  <c r="F193" i="33"/>
  <c r="E193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E191" i="33"/>
  <c r="N190" i="33"/>
  <c r="O190" i="33" s="1"/>
  <c r="L190" i="33"/>
  <c r="K190" i="33"/>
  <c r="H190" i="33"/>
  <c r="I190" i="33" s="1"/>
  <c r="F190" i="33"/>
  <c r="E190" i="33"/>
  <c r="N189" i="33"/>
  <c r="K189" i="33"/>
  <c r="L189" i="33" s="1"/>
  <c r="H189" i="33"/>
  <c r="I189" i="33" s="1"/>
  <c r="E189" i="33"/>
  <c r="N188" i="33"/>
  <c r="O188" i="33" s="1"/>
  <c r="K188" i="33"/>
  <c r="L188" i="33" s="1"/>
  <c r="H188" i="33"/>
  <c r="E188" i="33"/>
  <c r="F188" i="33" s="1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E186" i="33"/>
  <c r="F186" i="33" s="1"/>
  <c r="N185" i="33"/>
  <c r="O185" i="33" s="1"/>
  <c r="K185" i="33"/>
  <c r="H185" i="33"/>
  <c r="I185" i="33" s="1"/>
  <c r="F185" i="33"/>
  <c r="E185" i="33"/>
  <c r="N184" i="33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E183" i="33"/>
  <c r="N182" i="33"/>
  <c r="O182" i="33" s="1"/>
  <c r="L182" i="33"/>
  <c r="K182" i="33"/>
  <c r="H182" i="33"/>
  <c r="I182" i="33" s="1"/>
  <c r="F182" i="33"/>
  <c r="E182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E180" i="33"/>
  <c r="F180" i="33" s="1"/>
  <c r="N179" i="33"/>
  <c r="O179" i="33" s="1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F170" i="33" s="1"/>
  <c r="N171" i="33"/>
  <c r="L171" i="33"/>
  <c r="K171" i="33"/>
  <c r="H171" i="33"/>
  <c r="E171" i="33"/>
  <c r="N170" i="33"/>
  <c r="O170" i="33" s="1"/>
  <c r="K170" i="33"/>
  <c r="H170" i="33"/>
  <c r="E170" i="33"/>
  <c r="N169" i="33"/>
  <c r="K169" i="33"/>
  <c r="H169" i="33"/>
  <c r="F169" i="33"/>
  <c r="E169" i="33"/>
  <c r="N168" i="33"/>
  <c r="K168" i="33"/>
  <c r="L168" i="33" s="1"/>
  <c r="H168" i="33"/>
  <c r="I168" i="33" s="1"/>
  <c r="E168" i="33"/>
  <c r="N167" i="33"/>
  <c r="O167" i="33" s="1"/>
  <c r="L167" i="33"/>
  <c r="K167" i="33"/>
  <c r="H167" i="33"/>
  <c r="F167" i="33"/>
  <c r="E167" i="33"/>
  <c r="N166" i="33"/>
  <c r="K166" i="33"/>
  <c r="L166" i="33" s="1"/>
  <c r="H166" i="33"/>
  <c r="I166" i="33" s="1"/>
  <c r="E166" i="33"/>
  <c r="N165" i="33"/>
  <c r="O165" i="33" s="1"/>
  <c r="K165" i="33"/>
  <c r="L165" i="33" s="1"/>
  <c r="H165" i="33"/>
  <c r="E165" i="33"/>
  <c r="O164" i="33"/>
  <c r="N164" i="33"/>
  <c r="K164" i="33"/>
  <c r="H164" i="33"/>
  <c r="I164" i="33" s="1"/>
  <c r="F164" i="33"/>
  <c r="E164" i="33"/>
  <c r="N163" i="33"/>
  <c r="K163" i="33"/>
  <c r="L163" i="33" s="1"/>
  <c r="H163" i="33"/>
  <c r="E163" i="33"/>
  <c r="N162" i="33"/>
  <c r="O162" i="33" s="1"/>
  <c r="O19" i="33" s="1"/>
  <c r="K162" i="33"/>
  <c r="H162" i="33"/>
  <c r="E162" i="33"/>
  <c r="F162" i="33" s="1"/>
  <c r="F19" i="33" s="1"/>
  <c r="N161" i="33"/>
  <c r="K161" i="33"/>
  <c r="H161" i="33"/>
  <c r="I161" i="33" s="1"/>
  <c r="F161" i="33"/>
  <c r="E161" i="33"/>
  <c r="N160" i="33"/>
  <c r="K160" i="33"/>
  <c r="L160" i="33" s="1"/>
  <c r="H160" i="33"/>
  <c r="E160" i="33"/>
  <c r="O159" i="33"/>
  <c r="N159" i="33"/>
  <c r="K159" i="33"/>
  <c r="H159" i="33"/>
  <c r="I159" i="33" s="1"/>
  <c r="E159" i="33"/>
  <c r="N158" i="33"/>
  <c r="O158" i="33" s="1"/>
  <c r="K158" i="33"/>
  <c r="L158" i="33" s="1"/>
  <c r="H158" i="33"/>
  <c r="E158" i="33"/>
  <c r="N157" i="33"/>
  <c r="O157" i="33" s="1"/>
  <c r="K157" i="33"/>
  <c r="H157" i="33"/>
  <c r="E157" i="33"/>
  <c r="F157" i="33" s="1"/>
  <c r="N156" i="33"/>
  <c r="K156" i="33"/>
  <c r="H156" i="33"/>
  <c r="I156" i="33" s="1"/>
  <c r="E156" i="33"/>
  <c r="N155" i="33"/>
  <c r="O155" i="33" s="1"/>
  <c r="L155" i="33"/>
  <c r="K155" i="33"/>
  <c r="H155" i="33"/>
  <c r="F155" i="33"/>
  <c r="E155" i="33"/>
  <c r="N154" i="33"/>
  <c r="K154" i="33"/>
  <c r="H154" i="33"/>
  <c r="I154" i="33" s="1"/>
  <c r="F154" i="33"/>
  <c r="E154" i="33"/>
  <c r="N153" i="33"/>
  <c r="K153" i="33"/>
  <c r="L153" i="33" s="1"/>
  <c r="H153" i="33"/>
  <c r="I153" i="33" s="1"/>
  <c r="E153" i="33"/>
  <c r="N152" i="33"/>
  <c r="L152" i="33"/>
  <c r="K152" i="33"/>
  <c r="H152" i="33"/>
  <c r="E152" i="33"/>
  <c r="E172" i="33" s="1"/>
  <c r="M150" i="33"/>
  <c r="J150" i="33"/>
  <c r="G150" i="33"/>
  <c r="D150" i="33"/>
  <c r="B150" i="33"/>
  <c r="M149" i="33"/>
  <c r="G149" i="33"/>
  <c r="B145" i="33"/>
  <c r="F143" i="33" s="1"/>
  <c r="N144" i="33"/>
  <c r="K144" i="33"/>
  <c r="H144" i="33"/>
  <c r="E144" i="33"/>
  <c r="N143" i="33"/>
  <c r="K143" i="33"/>
  <c r="H143" i="33"/>
  <c r="E143" i="33"/>
  <c r="N142" i="33"/>
  <c r="K142" i="33"/>
  <c r="L142" i="33" s="1"/>
  <c r="H142" i="33"/>
  <c r="E142" i="33"/>
  <c r="N141" i="33"/>
  <c r="L141" i="33"/>
  <c r="K141" i="33"/>
  <c r="H141" i="33"/>
  <c r="E141" i="33"/>
  <c r="N140" i="33"/>
  <c r="K140" i="33"/>
  <c r="H140" i="33"/>
  <c r="E140" i="33"/>
  <c r="N139" i="33"/>
  <c r="K139" i="33"/>
  <c r="H139" i="33"/>
  <c r="E139" i="33"/>
  <c r="N138" i="33"/>
  <c r="K138" i="33"/>
  <c r="H138" i="33"/>
  <c r="F138" i="33"/>
  <c r="E138" i="33"/>
  <c r="N137" i="33"/>
  <c r="K137" i="33"/>
  <c r="H137" i="33"/>
  <c r="E137" i="33"/>
  <c r="N136" i="33"/>
  <c r="K136" i="33"/>
  <c r="H136" i="33"/>
  <c r="E136" i="33"/>
  <c r="N135" i="33"/>
  <c r="K135" i="33"/>
  <c r="H135" i="33"/>
  <c r="E135" i="33"/>
  <c r="N134" i="33"/>
  <c r="O134" i="33" s="1"/>
  <c r="K134" i="33"/>
  <c r="H134" i="33"/>
  <c r="E134" i="33"/>
  <c r="N133" i="33"/>
  <c r="K133" i="33"/>
  <c r="H133" i="33"/>
  <c r="E133" i="33"/>
  <c r="N132" i="33"/>
  <c r="K132" i="33"/>
  <c r="H132" i="33"/>
  <c r="E132" i="33"/>
  <c r="N131" i="33"/>
  <c r="K131" i="33"/>
  <c r="L131" i="33" s="1"/>
  <c r="H131" i="33"/>
  <c r="E131" i="33"/>
  <c r="N130" i="33"/>
  <c r="K130" i="33"/>
  <c r="H130" i="33"/>
  <c r="E130" i="33"/>
  <c r="N129" i="33"/>
  <c r="K129" i="33"/>
  <c r="H129" i="33"/>
  <c r="F129" i="33"/>
  <c r="E129" i="33"/>
  <c r="N128" i="33"/>
  <c r="K128" i="33"/>
  <c r="H128" i="33"/>
  <c r="I128" i="33" s="1"/>
  <c r="E128" i="33"/>
  <c r="N127" i="33"/>
  <c r="K127" i="33"/>
  <c r="H127" i="33"/>
  <c r="E127" i="33"/>
  <c r="N126" i="33"/>
  <c r="K126" i="33"/>
  <c r="H126" i="33"/>
  <c r="E126" i="33"/>
  <c r="N125" i="33"/>
  <c r="L125" i="33"/>
  <c r="K125" i="33"/>
  <c r="H125" i="33"/>
  <c r="E125" i="33"/>
  <c r="E145" i="33" s="1"/>
  <c r="M123" i="33"/>
  <c r="J123" i="33"/>
  <c r="G123" i="33"/>
  <c r="D123" i="33"/>
  <c r="B123" i="33"/>
  <c r="M122" i="33"/>
  <c r="G122" i="33"/>
  <c r="B118" i="33"/>
  <c r="F114" i="33" s="1"/>
  <c r="N117" i="33"/>
  <c r="K117" i="33"/>
  <c r="H117" i="33"/>
  <c r="E117" i="33"/>
  <c r="N116" i="33"/>
  <c r="K116" i="33"/>
  <c r="I116" i="33"/>
  <c r="H116" i="33"/>
  <c r="E116" i="33"/>
  <c r="N115" i="33"/>
  <c r="L115" i="33"/>
  <c r="K115" i="33"/>
  <c r="H115" i="33"/>
  <c r="E115" i="33"/>
  <c r="N114" i="33"/>
  <c r="K114" i="33"/>
  <c r="H114" i="33"/>
  <c r="E114" i="33"/>
  <c r="N113" i="33"/>
  <c r="K113" i="33"/>
  <c r="H113" i="33"/>
  <c r="E113" i="33"/>
  <c r="N112" i="33"/>
  <c r="O112" i="33" s="1"/>
  <c r="O31" i="33" s="1"/>
  <c r="K112" i="33"/>
  <c r="H112" i="33"/>
  <c r="E112" i="33"/>
  <c r="N111" i="33"/>
  <c r="K111" i="33"/>
  <c r="H111" i="33"/>
  <c r="E111" i="33"/>
  <c r="N110" i="33"/>
  <c r="L110" i="33"/>
  <c r="L29" i="33" s="1"/>
  <c r="K110" i="33"/>
  <c r="H110" i="33"/>
  <c r="E110" i="33"/>
  <c r="N109" i="33"/>
  <c r="K109" i="33"/>
  <c r="H109" i="33"/>
  <c r="E109" i="33"/>
  <c r="N108" i="33"/>
  <c r="K108" i="33"/>
  <c r="I108" i="33"/>
  <c r="H108" i="33"/>
  <c r="E108" i="33"/>
  <c r="N107" i="33"/>
  <c r="L107" i="33"/>
  <c r="L26" i="33" s="1"/>
  <c r="K107" i="33"/>
  <c r="H107" i="33"/>
  <c r="E107" i="33"/>
  <c r="N106" i="33"/>
  <c r="K106" i="33"/>
  <c r="H106" i="33"/>
  <c r="E106" i="33"/>
  <c r="N105" i="33"/>
  <c r="K105" i="33"/>
  <c r="H105" i="33"/>
  <c r="E105" i="33"/>
  <c r="N104" i="33"/>
  <c r="O104" i="33" s="1"/>
  <c r="K104" i="33"/>
  <c r="H104" i="33"/>
  <c r="E104" i="33"/>
  <c r="N103" i="33"/>
  <c r="K103" i="33"/>
  <c r="H103" i="33"/>
  <c r="E103" i="33"/>
  <c r="N102" i="33"/>
  <c r="L102" i="33"/>
  <c r="K102" i="33"/>
  <c r="H102" i="33"/>
  <c r="E102" i="33"/>
  <c r="N101" i="33"/>
  <c r="K101" i="33"/>
  <c r="H101" i="33"/>
  <c r="E101" i="33"/>
  <c r="N100" i="33"/>
  <c r="K100" i="33"/>
  <c r="I100" i="33"/>
  <c r="H100" i="33"/>
  <c r="E100" i="33"/>
  <c r="N99" i="33"/>
  <c r="L99" i="33"/>
  <c r="K99" i="33"/>
  <c r="H99" i="33"/>
  <c r="E99" i="33"/>
  <c r="N98" i="33"/>
  <c r="K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I90" i="33"/>
  <c r="H90" i="33"/>
  <c r="E90" i="33"/>
  <c r="N89" i="33"/>
  <c r="O89" i="33" s="1"/>
  <c r="L89" i="33"/>
  <c r="K89" i="33"/>
  <c r="H89" i="33"/>
  <c r="I89" i="33" s="1"/>
  <c r="F89" i="33"/>
  <c r="E89" i="33"/>
  <c r="N88" i="33"/>
  <c r="O88" i="33" s="1"/>
  <c r="O21" i="33" s="1"/>
  <c r="L88" i="33"/>
  <c r="K88" i="33"/>
  <c r="H88" i="33"/>
  <c r="E88" i="33"/>
  <c r="F88" i="33" s="1"/>
  <c r="F21" i="33" s="1"/>
  <c r="N87" i="33"/>
  <c r="K87" i="33"/>
  <c r="L87" i="33" s="1"/>
  <c r="I87" i="33"/>
  <c r="H87" i="33"/>
  <c r="E87" i="33"/>
  <c r="F87" i="33" s="1"/>
  <c r="N86" i="33"/>
  <c r="O86" i="33" s="1"/>
  <c r="K86" i="33"/>
  <c r="H86" i="33"/>
  <c r="I86" i="33" s="1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H84" i="33"/>
  <c r="F84" i="33"/>
  <c r="E84" i="33"/>
  <c r="N83" i="33"/>
  <c r="K83" i="33"/>
  <c r="L83" i="33" s="1"/>
  <c r="I83" i="33"/>
  <c r="H83" i="33"/>
  <c r="E83" i="33"/>
  <c r="F83" i="33" s="1"/>
  <c r="N82" i="33"/>
  <c r="O82" i="33" s="1"/>
  <c r="K82" i="33"/>
  <c r="H82" i="33"/>
  <c r="I82" i="33" s="1"/>
  <c r="E82" i="33"/>
  <c r="N81" i="33"/>
  <c r="O81" i="33" s="1"/>
  <c r="L81" i="33"/>
  <c r="K81" i="33"/>
  <c r="I81" i="33"/>
  <c r="H81" i="33"/>
  <c r="F81" i="33"/>
  <c r="E81" i="33"/>
  <c r="N80" i="33"/>
  <c r="O80" i="33" s="1"/>
  <c r="K80" i="33"/>
  <c r="L80" i="33" s="1"/>
  <c r="H80" i="33"/>
  <c r="F80" i="33"/>
  <c r="E80" i="33"/>
  <c r="N79" i="33"/>
  <c r="L79" i="33"/>
  <c r="K79" i="33"/>
  <c r="I79" i="33"/>
  <c r="H79" i="33"/>
  <c r="F79" i="33"/>
  <c r="E79" i="33"/>
  <c r="N78" i="33"/>
  <c r="O78" i="33" s="1"/>
  <c r="K78" i="33"/>
  <c r="I78" i="33"/>
  <c r="H78" i="33"/>
  <c r="E78" i="33"/>
  <c r="N77" i="33"/>
  <c r="O77" i="33" s="1"/>
  <c r="L77" i="33"/>
  <c r="K77" i="33"/>
  <c r="H77" i="33"/>
  <c r="I77" i="33" s="1"/>
  <c r="F77" i="33"/>
  <c r="E77" i="33"/>
  <c r="N76" i="33"/>
  <c r="O76" i="33" s="1"/>
  <c r="O20" i="33" s="1"/>
  <c r="K76" i="33"/>
  <c r="L76" i="33" s="1"/>
  <c r="L20" i="33" s="1"/>
  <c r="H76" i="33"/>
  <c r="E76" i="33"/>
  <c r="F76" i="33" s="1"/>
  <c r="F20" i="33" s="1"/>
  <c r="N75" i="33"/>
  <c r="O75" i="33" s="1"/>
  <c r="O30" i="33" s="1"/>
  <c r="L75" i="33"/>
  <c r="L30" i="33" s="1"/>
  <c r="K75" i="33"/>
  <c r="H75" i="33"/>
  <c r="H30" i="33" s="1"/>
  <c r="F75" i="33"/>
  <c r="F30" i="33" s="1"/>
  <c r="E75" i="33"/>
  <c r="N74" i="33"/>
  <c r="O74" i="33" s="1"/>
  <c r="O28" i="33" s="1"/>
  <c r="L74" i="33"/>
  <c r="L28" i="33" s="1"/>
  <c r="K74" i="33"/>
  <c r="H74" i="33"/>
  <c r="I74" i="33" s="1"/>
  <c r="I28" i="33" s="1"/>
  <c r="F74" i="33"/>
  <c r="F28" i="33" s="1"/>
  <c r="E74" i="33"/>
  <c r="N73" i="33"/>
  <c r="O73" i="33" s="1"/>
  <c r="O24" i="33" s="1"/>
  <c r="K73" i="33"/>
  <c r="L73" i="33" s="1"/>
  <c r="L24" i="33" s="1"/>
  <c r="I73" i="33"/>
  <c r="H73" i="33"/>
  <c r="E73" i="33"/>
  <c r="F73" i="33" s="1"/>
  <c r="F24" i="33" s="1"/>
  <c r="N72" i="33"/>
  <c r="O72" i="33" s="1"/>
  <c r="K72" i="33"/>
  <c r="L72" i="33" s="1"/>
  <c r="I72" i="33"/>
  <c r="H72" i="33"/>
  <c r="E72" i="33"/>
  <c r="F72" i="33" s="1"/>
  <c r="N71" i="33"/>
  <c r="N91" i="33" s="1"/>
  <c r="L71" i="33"/>
  <c r="K71" i="33"/>
  <c r="H71" i="33"/>
  <c r="H91" i="33" s="1"/>
  <c r="F71" i="33"/>
  <c r="E71" i="33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E63" i="33"/>
  <c r="F63" i="33" s="1"/>
  <c r="N62" i="33"/>
  <c r="O62" i="33" s="1"/>
  <c r="K62" i="33"/>
  <c r="L62" i="33" s="1"/>
  <c r="H62" i="33"/>
  <c r="I62" i="33" s="1"/>
  <c r="F62" i="33"/>
  <c r="E62" i="33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H60" i="33"/>
  <c r="I60" i="33" s="1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K58" i="33"/>
  <c r="L58" i="33" s="1"/>
  <c r="H58" i="33"/>
  <c r="I58" i="33" s="1"/>
  <c r="F58" i="33"/>
  <c r="E58" i="33"/>
  <c r="N57" i="33"/>
  <c r="O57" i="33" s="1"/>
  <c r="K57" i="33"/>
  <c r="L57" i="33" s="1"/>
  <c r="H57" i="33"/>
  <c r="I57" i="33" s="1"/>
  <c r="E57" i="33"/>
  <c r="F57" i="33" s="1"/>
  <c r="N56" i="33"/>
  <c r="O56" i="33" s="1"/>
  <c r="L56" i="33"/>
  <c r="K56" i="33"/>
  <c r="H56" i="33"/>
  <c r="I56" i="33" s="1"/>
  <c r="F56" i="33"/>
  <c r="E56" i="33"/>
  <c r="N55" i="33"/>
  <c r="O55" i="33" s="1"/>
  <c r="L55" i="33"/>
  <c r="K55" i="33"/>
  <c r="H55" i="33"/>
  <c r="I55" i="33" s="1"/>
  <c r="E55" i="33"/>
  <c r="F55" i="33" s="1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N53" i="33"/>
  <c r="O53" i="33" s="1"/>
  <c r="L53" i="33"/>
  <c r="K53" i="33"/>
  <c r="H53" i="33"/>
  <c r="I53" i="33" s="1"/>
  <c r="E53" i="33"/>
  <c r="F53" i="33" s="1"/>
  <c r="O52" i="33"/>
  <c r="N52" i="33"/>
  <c r="K52" i="33"/>
  <c r="L52" i="33" s="1"/>
  <c r="H52" i="33"/>
  <c r="I52" i="33" s="1"/>
  <c r="E52" i="33"/>
  <c r="F52" i="33" s="1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N49" i="33"/>
  <c r="O49" i="33" s="1"/>
  <c r="L49" i="33"/>
  <c r="K49" i="33"/>
  <c r="H49" i="33"/>
  <c r="I49" i="33" s="1"/>
  <c r="F49" i="33"/>
  <c r="E49" i="33"/>
  <c r="N48" i="33"/>
  <c r="O48" i="33" s="1"/>
  <c r="K48" i="33"/>
  <c r="L48" i="33" s="1"/>
  <c r="H48" i="33"/>
  <c r="I48" i="33" s="1"/>
  <c r="E48" i="33"/>
  <c r="F48" i="33" s="1"/>
  <c r="N47" i="33"/>
  <c r="O47" i="33" s="1"/>
  <c r="L47" i="33"/>
  <c r="K47" i="33"/>
  <c r="H47" i="33"/>
  <c r="I47" i="33" s="1"/>
  <c r="F47" i="33"/>
  <c r="E47" i="33"/>
  <c r="N46" i="33"/>
  <c r="O46" i="33" s="1"/>
  <c r="K46" i="33"/>
  <c r="L46" i="33" s="1"/>
  <c r="H46" i="33"/>
  <c r="I46" i="33" s="1"/>
  <c r="E46" i="33"/>
  <c r="F46" i="33" s="1"/>
  <c r="N45" i="33"/>
  <c r="O45" i="33" s="1"/>
  <c r="L45" i="33"/>
  <c r="K45" i="33"/>
  <c r="H45" i="33"/>
  <c r="I45" i="33" s="1"/>
  <c r="F45" i="33"/>
  <c r="E45" i="33"/>
  <c r="N44" i="33"/>
  <c r="K44" i="33"/>
  <c r="L44" i="33" s="1"/>
  <c r="L23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H31" i="33"/>
  <c r="G31" i="33"/>
  <c r="E31" i="33"/>
  <c r="D31" i="33"/>
  <c r="C31" i="33"/>
  <c r="B31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H29" i="33"/>
  <c r="G29" i="33"/>
  <c r="E29" i="33"/>
  <c r="D29" i="33"/>
  <c r="C29" i="33"/>
  <c r="B29" i="33"/>
  <c r="N28" i="33"/>
  <c r="M28" i="33"/>
  <c r="K28" i="33"/>
  <c r="J28" i="33"/>
  <c r="H28" i="33"/>
  <c r="G28" i="33"/>
  <c r="E28" i="33"/>
  <c r="D28" i="33"/>
  <c r="C28" i="33"/>
  <c r="B28" i="33"/>
  <c r="N27" i="33"/>
  <c r="M27" i="33"/>
  <c r="K27" i="33"/>
  <c r="J27" i="33"/>
  <c r="I27" i="33"/>
  <c r="H27" i="33"/>
  <c r="G27" i="33"/>
  <c r="E27" i="33"/>
  <c r="D27" i="33"/>
  <c r="C27" i="33"/>
  <c r="B27" i="33"/>
  <c r="N26" i="33"/>
  <c r="M26" i="33"/>
  <c r="K26" i="33"/>
  <c r="J26" i="33"/>
  <c r="H26" i="33"/>
  <c r="G26" i="33"/>
  <c r="E26" i="33"/>
  <c r="D26" i="33"/>
  <c r="C26" i="33"/>
  <c r="B26" i="33"/>
  <c r="N25" i="33"/>
  <c r="M25" i="33"/>
  <c r="K25" i="33"/>
  <c r="J25" i="33"/>
  <c r="H25" i="33"/>
  <c r="G25" i="33"/>
  <c r="E25" i="33"/>
  <c r="D25" i="33"/>
  <c r="C25" i="33"/>
  <c r="B25" i="33"/>
  <c r="N24" i="33"/>
  <c r="M24" i="33"/>
  <c r="K24" i="33"/>
  <c r="J24" i="33"/>
  <c r="I24" i="33"/>
  <c r="H24" i="33"/>
  <c r="G24" i="33"/>
  <c r="E24" i="33"/>
  <c r="D24" i="33"/>
  <c r="C24" i="33"/>
  <c r="B24" i="33"/>
  <c r="N23" i="33"/>
  <c r="M23" i="33"/>
  <c r="K23" i="33"/>
  <c r="J23" i="33"/>
  <c r="H23" i="33"/>
  <c r="G23" i="33"/>
  <c r="E23" i="33"/>
  <c r="D23" i="33"/>
  <c r="C23" i="33"/>
  <c r="B23" i="33"/>
  <c r="N22" i="33"/>
  <c r="M22" i="33"/>
  <c r="K22" i="33"/>
  <c r="J22" i="33"/>
  <c r="H22" i="33"/>
  <c r="G22" i="33"/>
  <c r="E22" i="33"/>
  <c r="D22" i="33"/>
  <c r="C22" i="33"/>
  <c r="B22" i="33"/>
  <c r="N21" i="33"/>
  <c r="M21" i="33"/>
  <c r="L21" i="33"/>
  <c r="K21" i="33"/>
  <c r="J21" i="33"/>
  <c r="H21" i="33"/>
  <c r="G21" i="33"/>
  <c r="E21" i="33"/>
  <c r="D21" i="33"/>
  <c r="C21" i="33"/>
  <c r="B21" i="33"/>
  <c r="N20" i="33"/>
  <c r="M20" i="33"/>
  <c r="K20" i="33"/>
  <c r="J20" i="33"/>
  <c r="H20" i="33"/>
  <c r="G20" i="33"/>
  <c r="E20" i="33"/>
  <c r="D20" i="33"/>
  <c r="C20" i="33"/>
  <c r="B20" i="33"/>
  <c r="N19" i="33"/>
  <c r="M19" i="33"/>
  <c r="K19" i="33"/>
  <c r="J19" i="33"/>
  <c r="H19" i="33"/>
  <c r="G19" i="33"/>
  <c r="E19" i="33"/>
  <c r="D19" i="33"/>
  <c r="C19" i="33"/>
  <c r="B19" i="33"/>
  <c r="N18" i="33"/>
  <c r="M18" i="33"/>
  <c r="K18" i="33"/>
  <c r="J18" i="33"/>
  <c r="H18" i="33"/>
  <c r="G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4" i="32" s="1"/>
  <c r="N198" i="32"/>
  <c r="K198" i="32"/>
  <c r="H198" i="32"/>
  <c r="I198" i="32" s="1"/>
  <c r="E198" i="32"/>
  <c r="N197" i="32"/>
  <c r="K197" i="32"/>
  <c r="L197" i="32" s="1"/>
  <c r="H197" i="32"/>
  <c r="I197" i="32" s="1"/>
  <c r="E197" i="32"/>
  <c r="N196" i="32"/>
  <c r="L196" i="32"/>
  <c r="K196" i="32"/>
  <c r="H196" i="32"/>
  <c r="E196" i="32"/>
  <c r="F196" i="32" s="1"/>
  <c r="N195" i="32"/>
  <c r="K195" i="32"/>
  <c r="H195" i="32"/>
  <c r="I195" i="32" s="1"/>
  <c r="E195" i="32"/>
  <c r="F195" i="32" s="1"/>
  <c r="N194" i="32"/>
  <c r="L194" i="32"/>
  <c r="K194" i="32"/>
  <c r="H194" i="32"/>
  <c r="E194" i="32"/>
  <c r="O193" i="32"/>
  <c r="N193" i="32"/>
  <c r="K193" i="32"/>
  <c r="H193" i="32"/>
  <c r="E193" i="32"/>
  <c r="F193" i="32" s="1"/>
  <c r="N192" i="32"/>
  <c r="O192" i="32" s="1"/>
  <c r="K192" i="32"/>
  <c r="I192" i="32"/>
  <c r="H192" i="32"/>
  <c r="E192" i="32"/>
  <c r="N191" i="32"/>
  <c r="L191" i="32"/>
  <c r="K191" i="32"/>
  <c r="H191" i="32"/>
  <c r="E191" i="32"/>
  <c r="F191" i="32" s="1"/>
  <c r="O190" i="32"/>
  <c r="N190" i="32"/>
  <c r="K190" i="32"/>
  <c r="H190" i="32"/>
  <c r="I190" i="32" s="1"/>
  <c r="E190" i="32"/>
  <c r="F190" i="32" s="1"/>
  <c r="N189" i="32"/>
  <c r="K189" i="32"/>
  <c r="H189" i="32"/>
  <c r="I189" i="32" s="1"/>
  <c r="E189" i="32"/>
  <c r="N188" i="32"/>
  <c r="K188" i="32"/>
  <c r="L188" i="32" s="1"/>
  <c r="I188" i="32"/>
  <c r="H188" i="32"/>
  <c r="E188" i="32"/>
  <c r="N187" i="32"/>
  <c r="O187" i="32" s="1"/>
  <c r="L187" i="32"/>
  <c r="K187" i="32"/>
  <c r="H187" i="32"/>
  <c r="E187" i="32"/>
  <c r="F187" i="32" s="1"/>
  <c r="N186" i="32"/>
  <c r="O186" i="32" s="1"/>
  <c r="K186" i="32"/>
  <c r="H186" i="32"/>
  <c r="E186" i="32"/>
  <c r="F186" i="32" s="1"/>
  <c r="O185" i="32"/>
  <c r="N185" i="32"/>
  <c r="K185" i="32"/>
  <c r="H185" i="32"/>
  <c r="I185" i="32" s="1"/>
  <c r="E185" i="32"/>
  <c r="N184" i="32"/>
  <c r="K184" i="32"/>
  <c r="L184" i="32" s="1"/>
  <c r="H184" i="32"/>
  <c r="E184" i="32"/>
  <c r="F184" i="32" s="1"/>
  <c r="O183" i="32"/>
  <c r="N183" i="32"/>
  <c r="K183" i="32"/>
  <c r="H183" i="32"/>
  <c r="I183" i="32" s="1"/>
  <c r="E183" i="32"/>
  <c r="F183" i="32" s="1"/>
  <c r="N182" i="32"/>
  <c r="K182" i="32"/>
  <c r="H182" i="32"/>
  <c r="I182" i="32" s="1"/>
  <c r="E182" i="32"/>
  <c r="N181" i="32"/>
  <c r="K181" i="32"/>
  <c r="L181" i="32" s="1"/>
  <c r="H181" i="32"/>
  <c r="I181" i="32" s="1"/>
  <c r="E181" i="32"/>
  <c r="N180" i="32"/>
  <c r="L180" i="32"/>
  <c r="K180" i="32"/>
  <c r="H180" i="32"/>
  <c r="E180" i="32"/>
  <c r="F180" i="32" s="1"/>
  <c r="N179" i="32"/>
  <c r="K179" i="32"/>
  <c r="H179" i="32"/>
  <c r="H199" i="32" s="1"/>
  <c r="E179" i="32"/>
  <c r="M177" i="32"/>
  <c r="J177" i="32"/>
  <c r="G177" i="32"/>
  <c r="D177" i="32"/>
  <c r="B177" i="32"/>
  <c r="M176" i="32"/>
  <c r="G176" i="32"/>
  <c r="B172" i="32"/>
  <c r="O171" i="32" s="1"/>
  <c r="N171" i="32"/>
  <c r="K171" i="32"/>
  <c r="L171" i="32" s="1"/>
  <c r="H171" i="32"/>
  <c r="I171" i="32" s="1"/>
  <c r="E171" i="32"/>
  <c r="N170" i="32"/>
  <c r="K170" i="32"/>
  <c r="L170" i="32" s="1"/>
  <c r="H170" i="32"/>
  <c r="I170" i="32" s="1"/>
  <c r="E170" i="32"/>
  <c r="N169" i="32"/>
  <c r="K169" i="32"/>
  <c r="L169" i="32" s="1"/>
  <c r="I169" i="32"/>
  <c r="H169" i="32"/>
  <c r="E169" i="32"/>
  <c r="O168" i="32"/>
  <c r="N168" i="32"/>
  <c r="K168" i="32"/>
  <c r="H168" i="32"/>
  <c r="I168" i="32" s="1"/>
  <c r="E168" i="32"/>
  <c r="F168" i="32" s="1"/>
  <c r="N167" i="32"/>
  <c r="K167" i="32"/>
  <c r="K21" i="32" s="1"/>
  <c r="H167" i="32"/>
  <c r="I167" i="32" s="1"/>
  <c r="I21" i="32" s="1"/>
  <c r="E167" i="32"/>
  <c r="F167" i="32" s="1"/>
  <c r="F21" i="32" s="1"/>
  <c r="N166" i="32"/>
  <c r="K166" i="32"/>
  <c r="L166" i="32" s="1"/>
  <c r="H166" i="32"/>
  <c r="I166" i="32" s="1"/>
  <c r="E166" i="32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H163" i="32"/>
  <c r="I163" i="32" s="1"/>
  <c r="E163" i="32"/>
  <c r="F163" i="32" s="1"/>
  <c r="O162" i="32"/>
  <c r="N162" i="32"/>
  <c r="K162" i="32"/>
  <c r="L162" i="32" s="1"/>
  <c r="H162" i="32"/>
  <c r="I162" i="32" s="1"/>
  <c r="E162" i="32"/>
  <c r="N161" i="32"/>
  <c r="O161" i="32" s="1"/>
  <c r="K161" i="32"/>
  <c r="L161" i="32" s="1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K159" i="32"/>
  <c r="L159" i="32" s="1"/>
  <c r="H159" i="32"/>
  <c r="I159" i="32" s="1"/>
  <c r="E159" i="32"/>
  <c r="N158" i="32"/>
  <c r="O158" i="32" s="1"/>
  <c r="K158" i="32"/>
  <c r="L158" i="32" s="1"/>
  <c r="H158" i="32"/>
  <c r="I158" i="32" s="1"/>
  <c r="E158" i="32"/>
  <c r="N157" i="32"/>
  <c r="O157" i="32" s="1"/>
  <c r="L157" i="32"/>
  <c r="K157" i="32"/>
  <c r="H157" i="32"/>
  <c r="I157" i="32" s="1"/>
  <c r="E157" i="32"/>
  <c r="F157" i="32" s="1"/>
  <c r="N156" i="32"/>
  <c r="K156" i="32"/>
  <c r="L156" i="32" s="1"/>
  <c r="H156" i="32"/>
  <c r="I156" i="32" s="1"/>
  <c r="E156" i="32"/>
  <c r="F156" i="32" s="1"/>
  <c r="N155" i="32"/>
  <c r="L155" i="32"/>
  <c r="K155" i="32"/>
  <c r="H155" i="32"/>
  <c r="E155" i="32"/>
  <c r="F155" i="32" s="1"/>
  <c r="O154" i="32"/>
  <c r="N154" i="32"/>
  <c r="K154" i="32"/>
  <c r="H154" i="32"/>
  <c r="I154" i="32" s="1"/>
  <c r="E154" i="32"/>
  <c r="F154" i="32" s="1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E152" i="32"/>
  <c r="E172" i="32" s="1"/>
  <c r="M150" i="32"/>
  <c r="J150" i="32"/>
  <c r="G150" i="32"/>
  <c r="D150" i="32"/>
  <c r="B150" i="32"/>
  <c r="M149" i="32"/>
  <c r="G149" i="32"/>
  <c r="B145" i="32"/>
  <c r="O142" i="32" s="1"/>
  <c r="N144" i="32"/>
  <c r="K144" i="32"/>
  <c r="H144" i="32"/>
  <c r="E144" i="32"/>
  <c r="N143" i="32"/>
  <c r="K143" i="32"/>
  <c r="H143" i="32"/>
  <c r="I143" i="32" s="1"/>
  <c r="E143" i="32"/>
  <c r="N142" i="32"/>
  <c r="L142" i="32"/>
  <c r="K142" i="32"/>
  <c r="H142" i="32"/>
  <c r="E142" i="32"/>
  <c r="F142" i="32" s="1"/>
  <c r="N141" i="32"/>
  <c r="K141" i="32"/>
  <c r="K18" i="32" s="1"/>
  <c r="H141" i="32"/>
  <c r="H18" i="32" s="1"/>
  <c r="E141" i="32"/>
  <c r="F141" i="32" s="1"/>
  <c r="F18" i="32" s="1"/>
  <c r="N140" i="32"/>
  <c r="K140" i="32"/>
  <c r="H140" i="32"/>
  <c r="E140" i="32"/>
  <c r="N139" i="32"/>
  <c r="O139" i="32" s="1"/>
  <c r="K139" i="32"/>
  <c r="H139" i="32"/>
  <c r="E139" i="32"/>
  <c r="F139" i="32" s="1"/>
  <c r="N138" i="32"/>
  <c r="K138" i="32"/>
  <c r="H138" i="32"/>
  <c r="E138" i="32"/>
  <c r="N137" i="32"/>
  <c r="K137" i="32"/>
  <c r="H137" i="32"/>
  <c r="E137" i="32"/>
  <c r="N136" i="32"/>
  <c r="K136" i="32"/>
  <c r="L136" i="32" s="1"/>
  <c r="H136" i="32"/>
  <c r="E136" i="32"/>
  <c r="N135" i="32"/>
  <c r="O135" i="32" s="1"/>
  <c r="K135" i="32"/>
  <c r="H135" i="32"/>
  <c r="E135" i="32"/>
  <c r="O134" i="32"/>
  <c r="N134" i="32"/>
  <c r="K134" i="32"/>
  <c r="I134" i="32"/>
  <c r="H134" i="32"/>
  <c r="E134" i="32"/>
  <c r="N133" i="32"/>
  <c r="K133" i="32"/>
  <c r="L133" i="32" s="1"/>
  <c r="H133" i="32"/>
  <c r="E133" i="32"/>
  <c r="N132" i="32"/>
  <c r="K132" i="32"/>
  <c r="H132" i="32"/>
  <c r="E132" i="32"/>
  <c r="N131" i="32"/>
  <c r="K131" i="32"/>
  <c r="H131" i="32"/>
  <c r="E131" i="32"/>
  <c r="N130" i="32"/>
  <c r="K130" i="32"/>
  <c r="L130" i="32" s="1"/>
  <c r="H130" i="32"/>
  <c r="E130" i="32"/>
  <c r="N129" i="32"/>
  <c r="O129" i="32" s="1"/>
  <c r="K129" i="32"/>
  <c r="H129" i="32"/>
  <c r="E129" i="32"/>
  <c r="F129" i="32" s="1"/>
  <c r="N128" i="32"/>
  <c r="K128" i="32"/>
  <c r="H128" i="32"/>
  <c r="E128" i="32"/>
  <c r="N127" i="32"/>
  <c r="K127" i="32"/>
  <c r="H127" i="32"/>
  <c r="I127" i="32" s="1"/>
  <c r="E127" i="32"/>
  <c r="N126" i="32"/>
  <c r="L126" i="32"/>
  <c r="K126" i="32"/>
  <c r="H126" i="32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5" i="32" s="1"/>
  <c r="N117" i="32"/>
  <c r="K117" i="32"/>
  <c r="H117" i="32"/>
  <c r="E117" i="32"/>
  <c r="N116" i="32"/>
  <c r="K116" i="32"/>
  <c r="H116" i="32"/>
  <c r="E116" i="32"/>
  <c r="N115" i="32"/>
  <c r="K115" i="32"/>
  <c r="L115" i="32" s="1"/>
  <c r="H115" i="32"/>
  <c r="E115" i="32"/>
  <c r="N114" i="32"/>
  <c r="K114" i="32"/>
  <c r="H114" i="32"/>
  <c r="E114" i="32"/>
  <c r="N113" i="32"/>
  <c r="L113" i="32"/>
  <c r="K113" i="32"/>
  <c r="H113" i="32"/>
  <c r="E113" i="32"/>
  <c r="N112" i="32"/>
  <c r="O112" i="32" s="1"/>
  <c r="K112" i="32"/>
  <c r="H112" i="32"/>
  <c r="E112" i="32"/>
  <c r="N111" i="32"/>
  <c r="L111" i="32"/>
  <c r="K111" i="32"/>
  <c r="H111" i="32"/>
  <c r="E111" i="32"/>
  <c r="O110" i="32"/>
  <c r="N110" i="32"/>
  <c r="K110" i="32"/>
  <c r="H110" i="32"/>
  <c r="E110" i="32"/>
  <c r="N109" i="32"/>
  <c r="L109" i="32"/>
  <c r="K109" i="32"/>
  <c r="H109" i="32"/>
  <c r="E109" i="32"/>
  <c r="O108" i="32"/>
  <c r="N108" i="32"/>
  <c r="K108" i="32"/>
  <c r="I108" i="32"/>
  <c r="H108" i="32"/>
  <c r="E108" i="32"/>
  <c r="N107" i="32"/>
  <c r="K107" i="32"/>
  <c r="L107" i="32" s="1"/>
  <c r="H107" i="32"/>
  <c r="E107" i="32"/>
  <c r="N106" i="32"/>
  <c r="K106" i="32"/>
  <c r="H106" i="32"/>
  <c r="E106" i="32"/>
  <c r="N105" i="32"/>
  <c r="K105" i="32"/>
  <c r="H105" i="32"/>
  <c r="E105" i="32"/>
  <c r="N104" i="32"/>
  <c r="K104" i="32"/>
  <c r="H104" i="32"/>
  <c r="E104" i="32"/>
  <c r="N103" i="32"/>
  <c r="L103" i="32"/>
  <c r="K103" i="32"/>
  <c r="H103" i="32"/>
  <c r="E103" i="32"/>
  <c r="O102" i="32"/>
  <c r="N102" i="32"/>
  <c r="K102" i="32"/>
  <c r="H102" i="32"/>
  <c r="E102" i="32"/>
  <c r="N101" i="32"/>
  <c r="L101" i="32"/>
  <c r="K101" i="32"/>
  <c r="H101" i="32"/>
  <c r="E101" i="32"/>
  <c r="O100" i="32"/>
  <c r="N100" i="32"/>
  <c r="K100" i="32"/>
  <c r="I100" i="32"/>
  <c r="H100" i="32"/>
  <c r="E100" i="32"/>
  <c r="N99" i="32"/>
  <c r="K99" i="32"/>
  <c r="H99" i="32"/>
  <c r="E99" i="32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N89" i="32"/>
  <c r="O89" i="32" s="1"/>
  <c r="L89" i="32"/>
  <c r="K89" i="32"/>
  <c r="H89" i="32"/>
  <c r="I89" i="32" s="1"/>
  <c r="F89" i="32"/>
  <c r="E89" i="32"/>
  <c r="N88" i="32"/>
  <c r="O88" i="32" s="1"/>
  <c r="L88" i="32"/>
  <c r="K88" i="32"/>
  <c r="H88" i="32"/>
  <c r="I88" i="32" s="1"/>
  <c r="F88" i="32"/>
  <c r="E88" i="32"/>
  <c r="N87" i="32"/>
  <c r="O87" i="32" s="1"/>
  <c r="L87" i="32"/>
  <c r="K87" i="32"/>
  <c r="H87" i="32"/>
  <c r="I87" i="32" s="1"/>
  <c r="F87" i="32"/>
  <c r="E87" i="32"/>
  <c r="N86" i="32"/>
  <c r="O86" i="32" s="1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L84" i="32"/>
  <c r="K84" i="32"/>
  <c r="H84" i="32"/>
  <c r="I84" i="32" s="1"/>
  <c r="F84" i="32"/>
  <c r="E84" i="32"/>
  <c r="N83" i="32"/>
  <c r="O83" i="32" s="1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N80" i="32"/>
  <c r="O80" i="32" s="1"/>
  <c r="L80" i="32"/>
  <c r="K80" i="32"/>
  <c r="H80" i="32"/>
  <c r="I80" i="32" s="1"/>
  <c r="F80" i="32"/>
  <c r="E80" i="32"/>
  <c r="N79" i="32"/>
  <c r="O79" i="32" s="1"/>
  <c r="L79" i="32"/>
  <c r="K79" i="32"/>
  <c r="H79" i="32"/>
  <c r="I79" i="32" s="1"/>
  <c r="F79" i="32"/>
  <c r="E79" i="32"/>
  <c r="N78" i="32"/>
  <c r="O78" i="32" s="1"/>
  <c r="L78" i="32"/>
  <c r="K78" i="32"/>
  <c r="H78" i="32"/>
  <c r="I78" i="32" s="1"/>
  <c r="F78" i="32"/>
  <c r="E78" i="32"/>
  <c r="N77" i="32"/>
  <c r="O77" i="32" s="1"/>
  <c r="L77" i="32"/>
  <c r="K77" i="32"/>
  <c r="H77" i="32"/>
  <c r="I77" i="32" s="1"/>
  <c r="F77" i="32"/>
  <c r="E77" i="32"/>
  <c r="N76" i="32"/>
  <c r="O76" i="32" s="1"/>
  <c r="L76" i="32"/>
  <c r="K76" i="32"/>
  <c r="H76" i="32"/>
  <c r="I76" i="32" s="1"/>
  <c r="F76" i="32"/>
  <c r="E76" i="32"/>
  <c r="N75" i="32"/>
  <c r="O75" i="32" s="1"/>
  <c r="L75" i="32"/>
  <c r="K75" i="32"/>
  <c r="H75" i="32"/>
  <c r="I75" i="32" s="1"/>
  <c r="F75" i="32"/>
  <c r="E75" i="32"/>
  <c r="N74" i="32"/>
  <c r="O74" i="32" s="1"/>
  <c r="O20" i="32" s="1"/>
  <c r="L74" i="32"/>
  <c r="K74" i="32"/>
  <c r="H74" i="32"/>
  <c r="I74" i="32" s="1"/>
  <c r="I20" i="32" s="1"/>
  <c r="F74" i="32"/>
  <c r="E74" i="32"/>
  <c r="N73" i="32"/>
  <c r="O73" i="32" s="1"/>
  <c r="L73" i="32"/>
  <c r="K73" i="32"/>
  <c r="H73" i="32"/>
  <c r="I73" i="32" s="1"/>
  <c r="F73" i="32"/>
  <c r="E73" i="32"/>
  <c r="N72" i="32"/>
  <c r="O72" i="32" s="1"/>
  <c r="L72" i="32"/>
  <c r="K72" i="32"/>
  <c r="H72" i="32"/>
  <c r="I72" i="32" s="1"/>
  <c r="F72" i="32"/>
  <c r="E72" i="32"/>
  <c r="N71" i="32"/>
  <c r="N91" i="32" s="1"/>
  <c r="L71" i="32"/>
  <c r="L91" i="32" s="1"/>
  <c r="K71" i="32"/>
  <c r="K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K61" i="32"/>
  <c r="L61" i="32" s="1"/>
  <c r="I61" i="32"/>
  <c r="H61" i="32"/>
  <c r="E61" i="32"/>
  <c r="F61" i="32" s="1"/>
  <c r="O60" i="32"/>
  <c r="N60" i="32"/>
  <c r="K60" i="32"/>
  <c r="L60" i="32" s="1"/>
  <c r="H60" i="32"/>
  <c r="I60" i="32" s="1"/>
  <c r="E60" i="32"/>
  <c r="F60" i="32" s="1"/>
  <c r="N59" i="32"/>
  <c r="O59" i="32" s="1"/>
  <c r="L59" i="32"/>
  <c r="K59" i="32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N57" i="32"/>
  <c r="O57" i="32" s="1"/>
  <c r="L57" i="32"/>
  <c r="K57" i="32"/>
  <c r="H57" i="32"/>
  <c r="I57" i="32" s="1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K55" i="32"/>
  <c r="L55" i="32" s="1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H53" i="32"/>
  <c r="I53" i="32" s="1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H51" i="32"/>
  <c r="I51" i="32" s="1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O44" i="32"/>
  <c r="N44" i="32"/>
  <c r="K44" i="32"/>
  <c r="K64" i="32" s="1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N20" i="32"/>
  <c r="M20" i="32"/>
  <c r="L20" i="32"/>
  <c r="K20" i="32"/>
  <c r="J20" i="32"/>
  <c r="H20" i="32"/>
  <c r="G20" i="32"/>
  <c r="F20" i="32"/>
  <c r="E20" i="32"/>
  <c r="D20" i="32"/>
  <c r="C20" i="32"/>
  <c r="B20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L198" i="31" s="1"/>
  <c r="N198" i="31"/>
  <c r="O198" i="31" s="1"/>
  <c r="K198" i="31"/>
  <c r="H198" i="31"/>
  <c r="I198" i="31" s="1"/>
  <c r="F198" i="31"/>
  <c r="E198" i="31"/>
  <c r="N197" i="31"/>
  <c r="K197" i="31"/>
  <c r="L197" i="31" s="1"/>
  <c r="H197" i="31"/>
  <c r="I197" i="31" s="1"/>
  <c r="E197" i="31"/>
  <c r="N196" i="31"/>
  <c r="O196" i="31" s="1"/>
  <c r="K196" i="31"/>
  <c r="H196" i="31"/>
  <c r="E196" i="31"/>
  <c r="F196" i="31" s="1"/>
  <c r="N195" i="31"/>
  <c r="K195" i="31"/>
  <c r="H195" i="31"/>
  <c r="I195" i="31" s="1"/>
  <c r="F195" i="31"/>
  <c r="E195" i="31"/>
  <c r="N194" i="31"/>
  <c r="K194" i="31"/>
  <c r="L194" i="31" s="1"/>
  <c r="H194" i="31"/>
  <c r="E194" i="31"/>
  <c r="N193" i="31"/>
  <c r="O193" i="31" s="1"/>
  <c r="K193" i="31"/>
  <c r="H193" i="31"/>
  <c r="E193" i="31"/>
  <c r="F193" i="31" s="1"/>
  <c r="N192" i="31"/>
  <c r="K192" i="31"/>
  <c r="H192" i="31"/>
  <c r="I192" i="31" s="1"/>
  <c r="F192" i="31"/>
  <c r="E192" i="31"/>
  <c r="N191" i="31"/>
  <c r="K191" i="31"/>
  <c r="L191" i="31" s="1"/>
  <c r="H191" i="31"/>
  <c r="I191" i="31" s="1"/>
  <c r="E191" i="31"/>
  <c r="N190" i="31"/>
  <c r="L190" i="31"/>
  <c r="K190" i="31"/>
  <c r="H190" i="31"/>
  <c r="E190" i="31"/>
  <c r="N189" i="31"/>
  <c r="K189" i="31"/>
  <c r="H189" i="31"/>
  <c r="E189" i="31"/>
  <c r="N188" i="31"/>
  <c r="O188" i="31" s="1"/>
  <c r="K188" i="31"/>
  <c r="H188" i="31"/>
  <c r="E188" i="31"/>
  <c r="F188" i="31" s="1"/>
  <c r="N187" i="31"/>
  <c r="K187" i="31"/>
  <c r="L187" i="31" s="1"/>
  <c r="H187" i="31"/>
  <c r="I187" i="31" s="1"/>
  <c r="E187" i="31"/>
  <c r="N186" i="31"/>
  <c r="O186" i="31" s="1"/>
  <c r="L186" i="31"/>
  <c r="K186" i="31"/>
  <c r="H186" i="31"/>
  <c r="E186" i="31"/>
  <c r="F186" i="31" s="1"/>
  <c r="N185" i="31"/>
  <c r="K185" i="31"/>
  <c r="H185" i="31"/>
  <c r="I185" i="31" s="1"/>
  <c r="F185" i="31"/>
  <c r="E185" i="31"/>
  <c r="N184" i="31"/>
  <c r="K184" i="31"/>
  <c r="L184" i="31" s="1"/>
  <c r="H184" i="31"/>
  <c r="I184" i="31" s="1"/>
  <c r="E184" i="31"/>
  <c r="N183" i="31"/>
  <c r="O183" i="31" s="1"/>
  <c r="K183" i="31"/>
  <c r="L183" i="31" s="1"/>
  <c r="H183" i="31"/>
  <c r="E183" i="31"/>
  <c r="N182" i="31"/>
  <c r="O182" i="31" s="1"/>
  <c r="L182" i="31"/>
  <c r="K182" i="31"/>
  <c r="H182" i="31"/>
  <c r="E182" i="31"/>
  <c r="F182" i="31" s="1"/>
  <c r="N181" i="31"/>
  <c r="K181" i="31"/>
  <c r="H181" i="31"/>
  <c r="I181" i="31" s="1"/>
  <c r="F181" i="31"/>
  <c r="E181" i="31"/>
  <c r="N180" i="31"/>
  <c r="K180" i="31"/>
  <c r="L180" i="31" s="1"/>
  <c r="H180" i="31"/>
  <c r="E180" i="31"/>
  <c r="N179" i="31"/>
  <c r="K179" i="31"/>
  <c r="H179" i="31"/>
  <c r="E179" i="31"/>
  <c r="E199" i="31" s="1"/>
  <c r="M177" i="31"/>
  <c r="J177" i="31"/>
  <c r="G177" i="31"/>
  <c r="D177" i="31"/>
  <c r="B177" i="31"/>
  <c r="M176" i="31"/>
  <c r="G176" i="31"/>
  <c r="B172" i="31"/>
  <c r="F171" i="31" s="1"/>
  <c r="N171" i="31"/>
  <c r="K171" i="31"/>
  <c r="H171" i="31"/>
  <c r="E171" i="31"/>
  <c r="N170" i="31"/>
  <c r="K170" i="31"/>
  <c r="H170" i="31"/>
  <c r="E170" i="31"/>
  <c r="N169" i="31"/>
  <c r="K169" i="31"/>
  <c r="H169" i="31"/>
  <c r="E169" i="31"/>
  <c r="N168" i="31"/>
  <c r="O168" i="31" s="1"/>
  <c r="K168" i="31"/>
  <c r="H168" i="31"/>
  <c r="F168" i="31"/>
  <c r="E168" i="31"/>
  <c r="N167" i="31"/>
  <c r="K167" i="31"/>
  <c r="H167" i="31"/>
  <c r="E167" i="31"/>
  <c r="N166" i="31"/>
  <c r="K166" i="31"/>
  <c r="L166" i="31" s="1"/>
  <c r="H166" i="31"/>
  <c r="E166" i="31"/>
  <c r="N165" i="31"/>
  <c r="O165" i="31" s="1"/>
  <c r="K165" i="31"/>
  <c r="H165" i="31"/>
  <c r="E165" i="31"/>
  <c r="N164" i="31"/>
  <c r="K164" i="31"/>
  <c r="H164" i="31"/>
  <c r="E164" i="31"/>
  <c r="O163" i="31"/>
  <c r="N163" i="31"/>
  <c r="K163" i="31"/>
  <c r="H163" i="31"/>
  <c r="I163" i="31" s="1"/>
  <c r="E163" i="31"/>
  <c r="N162" i="31"/>
  <c r="K162" i="31"/>
  <c r="L162" i="31" s="1"/>
  <c r="H162" i="31"/>
  <c r="E162" i="31"/>
  <c r="O161" i="31"/>
  <c r="N161" i="31"/>
  <c r="K161" i="31"/>
  <c r="H161" i="31"/>
  <c r="F161" i="31"/>
  <c r="E161" i="31"/>
  <c r="N160" i="31"/>
  <c r="K160" i="31"/>
  <c r="H160" i="31"/>
  <c r="E160" i="31"/>
  <c r="N159" i="31"/>
  <c r="O159" i="31" s="1"/>
  <c r="K159" i="31"/>
  <c r="H159" i="31"/>
  <c r="F159" i="31"/>
  <c r="E159" i="31"/>
  <c r="N158" i="31"/>
  <c r="K158" i="31"/>
  <c r="H158" i="31"/>
  <c r="I158" i="31" s="1"/>
  <c r="E158" i="31"/>
  <c r="N157" i="31"/>
  <c r="K157" i="31"/>
  <c r="L157" i="31" s="1"/>
  <c r="H157" i="31"/>
  <c r="E157" i="31"/>
  <c r="N156" i="31"/>
  <c r="O156" i="31" s="1"/>
  <c r="O21" i="31" s="1"/>
  <c r="K156" i="31"/>
  <c r="H156" i="31"/>
  <c r="F156" i="31"/>
  <c r="E156" i="31"/>
  <c r="N155" i="31"/>
  <c r="L155" i="31"/>
  <c r="K155" i="31"/>
  <c r="H155" i="31"/>
  <c r="E155" i="31"/>
  <c r="N154" i="31"/>
  <c r="K154" i="31"/>
  <c r="H154" i="31"/>
  <c r="F154" i="31"/>
  <c r="E154" i="31"/>
  <c r="N153" i="31"/>
  <c r="K153" i="31"/>
  <c r="L153" i="31" s="1"/>
  <c r="H153" i="31"/>
  <c r="E153" i="31"/>
  <c r="N152" i="31"/>
  <c r="N172" i="31" s="1"/>
  <c r="K152" i="31"/>
  <c r="H152" i="31"/>
  <c r="F152" i="31"/>
  <c r="E152" i="31"/>
  <c r="M150" i="31"/>
  <c r="J150" i="31"/>
  <c r="G150" i="31"/>
  <c r="D150" i="31"/>
  <c r="B150" i="31"/>
  <c r="M149" i="31"/>
  <c r="G149" i="31"/>
  <c r="B145" i="31"/>
  <c r="N144" i="31"/>
  <c r="O144" i="31" s="1"/>
  <c r="K144" i="31"/>
  <c r="L144" i="31" s="1"/>
  <c r="H144" i="31"/>
  <c r="I144" i="31" s="1"/>
  <c r="E144" i="31"/>
  <c r="F144" i="31" s="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E142" i="31"/>
  <c r="F142" i="31" s="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E140" i="31"/>
  <c r="F140" i="31" s="1"/>
  <c r="N139" i="31"/>
  <c r="O139" i="31" s="1"/>
  <c r="K139" i="31"/>
  <c r="L139" i="31" s="1"/>
  <c r="H139" i="31"/>
  <c r="I139" i="31" s="1"/>
  <c r="F139" i="31"/>
  <c r="E139" i="31"/>
  <c r="N138" i="31"/>
  <c r="O138" i="31" s="1"/>
  <c r="K138" i="31"/>
  <c r="L138" i="31" s="1"/>
  <c r="H138" i="31"/>
  <c r="I138" i="31" s="1"/>
  <c r="E138" i="31"/>
  <c r="F138" i="31" s="1"/>
  <c r="N137" i="31"/>
  <c r="O137" i="31" s="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E136" i="31"/>
  <c r="F136" i="31" s="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E134" i="31"/>
  <c r="F134" i="31" s="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E132" i="31"/>
  <c r="F132" i="31" s="1"/>
  <c r="N131" i="31"/>
  <c r="O131" i="31" s="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E130" i="31"/>
  <c r="F130" i="31" s="1"/>
  <c r="N129" i="31"/>
  <c r="O129" i="31" s="1"/>
  <c r="K129" i="31"/>
  <c r="L129" i="31" s="1"/>
  <c r="H129" i="31"/>
  <c r="I129" i="31" s="1"/>
  <c r="F129" i="31"/>
  <c r="E129" i="31"/>
  <c r="N128" i="31"/>
  <c r="O128" i="31" s="1"/>
  <c r="K128" i="31"/>
  <c r="L128" i="31" s="1"/>
  <c r="H128" i="31"/>
  <c r="I128" i="31" s="1"/>
  <c r="E128" i="31"/>
  <c r="F128" i="31" s="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E126" i="31"/>
  <c r="F126" i="31" s="1"/>
  <c r="N125" i="31"/>
  <c r="O125" i="31" s="1"/>
  <c r="K125" i="31"/>
  <c r="L125" i="31" s="1"/>
  <c r="H125" i="31"/>
  <c r="F125" i="31"/>
  <c r="E125" i="3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K114" i="31"/>
  <c r="L114" i="31" s="1"/>
  <c r="H114" i="31"/>
  <c r="I114" i="31" s="1"/>
  <c r="F114" i="31"/>
  <c r="E114" i="31"/>
  <c r="N113" i="31"/>
  <c r="O113" i="31" s="1"/>
  <c r="K113" i="31"/>
  <c r="L113" i="31" s="1"/>
  <c r="H113" i="31"/>
  <c r="I113" i="31" s="1"/>
  <c r="E113" i="31"/>
  <c r="F113" i="31" s="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E105" i="31"/>
  <c r="F105" i="31" s="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N100" i="31"/>
  <c r="O100" i="31" s="1"/>
  <c r="K100" i="31"/>
  <c r="L100" i="31" s="1"/>
  <c r="H100" i="31"/>
  <c r="I100" i="31" s="1"/>
  <c r="E100" i="31"/>
  <c r="F100" i="31" s="1"/>
  <c r="N99" i="31"/>
  <c r="O99" i="31" s="1"/>
  <c r="K99" i="31"/>
  <c r="L99" i="31" s="1"/>
  <c r="H99" i="31"/>
  <c r="I99" i="31" s="1"/>
  <c r="F99" i="31"/>
  <c r="E99" i="31"/>
  <c r="N98" i="31"/>
  <c r="K98" i="31"/>
  <c r="L98" i="31" s="1"/>
  <c r="H98" i="31"/>
  <c r="E98" i="31"/>
  <c r="M96" i="31"/>
  <c r="J96" i="31"/>
  <c r="G96" i="31"/>
  <c r="D96" i="31"/>
  <c r="B96" i="31"/>
  <c r="M95" i="31"/>
  <c r="G95" i="31"/>
  <c r="B91" i="31"/>
  <c r="O87" i="31" s="1"/>
  <c r="O90" i="31"/>
  <c r="N90" i="31"/>
  <c r="K90" i="31"/>
  <c r="H90" i="31"/>
  <c r="I90" i="31" s="1"/>
  <c r="F90" i="31"/>
  <c r="E90" i="31"/>
  <c r="N89" i="31"/>
  <c r="K89" i="31"/>
  <c r="L89" i="31" s="1"/>
  <c r="H89" i="31"/>
  <c r="I89" i="31" s="1"/>
  <c r="E89" i="31"/>
  <c r="N88" i="31"/>
  <c r="O88" i="31" s="1"/>
  <c r="K88" i="31"/>
  <c r="H88" i="31"/>
  <c r="I88" i="31" s="1"/>
  <c r="F88" i="31"/>
  <c r="E88" i="31"/>
  <c r="N87" i="31"/>
  <c r="L87" i="31"/>
  <c r="K87" i="31"/>
  <c r="H87" i="31"/>
  <c r="E87" i="31"/>
  <c r="F87" i="31" s="1"/>
  <c r="N86" i="31"/>
  <c r="K86" i="31"/>
  <c r="H86" i="31"/>
  <c r="I86" i="31" s="1"/>
  <c r="I20" i="31" s="1"/>
  <c r="F86" i="31"/>
  <c r="E86" i="31"/>
  <c r="N85" i="31"/>
  <c r="K85" i="31"/>
  <c r="L85" i="31" s="1"/>
  <c r="L19" i="31" s="1"/>
  <c r="H85" i="31"/>
  <c r="E85" i="31"/>
  <c r="N84" i="31"/>
  <c r="O84" i="31" s="1"/>
  <c r="K84" i="31"/>
  <c r="H84" i="31"/>
  <c r="I84" i="31" s="1"/>
  <c r="F84" i="31"/>
  <c r="E84" i="31"/>
  <c r="N83" i="31"/>
  <c r="K83" i="31"/>
  <c r="L83" i="31" s="1"/>
  <c r="H83" i="31"/>
  <c r="E83" i="31"/>
  <c r="O82" i="31"/>
  <c r="N82" i="31"/>
  <c r="K82" i="31"/>
  <c r="H82" i="31"/>
  <c r="I82" i="31" s="1"/>
  <c r="F82" i="31"/>
  <c r="E82" i="31"/>
  <c r="N81" i="31"/>
  <c r="K81" i="31"/>
  <c r="L81" i="31" s="1"/>
  <c r="H81" i="31"/>
  <c r="I81" i="31" s="1"/>
  <c r="E81" i="31"/>
  <c r="N80" i="31"/>
  <c r="O80" i="31" s="1"/>
  <c r="K80" i="31"/>
  <c r="H80" i="31"/>
  <c r="I80" i="31" s="1"/>
  <c r="F80" i="31"/>
  <c r="E80" i="31"/>
  <c r="N79" i="31"/>
  <c r="L79" i="31"/>
  <c r="K79" i="31"/>
  <c r="H79" i="31"/>
  <c r="E79" i="31"/>
  <c r="F79" i="31" s="1"/>
  <c r="N78" i="31"/>
  <c r="K78" i="31"/>
  <c r="H78" i="31"/>
  <c r="I78" i="31" s="1"/>
  <c r="F78" i="31"/>
  <c r="E78" i="31"/>
  <c r="N77" i="31"/>
  <c r="K77" i="31"/>
  <c r="L77" i="31" s="1"/>
  <c r="H77" i="31"/>
  <c r="E77" i="31"/>
  <c r="N76" i="31"/>
  <c r="O76" i="31" s="1"/>
  <c r="K76" i="31"/>
  <c r="H76" i="31"/>
  <c r="I76" i="31" s="1"/>
  <c r="F76" i="31"/>
  <c r="E76" i="31"/>
  <c r="N75" i="31"/>
  <c r="K75" i="31"/>
  <c r="L75" i="31" s="1"/>
  <c r="H75" i="31"/>
  <c r="E75" i="31"/>
  <c r="O74" i="31"/>
  <c r="N74" i="31"/>
  <c r="K74" i="31"/>
  <c r="H74" i="31"/>
  <c r="I74" i="31" s="1"/>
  <c r="F74" i="31"/>
  <c r="E74" i="31"/>
  <c r="N73" i="31"/>
  <c r="K73" i="31"/>
  <c r="L73" i="31" s="1"/>
  <c r="H73" i="31"/>
  <c r="I73" i="31" s="1"/>
  <c r="E73" i="31"/>
  <c r="N72" i="31"/>
  <c r="O72" i="31" s="1"/>
  <c r="K72" i="31"/>
  <c r="H72" i="31"/>
  <c r="I72" i="31" s="1"/>
  <c r="F72" i="31"/>
  <c r="E72" i="31"/>
  <c r="N71" i="31"/>
  <c r="L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L63" i="31" s="1"/>
  <c r="N63" i="31"/>
  <c r="K63" i="31"/>
  <c r="H63" i="31"/>
  <c r="I63" i="31" s="1"/>
  <c r="E63" i="31"/>
  <c r="N62" i="31"/>
  <c r="L62" i="31"/>
  <c r="K62" i="31"/>
  <c r="H62" i="31"/>
  <c r="E62" i="31"/>
  <c r="F62" i="31" s="1"/>
  <c r="N61" i="31"/>
  <c r="K61" i="31"/>
  <c r="H61" i="31"/>
  <c r="I61" i="31" s="1"/>
  <c r="E61" i="31"/>
  <c r="N60" i="31"/>
  <c r="K60" i="31"/>
  <c r="L60" i="31" s="1"/>
  <c r="H60" i="31"/>
  <c r="E60" i="31"/>
  <c r="N59" i="31"/>
  <c r="N18" i="31" s="1"/>
  <c r="K59" i="31"/>
  <c r="H59" i="31"/>
  <c r="E59" i="31"/>
  <c r="F59" i="31" s="1"/>
  <c r="F18" i="31" s="1"/>
  <c r="N58" i="31"/>
  <c r="K58" i="31"/>
  <c r="H58" i="31"/>
  <c r="E58" i="31"/>
  <c r="O57" i="31"/>
  <c r="N57" i="31"/>
  <c r="K57" i="31"/>
  <c r="H57" i="31"/>
  <c r="E57" i="31"/>
  <c r="F57" i="31" s="1"/>
  <c r="N56" i="31"/>
  <c r="K56" i="31"/>
  <c r="H56" i="31"/>
  <c r="I56" i="31" s="1"/>
  <c r="E56" i="31"/>
  <c r="N55" i="31"/>
  <c r="K55" i="31"/>
  <c r="H55" i="31"/>
  <c r="I55" i="31" s="1"/>
  <c r="E55" i="31"/>
  <c r="N54" i="31"/>
  <c r="K54" i="31"/>
  <c r="I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L51" i="31"/>
  <c r="K51" i="31"/>
  <c r="H51" i="31"/>
  <c r="E51" i="31"/>
  <c r="N50" i="31"/>
  <c r="O50" i="31" s="1"/>
  <c r="K50" i="31"/>
  <c r="H50" i="31"/>
  <c r="E50" i="31"/>
  <c r="N49" i="31"/>
  <c r="K49" i="31"/>
  <c r="H49" i="31"/>
  <c r="I49" i="31" s="1"/>
  <c r="E49" i="31"/>
  <c r="N48" i="31"/>
  <c r="K48" i="31"/>
  <c r="H48" i="31"/>
  <c r="I48" i="31" s="1"/>
  <c r="E48" i="31"/>
  <c r="N47" i="31"/>
  <c r="K47" i="31"/>
  <c r="L47" i="31" s="1"/>
  <c r="H47" i="31"/>
  <c r="E47" i="31"/>
  <c r="N46" i="3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N19" i="31"/>
  <c r="M19" i="31"/>
  <c r="K19" i="31"/>
  <c r="J19" i="31"/>
  <c r="H19" i="31"/>
  <c r="G19" i="31"/>
  <c r="E19" i="31"/>
  <c r="D19" i="31"/>
  <c r="C19" i="31"/>
  <c r="B19" i="31"/>
  <c r="M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L198" i="30" s="1"/>
  <c r="N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F196" i="30"/>
  <c r="E196" i="30"/>
  <c r="N195" i="30"/>
  <c r="K195" i="30"/>
  <c r="L195" i="30" s="1"/>
  <c r="H195" i="30"/>
  <c r="E195" i="30"/>
  <c r="O194" i="30"/>
  <c r="N194" i="30"/>
  <c r="K194" i="30"/>
  <c r="H194" i="30"/>
  <c r="I194" i="30" s="1"/>
  <c r="E194" i="30"/>
  <c r="N193" i="30"/>
  <c r="K193" i="30"/>
  <c r="L193" i="30" s="1"/>
  <c r="H193" i="30"/>
  <c r="E193" i="30"/>
  <c r="N192" i="30"/>
  <c r="O192" i="30" s="1"/>
  <c r="K192" i="30"/>
  <c r="H192" i="30"/>
  <c r="F192" i="30"/>
  <c r="E192" i="30"/>
  <c r="N191" i="30"/>
  <c r="K191" i="30"/>
  <c r="L191" i="30" s="1"/>
  <c r="H191" i="30"/>
  <c r="E191" i="30"/>
  <c r="O190" i="30"/>
  <c r="N190" i="30"/>
  <c r="K190" i="30"/>
  <c r="H190" i="30"/>
  <c r="I190" i="30" s="1"/>
  <c r="E190" i="30"/>
  <c r="N189" i="30"/>
  <c r="K189" i="30"/>
  <c r="L189" i="30" s="1"/>
  <c r="H189" i="30"/>
  <c r="E189" i="30"/>
  <c r="N188" i="30"/>
  <c r="O188" i="30" s="1"/>
  <c r="K188" i="30"/>
  <c r="H188" i="30"/>
  <c r="F188" i="30"/>
  <c r="E188" i="30"/>
  <c r="N187" i="30"/>
  <c r="K187" i="30"/>
  <c r="H187" i="30"/>
  <c r="I187" i="30" s="1"/>
  <c r="E187" i="30"/>
  <c r="N186" i="30"/>
  <c r="K186" i="30"/>
  <c r="H186" i="30"/>
  <c r="F186" i="30"/>
  <c r="E186" i="30"/>
  <c r="N185" i="30"/>
  <c r="K185" i="30"/>
  <c r="H185" i="30"/>
  <c r="I185" i="30" s="1"/>
  <c r="E185" i="30"/>
  <c r="N184" i="30"/>
  <c r="L184" i="30"/>
  <c r="K184" i="30"/>
  <c r="H184" i="30"/>
  <c r="E184" i="30"/>
  <c r="N183" i="30"/>
  <c r="K183" i="30"/>
  <c r="H183" i="30"/>
  <c r="I183" i="30" s="1"/>
  <c r="E183" i="30"/>
  <c r="N182" i="30"/>
  <c r="L182" i="30"/>
  <c r="K182" i="30"/>
  <c r="H182" i="30"/>
  <c r="E182" i="30"/>
  <c r="N181" i="30"/>
  <c r="K181" i="30"/>
  <c r="H181" i="30"/>
  <c r="F181" i="30"/>
  <c r="E181" i="30"/>
  <c r="N180" i="30"/>
  <c r="K180" i="30"/>
  <c r="H180" i="30"/>
  <c r="E180" i="30"/>
  <c r="N179" i="30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E171" i="30"/>
  <c r="N170" i="30"/>
  <c r="O170" i="30" s="1"/>
  <c r="K170" i="30"/>
  <c r="H170" i="30"/>
  <c r="E170" i="30"/>
  <c r="N169" i="30"/>
  <c r="K169" i="30"/>
  <c r="H169" i="30"/>
  <c r="I169" i="30" s="1"/>
  <c r="I17" i="30" s="1"/>
  <c r="E169" i="30"/>
  <c r="N168" i="30"/>
  <c r="K168" i="30"/>
  <c r="L168" i="30" s="1"/>
  <c r="H168" i="30"/>
  <c r="E168" i="30"/>
  <c r="O167" i="30"/>
  <c r="N167" i="30"/>
  <c r="K167" i="30"/>
  <c r="H167" i="30"/>
  <c r="I167" i="30" s="1"/>
  <c r="E167" i="30"/>
  <c r="N166" i="30"/>
  <c r="K166" i="30"/>
  <c r="H166" i="30"/>
  <c r="E166" i="30"/>
  <c r="N165" i="30"/>
  <c r="K165" i="30"/>
  <c r="H165" i="30"/>
  <c r="F165" i="30"/>
  <c r="E165" i="30"/>
  <c r="N164" i="30"/>
  <c r="K164" i="30"/>
  <c r="L164" i="30" s="1"/>
  <c r="H164" i="30"/>
  <c r="E164" i="30"/>
  <c r="N163" i="30"/>
  <c r="O163" i="30" s="1"/>
  <c r="K163" i="30"/>
  <c r="H163" i="30"/>
  <c r="F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L159" i="30"/>
  <c r="K159" i="30"/>
  <c r="H159" i="30"/>
  <c r="E159" i="30"/>
  <c r="N158" i="30"/>
  <c r="K158" i="30"/>
  <c r="H158" i="30"/>
  <c r="F158" i="30"/>
  <c r="E158" i="30"/>
  <c r="N157" i="30"/>
  <c r="K157" i="30"/>
  <c r="H157" i="30"/>
  <c r="I157" i="30" s="1"/>
  <c r="E157" i="30"/>
  <c r="N156" i="30"/>
  <c r="K156" i="30"/>
  <c r="L156" i="30" s="1"/>
  <c r="H156" i="30"/>
  <c r="E156" i="30"/>
  <c r="N155" i="30"/>
  <c r="O155" i="30" s="1"/>
  <c r="K155" i="30"/>
  <c r="H155" i="30"/>
  <c r="F155" i="30"/>
  <c r="E155" i="30"/>
  <c r="N154" i="30"/>
  <c r="K154" i="30"/>
  <c r="L154" i="30" s="1"/>
  <c r="H154" i="30"/>
  <c r="E154" i="30"/>
  <c r="N153" i="30"/>
  <c r="O153" i="30" s="1"/>
  <c r="K153" i="30"/>
  <c r="H153" i="30"/>
  <c r="E153" i="30"/>
  <c r="N152" i="30"/>
  <c r="K152" i="30"/>
  <c r="H152" i="30"/>
  <c r="H172" i="30" s="1"/>
  <c r="E152" i="30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K142" i="30"/>
  <c r="L142" i="30" s="1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K140" i="30"/>
  <c r="L140" i="30" s="1"/>
  <c r="L18" i="30" s="1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H138" i="30"/>
  <c r="I138" i="30" s="1"/>
  <c r="E138" i="30"/>
  <c r="F138" i="30" s="1"/>
  <c r="N137" i="30"/>
  <c r="O137" i="30" s="1"/>
  <c r="K137" i="30"/>
  <c r="L137" i="30" s="1"/>
  <c r="H137" i="30"/>
  <c r="I137" i="30" s="1"/>
  <c r="E137" i="30"/>
  <c r="F137" i="30" s="1"/>
  <c r="N136" i="30"/>
  <c r="O136" i="30" s="1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I126" i="30"/>
  <c r="H126" i="30"/>
  <c r="E126" i="30"/>
  <c r="F126" i="30" s="1"/>
  <c r="N125" i="30"/>
  <c r="L125" i="30"/>
  <c r="K125" i="30"/>
  <c r="H125" i="30"/>
  <c r="E125" i="30"/>
  <c r="M123" i="30"/>
  <c r="J123" i="30"/>
  <c r="G123" i="30"/>
  <c r="D123" i="30"/>
  <c r="B123" i="30"/>
  <c r="M122" i="30"/>
  <c r="G122" i="30"/>
  <c r="B118" i="30"/>
  <c r="I109" i="30" s="1"/>
  <c r="I28" i="30" s="1"/>
  <c r="O117" i="30"/>
  <c r="N117" i="30"/>
  <c r="K117" i="30"/>
  <c r="H117" i="30"/>
  <c r="I117" i="30" s="1"/>
  <c r="E117" i="30"/>
  <c r="F117" i="30" s="1"/>
  <c r="O116" i="30"/>
  <c r="N116" i="30"/>
  <c r="K116" i="30"/>
  <c r="L116" i="30" s="1"/>
  <c r="H116" i="30"/>
  <c r="I116" i="30" s="1"/>
  <c r="E116" i="30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H114" i="30"/>
  <c r="I114" i="30" s="1"/>
  <c r="E114" i="30"/>
  <c r="F114" i="30" s="1"/>
  <c r="N113" i="30"/>
  <c r="O113" i="30" s="1"/>
  <c r="K113" i="30"/>
  <c r="H113" i="30"/>
  <c r="I113" i="30" s="1"/>
  <c r="E113" i="30"/>
  <c r="F113" i="30" s="1"/>
  <c r="N112" i="30"/>
  <c r="O112" i="30" s="1"/>
  <c r="K112" i="30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N110" i="30"/>
  <c r="O110" i="30" s="1"/>
  <c r="K110" i="30"/>
  <c r="L110" i="30" s="1"/>
  <c r="H110" i="30"/>
  <c r="I110" i="30" s="1"/>
  <c r="E110" i="30"/>
  <c r="N109" i="30"/>
  <c r="O109" i="30" s="1"/>
  <c r="O28" i="30" s="1"/>
  <c r="L109" i="30"/>
  <c r="L28" i="30" s="1"/>
  <c r="K109" i="30"/>
  <c r="H109" i="30"/>
  <c r="E109" i="30"/>
  <c r="F109" i="30" s="1"/>
  <c r="F28" i="30" s="1"/>
  <c r="N108" i="30"/>
  <c r="O108" i="30" s="1"/>
  <c r="K108" i="30"/>
  <c r="H108" i="30"/>
  <c r="I108" i="30" s="1"/>
  <c r="E108" i="30"/>
  <c r="F108" i="30" s="1"/>
  <c r="N107" i="30"/>
  <c r="O107" i="30" s="1"/>
  <c r="K107" i="30"/>
  <c r="I107" i="30"/>
  <c r="H107" i="30"/>
  <c r="E107" i="30"/>
  <c r="N106" i="30"/>
  <c r="O106" i="30" s="1"/>
  <c r="L106" i="30"/>
  <c r="K106" i="30"/>
  <c r="H106" i="30"/>
  <c r="E106" i="30"/>
  <c r="F106" i="30" s="1"/>
  <c r="O105" i="30"/>
  <c r="O24" i="30" s="1"/>
  <c r="N105" i="30"/>
  <c r="K105" i="30"/>
  <c r="H105" i="30"/>
  <c r="I105" i="30" s="1"/>
  <c r="I24" i="30" s="1"/>
  <c r="E105" i="30"/>
  <c r="F105" i="30" s="1"/>
  <c r="F24" i="30" s="1"/>
  <c r="N104" i="30"/>
  <c r="K104" i="30"/>
  <c r="L104" i="30" s="1"/>
  <c r="H104" i="30"/>
  <c r="I104" i="30" s="1"/>
  <c r="E104" i="30"/>
  <c r="N103" i="30"/>
  <c r="O103" i="30" s="1"/>
  <c r="O22" i="30" s="1"/>
  <c r="K103" i="30"/>
  <c r="L103" i="30" s="1"/>
  <c r="L22" i="30" s="1"/>
  <c r="H103" i="30"/>
  <c r="E103" i="30"/>
  <c r="F103" i="30" s="1"/>
  <c r="F22" i="30" s="1"/>
  <c r="N102" i="30"/>
  <c r="O102" i="30" s="1"/>
  <c r="K102" i="30"/>
  <c r="H102" i="30"/>
  <c r="I102" i="30" s="1"/>
  <c r="E102" i="30"/>
  <c r="F102" i="30" s="1"/>
  <c r="N101" i="30"/>
  <c r="O101" i="30" s="1"/>
  <c r="K101" i="30"/>
  <c r="I101" i="30"/>
  <c r="H101" i="30"/>
  <c r="E101" i="30"/>
  <c r="N100" i="30"/>
  <c r="O100" i="30" s="1"/>
  <c r="K100" i="30"/>
  <c r="L100" i="30" s="1"/>
  <c r="H100" i="30"/>
  <c r="I100" i="30" s="1"/>
  <c r="E100" i="30"/>
  <c r="N99" i="30"/>
  <c r="O99" i="30" s="1"/>
  <c r="L99" i="30"/>
  <c r="K99" i="30"/>
  <c r="H99" i="30"/>
  <c r="E99" i="30"/>
  <c r="F99" i="30" s="1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O90" i="30" s="1"/>
  <c r="N90" i="30"/>
  <c r="K90" i="30"/>
  <c r="L90" i="30" s="1"/>
  <c r="H90" i="30"/>
  <c r="I90" i="30" s="1"/>
  <c r="E90" i="30"/>
  <c r="N89" i="30"/>
  <c r="L89" i="30"/>
  <c r="K89" i="30"/>
  <c r="H89" i="30"/>
  <c r="E89" i="30"/>
  <c r="F89" i="30" s="1"/>
  <c r="N88" i="30"/>
  <c r="O88" i="30" s="1"/>
  <c r="K88" i="30"/>
  <c r="H88" i="30"/>
  <c r="E88" i="30"/>
  <c r="F88" i="30" s="1"/>
  <c r="O87" i="30"/>
  <c r="N87" i="30"/>
  <c r="K87" i="30"/>
  <c r="I87" i="30"/>
  <c r="H87" i="30"/>
  <c r="E87" i="30"/>
  <c r="N86" i="30"/>
  <c r="O86" i="30" s="1"/>
  <c r="O20" i="30" s="1"/>
  <c r="K86" i="30"/>
  <c r="L86" i="30" s="1"/>
  <c r="L20" i="30" s="1"/>
  <c r="H86" i="30"/>
  <c r="H20" i="30" s="1"/>
  <c r="E86" i="30"/>
  <c r="O85" i="30"/>
  <c r="N85" i="30"/>
  <c r="K85" i="30"/>
  <c r="H85" i="30"/>
  <c r="E85" i="30"/>
  <c r="F85" i="30" s="1"/>
  <c r="O84" i="30"/>
  <c r="N84" i="30"/>
  <c r="K84" i="30"/>
  <c r="H84" i="30"/>
  <c r="I84" i="30" s="1"/>
  <c r="E84" i="30"/>
  <c r="F84" i="30" s="1"/>
  <c r="N83" i="30"/>
  <c r="K83" i="30"/>
  <c r="I83" i="30"/>
  <c r="H83" i="30"/>
  <c r="E83" i="30"/>
  <c r="N82" i="30"/>
  <c r="L82" i="30"/>
  <c r="K82" i="30"/>
  <c r="H82" i="30"/>
  <c r="E82" i="30"/>
  <c r="F82" i="30" s="1"/>
  <c r="N81" i="30"/>
  <c r="O81" i="30" s="1"/>
  <c r="K81" i="30"/>
  <c r="H81" i="30"/>
  <c r="E81" i="30"/>
  <c r="F81" i="30" s="1"/>
  <c r="N80" i="30"/>
  <c r="O80" i="30" s="1"/>
  <c r="K80" i="30"/>
  <c r="H80" i="30"/>
  <c r="I80" i="30" s="1"/>
  <c r="E80" i="30"/>
  <c r="F80" i="30" s="1"/>
  <c r="N79" i="30"/>
  <c r="K79" i="30"/>
  <c r="L79" i="30" s="1"/>
  <c r="I79" i="30"/>
  <c r="H79" i="30"/>
  <c r="E79" i="30"/>
  <c r="N78" i="30"/>
  <c r="O78" i="30" s="1"/>
  <c r="K78" i="30"/>
  <c r="L78" i="30" s="1"/>
  <c r="H78" i="30"/>
  <c r="E78" i="30"/>
  <c r="O77" i="30"/>
  <c r="N77" i="30"/>
  <c r="K77" i="30"/>
  <c r="H77" i="30"/>
  <c r="E77" i="30"/>
  <c r="F77" i="30" s="1"/>
  <c r="O76" i="30"/>
  <c r="N76" i="30"/>
  <c r="K76" i="30"/>
  <c r="H76" i="30"/>
  <c r="I76" i="30" s="1"/>
  <c r="E76" i="30"/>
  <c r="F76" i="30" s="1"/>
  <c r="N75" i="30"/>
  <c r="K75" i="30"/>
  <c r="I75" i="30"/>
  <c r="H75" i="30"/>
  <c r="E75" i="30"/>
  <c r="N74" i="30"/>
  <c r="K74" i="30"/>
  <c r="L74" i="30" s="1"/>
  <c r="H74" i="30"/>
  <c r="E74" i="30"/>
  <c r="O73" i="30"/>
  <c r="N73" i="30"/>
  <c r="K73" i="30"/>
  <c r="H73" i="30"/>
  <c r="I73" i="30" s="1"/>
  <c r="E73" i="30"/>
  <c r="F73" i="30" s="1"/>
  <c r="N72" i="30"/>
  <c r="K72" i="30"/>
  <c r="K26" i="30" s="1"/>
  <c r="H72" i="30"/>
  <c r="I72" i="30" s="1"/>
  <c r="I26" i="30" s="1"/>
  <c r="E72" i="30"/>
  <c r="F72" i="30" s="1"/>
  <c r="F26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I60" i="30" s="1"/>
  <c r="N63" i="30"/>
  <c r="K63" i="30"/>
  <c r="H63" i="30"/>
  <c r="E63" i="30"/>
  <c r="F63" i="30" s="1"/>
  <c r="N62" i="30"/>
  <c r="K62" i="30"/>
  <c r="H62" i="30"/>
  <c r="E62" i="30"/>
  <c r="N61" i="30"/>
  <c r="K61" i="30"/>
  <c r="L61" i="30" s="1"/>
  <c r="H61" i="30"/>
  <c r="E61" i="30"/>
  <c r="N60" i="30"/>
  <c r="L60" i="30"/>
  <c r="K60" i="30"/>
  <c r="H60" i="30"/>
  <c r="E60" i="30"/>
  <c r="F60" i="30" s="1"/>
  <c r="N59" i="30"/>
  <c r="K59" i="30"/>
  <c r="H59" i="30"/>
  <c r="I59" i="30" s="1"/>
  <c r="E59" i="30"/>
  <c r="N58" i="30"/>
  <c r="K58" i="30"/>
  <c r="L58" i="30" s="1"/>
  <c r="H58" i="30"/>
  <c r="E58" i="30"/>
  <c r="N57" i="30"/>
  <c r="O57" i="30" s="1"/>
  <c r="K57" i="30"/>
  <c r="H57" i="30"/>
  <c r="E57" i="30"/>
  <c r="F57" i="30" s="1"/>
  <c r="N56" i="30"/>
  <c r="K56" i="30"/>
  <c r="I56" i="30"/>
  <c r="H56" i="30"/>
  <c r="E56" i="30"/>
  <c r="N55" i="30"/>
  <c r="K55" i="30"/>
  <c r="L55" i="30" s="1"/>
  <c r="H55" i="30"/>
  <c r="E55" i="30"/>
  <c r="N54" i="30"/>
  <c r="L54" i="30"/>
  <c r="K54" i="30"/>
  <c r="H54" i="30"/>
  <c r="E54" i="30"/>
  <c r="F54" i="30" s="1"/>
  <c r="N53" i="30"/>
  <c r="K53" i="30"/>
  <c r="H53" i="30"/>
  <c r="E53" i="30"/>
  <c r="F53" i="30" s="1"/>
  <c r="N52" i="30"/>
  <c r="K52" i="30"/>
  <c r="I52" i="30"/>
  <c r="H52" i="30"/>
  <c r="E52" i="30"/>
  <c r="N51" i="30"/>
  <c r="L51" i="30"/>
  <c r="K51" i="30"/>
  <c r="H51" i="30"/>
  <c r="E51" i="30"/>
  <c r="O50" i="30"/>
  <c r="N50" i="30"/>
  <c r="K50" i="30"/>
  <c r="H50" i="30"/>
  <c r="E50" i="30"/>
  <c r="N49" i="30"/>
  <c r="K49" i="30"/>
  <c r="H49" i="30"/>
  <c r="E49" i="30"/>
  <c r="N48" i="30"/>
  <c r="K48" i="30"/>
  <c r="H48" i="30"/>
  <c r="E48" i="30"/>
  <c r="F48" i="30" s="1"/>
  <c r="N47" i="30"/>
  <c r="K47" i="30"/>
  <c r="H47" i="30"/>
  <c r="E47" i="30"/>
  <c r="F47" i="30" s="1"/>
  <c r="F31" i="30" s="1"/>
  <c r="N46" i="30"/>
  <c r="K46" i="30"/>
  <c r="I46" i="30"/>
  <c r="I27" i="30" s="1"/>
  <c r="H46" i="30"/>
  <c r="E46" i="30"/>
  <c r="N45" i="30"/>
  <c r="K45" i="30"/>
  <c r="K25" i="30" s="1"/>
  <c r="H45" i="30"/>
  <c r="E45" i="30"/>
  <c r="N44" i="30"/>
  <c r="L44" i="30"/>
  <c r="K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M31" i="30"/>
  <c r="K31" i="30"/>
  <c r="J31" i="30"/>
  <c r="G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H24" i="30"/>
  <c r="G24" i="30"/>
  <c r="E24" i="30"/>
  <c r="D24" i="30"/>
  <c r="C24" i="30"/>
  <c r="B24" i="30"/>
  <c r="N23" i="30"/>
  <c r="M23" i="30"/>
  <c r="L23" i="30"/>
  <c r="K23" i="30"/>
  <c r="J23" i="30"/>
  <c r="H23" i="30"/>
  <c r="G23" i="30"/>
  <c r="E23" i="30"/>
  <c r="D23" i="30"/>
  <c r="C23" i="30"/>
  <c r="B23" i="30"/>
  <c r="N22" i="30"/>
  <c r="M22" i="30"/>
  <c r="J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K18" i="30"/>
  <c r="J18" i="30"/>
  <c r="H18" i="30"/>
  <c r="G18" i="30"/>
  <c r="E18" i="30"/>
  <c r="D18" i="30"/>
  <c r="C18" i="30"/>
  <c r="B18" i="30"/>
  <c r="N17" i="30"/>
  <c r="M17" i="30"/>
  <c r="K17" i="30"/>
  <c r="J17" i="30"/>
  <c r="H17" i="30"/>
  <c r="G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E169" i="29"/>
  <c r="F169" i="29" s="1"/>
  <c r="N168" i="29"/>
  <c r="O168" i="29" s="1"/>
  <c r="K168" i="29"/>
  <c r="L168" i="29" s="1"/>
  <c r="H168" i="29"/>
  <c r="I168" i="29" s="1"/>
  <c r="F168" i="29"/>
  <c r="E168" i="29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E165" i="29"/>
  <c r="F165" i="29" s="1"/>
  <c r="N164" i="29"/>
  <c r="O164" i="29" s="1"/>
  <c r="K164" i="29"/>
  <c r="L164" i="29" s="1"/>
  <c r="H164" i="29"/>
  <c r="I164" i="29" s="1"/>
  <c r="E164" i="29"/>
  <c r="F164" i="29" s="1"/>
  <c r="N163" i="29"/>
  <c r="O163" i="29" s="1"/>
  <c r="K163" i="29"/>
  <c r="L163" i="29" s="1"/>
  <c r="H163" i="29"/>
  <c r="I163" i="29" s="1"/>
  <c r="F163" i="29"/>
  <c r="E163" i="29"/>
  <c r="N162" i="29"/>
  <c r="O162" i="29" s="1"/>
  <c r="K162" i="29"/>
  <c r="L162" i="29" s="1"/>
  <c r="H162" i="29"/>
  <c r="I162" i="29" s="1"/>
  <c r="E162" i="29"/>
  <c r="F162" i="29" s="1"/>
  <c r="O161" i="29"/>
  <c r="N161" i="29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E160" i="29"/>
  <c r="F160" i="29" s="1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E158" i="29"/>
  <c r="F158" i="29" s="1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E155" i="29"/>
  <c r="F155" i="29" s="1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E153" i="29"/>
  <c r="F153" i="29" s="1"/>
  <c r="N152" i="29"/>
  <c r="K152" i="29"/>
  <c r="H152" i="29"/>
  <c r="F152" i="29"/>
  <c r="E152" i="29"/>
  <c r="M150" i="29"/>
  <c r="J150" i="29"/>
  <c r="G150" i="29"/>
  <c r="D150" i="29"/>
  <c r="B150" i="29"/>
  <c r="M149" i="29"/>
  <c r="G149" i="29"/>
  <c r="B145" i="29"/>
  <c r="L143" i="29" s="1"/>
  <c r="N144" i="29"/>
  <c r="K144" i="29"/>
  <c r="I144" i="29"/>
  <c r="H144" i="29"/>
  <c r="E144" i="29"/>
  <c r="N143" i="29"/>
  <c r="O143" i="29" s="1"/>
  <c r="K143" i="29"/>
  <c r="I143" i="29"/>
  <c r="H143" i="29"/>
  <c r="E143" i="29"/>
  <c r="N142" i="29"/>
  <c r="O142" i="29" s="1"/>
  <c r="L142" i="29"/>
  <c r="K142" i="29"/>
  <c r="H142" i="29"/>
  <c r="F142" i="29"/>
  <c r="E142" i="29"/>
  <c r="N141" i="29"/>
  <c r="L141" i="29"/>
  <c r="K141" i="29"/>
  <c r="H141" i="29"/>
  <c r="F141" i="29"/>
  <c r="E141" i="29"/>
  <c r="N140" i="29"/>
  <c r="K140" i="29"/>
  <c r="I140" i="29"/>
  <c r="H140" i="29"/>
  <c r="E140" i="29"/>
  <c r="N139" i="29"/>
  <c r="O139" i="29" s="1"/>
  <c r="K139" i="29"/>
  <c r="I139" i="29"/>
  <c r="H139" i="29"/>
  <c r="E139" i="29"/>
  <c r="N138" i="29"/>
  <c r="O138" i="29" s="1"/>
  <c r="L138" i="29"/>
  <c r="K138" i="29"/>
  <c r="H138" i="29"/>
  <c r="F138" i="29"/>
  <c r="E138" i="29"/>
  <c r="N137" i="29"/>
  <c r="L137" i="29"/>
  <c r="K137" i="29"/>
  <c r="H137" i="29"/>
  <c r="F137" i="29"/>
  <c r="E137" i="29"/>
  <c r="N136" i="29"/>
  <c r="K136" i="29"/>
  <c r="I136" i="29"/>
  <c r="H136" i="29"/>
  <c r="E136" i="29"/>
  <c r="N135" i="29"/>
  <c r="O135" i="29" s="1"/>
  <c r="K135" i="29"/>
  <c r="I135" i="29"/>
  <c r="H135" i="29"/>
  <c r="E135" i="29"/>
  <c r="N134" i="29"/>
  <c r="K134" i="29"/>
  <c r="L134" i="29" s="1"/>
  <c r="H134" i="29"/>
  <c r="E134" i="29"/>
  <c r="N133" i="29"/>
  <c r="O133" i="29" s="1"/>
  <c r="K133" i="29"/>
  <c r="L133" i="29" s="1"/>
  <c r="H133" i="29"/>
  <c r="E133" i="29"/>
  <c r="F133" i="29" s="1"/>
  <c r="N132" i="29"/>
  <c r="O132" i="29" s="1"/>
  <c r="K132" i="29"/>
  <c r="H132" i="29"/>
  <c r="I132" i="29" s="1"/>
  <c r="E132" i="29"/>
  <c r="F132" i="29" s="1"/>
  <c r="N131" i="29"/>
  <c r="K131" i="29"/>
  <c r="I131" i="29"/>
  <c r="H131" i="29"/>
  <c r="E131" i="29"/>
  <c r="N130" i="29"/>
  <c r="K130" i="29"/>
  <c r="L130" i="29" s="1"/>
  <c r="H130" i="29"/>
  <c r="I130" i="29" s="1"/>
  <c r="E130" i="29"/>
  <c r="N129" i="29"/>
  <c r="K129" i="29"/>
  <c r="L129" i="29" s="1"/>
  <c r="H129" i="29"/>
  <c r="E129" i="29"/>
  <c r="F129" i="29" s="1"/>
  <c r="N128" i="29"/>
  <c r="O128" i="29" s="1"/>
  <c r="K128" i="29"/>
  <c r="H128" i="29"/>
  <c r="E128" i="29"/>
  <c r="F128" i="29" s="1"/>
  <c r="N127" i="29"/>
  <c r="O127" i="29" s="1"/>
  <c r="K127" i="29"/>
  <c r="I127" i="29"/>
  <c r="H127" i="29"/>
  <c r="E127" i="29"/>
  <c r="N126" i="29"/>
  <c r="O126" i="29" s="1"/>
  <c r="L126" i="29"/>
  <c r="K126" i="29"/>
  <c r="H126" i="29"/>
  <c r="F126" i="29"/>
  <c r="E126" i="29"/>
  <c r="N125" i="29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O112" i="29" s="1"/>
  <c r="N117" i="29"/>
  <c r="K117" i="29"/>
  <c r="H117" i="29"/>
  <c r="I117" i="29" s="1"/>
  <c r="E117" i="29"/>
  <c r="N116" i="29"/>
  <c r="L116" i="29"/>
  <c r="K116" i="29"/>
  <c r="H116" i="29"/>
  <c r="E116" i="29"/>
  <c r="N115" i="29"/>
  <c r="O115" i="29" s="1"/>
  <c r="L115" i="29"/>
  <c r="K115" i="29"/>
  <c r="H115" i="29"/>
  <c r="E115" i="29"/>
  <c r="F115" i="29" s="1"/>
  <c r="N114" i="29"/>
  <c r="K114" i="29"/>
  <c r="H114" i="29"/>
  <c r="I114" i="29" s="1"/>
  <c r="E114" i="29"/>
  <c r="F114" i="29" s="1"/>
  <c r="N113" i="29"/>
  <c r="K113" i="29"/>
  <c r="H113" i="29"/>
  <c r="I113" i="29" s="1"/>
  <c r="E113" i="29"/>
  <c r="F113" i="29" s="1"/>
  <c r="N112" i="29"/>
  <c r="K112" i="29"/>
  <c r="L112" i="29" s="1"/>
  <c r="H112" i="29"/>
  <c r="I112" i="29" s="1"/>
  <c r="E112" i="29"/>
  <c r="N111" i="29"/>
  <c r="K111" i="29"/>
  <c r="L111" i="29" s="1"/>
  <c r="I111" i="29"/>
  <c r="H111" i="29"/>
  <c r="E111" i="29"/>
  <c r="N110" i="29"/>
  <c r="O110" i="29" s="1"/>
  <c r="L110" i="29"/>
  <c r="K110" i="29"/>
  <c r="H110" i="29"/>
  <c r="E110" i="29"/>
  <c r="F110" i="29" s="1"/>
  <c r="N109" i="29"/>
  <c r="O109" i="29" s="1"/>
  <c r="K109" i="29"/>
  <c r="H109" i="29"/>
  <c r="I109" i="29" s="1"/>
  <c r="E109" i="29"/>
  <c r="F109" i="29" s="1"/>
  <c r="N108" i="29"/>
  <c r="K108" i="29"/>
  <c r="H108" i="29"/>
  <c r="I108" i="29" s="1"/>
  <c r="E108" i="29"/>
  <c r="N107" i="29"/>
  <c r="L107" i="29"/>
  <c r="K107" i="29"/>
  <c r="H107" i="29"/>
  <c r="E107" i="29"/>
  <c r="F107" i="29" s="1"/>
  <c r="O106" i="29"/>
  <c r="N106" i="29"/>
  <c r="K106" i="29"/>
  <c r="H106" i="29"/>
  <c r="I106" i="29" s="1"/>
  <c r="E106" i="29"/>
  <c r="F106" i="29" s="1"/>
  <c r="N105" i="29"/>
  <c r="K105" i="29"/>
  <c r="L105" i="29" s="1"/>
  <c r="H105" i="29"/>
  <c r="I105" i="29" s="1"/>
  <c r="E105" i="29"/>
  <c r="N104" i="29"/>
  <c r="K104" i="29"/>
  <c r="L104" i="29" s="1"/>
  <c r="H104" i="29"/>
  <c r="I104" i="29" s="1"/>
  <c r="E104" i="29"/>
  <c r="N103" i="29"/>
  <c r="K103" i="29"/>
  <c r="L103" i="29" s="1"/>
  <c r="I103" i="29"/>
  <c r="H103" i="29"/>
  <c r="E103" i="29"/>
  <c r="N102" i="29"/>
  <c r="O102" i="29" s="1"/>
  <c r="L102" i="29"/>
  <c r="K102" i="29"/>
  <c r="H102" i="29"/>
  <c r="E102" i="29"/>
  <c r="F102" i="29" s="1"/>
  <c r="N101" i="29"/>
  <c r="O101" i="29" s="1"/>
  <c r="K101" i="29"/>
  <c r="H101" i="29"/>
  <c r="I101" i="29" s="1"/>
  <c r="E101" i="29"/>
  <c r="F101" i="29" s="1"/>
  <c r="N100" i="29"/>
  <c r="K100" i="29"/>
  <c r="H100" i="29"/>
  <c r="I100" i="29" s="1"/>
  <c r="E100" i="29"/>
  <c r="N99" i="29"/>
  <c r="L99" i="29"/>
  <c r="K99" i="29"/>
  <c r="H99" i="29"/>
  <c r="E99" i="29"/>
  <c r="F99" i="29" s="1"/>
  <c r="N98" i="29"/>
  <c r="K98" i="29"/>
  <c r="H98" i="29"/>
  <c r="E98" i="29"/>
  <c r="M96" i="29"/>
  <c r="J96" i="29"/>
  <c r="G96" i="29"/>
  <c r="D96" i="29"/>
  <c r="B96" i="29"/>
  <c r="M95" i="29"/>
  <c r="G95" i="29"/>
  <c r="B91" i="29"/>
  <c r="O88" i="29" s="1"/>
  <c r="N90" i="29"/>
  <c r="K90" i="29"/>
  <c r="H90" i="29"/>
  <c r="E90" i="29"/>
  <c r="F90" i="29" s="1"/>
  <c r="N89" i="29"/>
  <c r="K89" i="29"/>
  <c r="H89" i="29"/>
  <c r="I89" i="29" s="1"/>
  <c r="E89" i="29"/>
  <c r="N88" i="29"/>
  <c r="K88" i="29"/>
  <c r="L88" i="29" s="1"/>
  <c r="H88" i="29"/>
  <c r="E88" i="29"/>
  <c r="N87" i="29"/>
  <c r="O87" i="29" s="1"/>
  <c r="K87" i="29"/>
  <c r="H87" i="29"/>
  <c r="E87" i="29"/>
  <c r="F87" i="29" s="1"/>
  <c r="N86" i="29"/>
  <c r="K86" i="29"/>
  <c r="H86" i="29"/>
  <c r="E86" i="29"/>
  <c r="N85" i="29"/>
  <c r="N19" i="29" s="1"/>
  <c r="L85" i="29"/>
  <c r="K85" i="29"/>
  <c r="H85" i="29"/>
  <c r="E85" i="29"/>
  <c r="O84" i="29"/>
  <c r="N84" i="29"/>
  <c r="K84" i="29"/>
  <c r="I84" i="29"/>
  <c r="H84" i="29"/>
  <c r="E84" i="29"/>
  <c r="N83" i="29"/>
  <c r="K83" i="29"/>
  <c r="H83" i="29"/>
  <c r="E83" i="29"/>
  <c r="O82" i="29"/>
  <c r="N82" i="29"/>
  <c r="K82" i="29"/>
  <c r="K21" i="29" s="1"/>
  <c r="H82" i="29"/>
  <c r="E82" i="29"/>
  <c r="F82" i="29" s="1"/>
  <c r="N81" i="29"/>
  <c r="K81" i="29"/>
  <c r="H81" i="29"/>
  <c r="E81" i="29"/>
  <c r="F81" i="29" s="1"/>
  <c r="N80" i="29"/>
  <c r="N20" i="29" s="1"/>
  <c r="K80" i="29"/>
  <c r="H80" i="29"/>
  <c r="E80" i="29"/>
  <c r="N79" i="29"/>
  <c r="L79" i="29"/>
  <c r="K79" i="29"/>
  <c r="H79" i="29"/>
  <c r="E79" i="29"/>
  <c r="N78" i="29"/>
  <c r="O78" i="29" s="1"/>
  <c r="K78" i="29"/>
  <c r="H78" i="29"/>
  <c r="E78" i="29"/>
  <c r="F78" i="29" s="1"/>
  <c r="N77" i="29"/>
  <c r="K77" i="29"/>
  <c r="H77" i="29"/>
  <c r="E77" i="29"/>
  <c r="N76" i="29"/>
  <c r="L76" i="29"/>
  <c r="K76" i="29"/>
  <c r="H76" i="29"/>
  <c r="E76" i="29"/>
  <c r="F76" i="29" s="1"/>
  <c r="N75" i="29"/>
  <c r="K75" i="29"/>
  <c r="H75" i="29"/>
  <c r="E75" i="29"/>
  <c r="F75" i="29" s="1"/>
  <c r="N74" i="29"/>
  <c r="K74" i="29"/>
  <c r="H74" i="29"/>
  <c r="E74" i="29"/>
  <c r="F74" i="29" s="1"/>
  <c r="N73" i="29"/>
  <c r="K73" i="29"/>
  <c r="H73" i="29"/>
  <c r="I73" i="29" s="1"/>
  <c r="E73" i="29"/>
  <c r="N72" i="29"/>
  <c r="K72" i="29"/>
  <c r="L72" i="29" s="1"/>
  <c r="L17" i="29" s="1"/>
  <c r="H72" i="29"/>
  <c r="E72" i="29"/>
  <c r="N71" i="29"/>
  <c r="N91" i="29" s="1"/>
  <c r="K71" i="29"/>
  <c r="H71" i="29"/>
  <c r="E71" i="29"/>
  <c r="M69" i="29"/>
  <c r="J69" i="29"/>
  <c r="G69" i="29"/>
  <c r="D69" i="29"/>
  <c r="B69" i="29"/>
  <c r="M68" i="29"/>
  <c r="G68" i="29"/>
  <c r="B64" i="29"/>
  <c r="L61" i="29" s="1"/>
  <c r="N63" i="29"/>
  <c r="K63" i="29"/>
  <c r="H63" i="29"/>
  <c r="E63" i="29"/>
  <c r="N62" i="29"/>
  <c r="L62" i="29"/>
  <c r="K62" i="29"/>
  <c r="H62" i="29"/>
  <c r="E62" i="29"/>
  <c r="O61" i="29"/>
  <c r="N61" i="29"/>
  <c r="K61" i="29"/>
  <c r="I61" i="29"/>
  <c r="H61" i="29"/>
  <c r="E61" i="29"/>
  <c r="N60" i="29"/>
  <c r="K60" i="29"/>
  <c r="H60" i="29"/>
  <c r="E60" i="29"/>
  <c r="O59" i="29"/>
  <c r="N59" i="29"/>
  <c r="K59" i="29"/>
  <c r="H59" i="29"/>
  <c r="E59" i="29"/>
  <c r="F59" i="29" s="1"/>
  <c r="N58" i="29"/>
  <c r="K58" i="29"/>
  <c r="H58" i="29"/>
  <c r="E58" i="29"/>
  <c r="F58" i="29" s="1"/>
  <c r="N57" i="29"/>
  <c r="K57" i="29"/>
  <c r="H57" i="29"/>
  <c r="E57" i="29"/>
  <c r="N56" i="29"/>
  <c r="L56" i="29"/>
  <c r="K56" i="29"/>
  <c r="H56" i="29"/>
  <c r="E56" i="29"/>
  <c r="N55" i="29"/>
  <c r="O55" i="29" s="1"/>
  <c r="K55" i="29"/>
  <c r="H55" i="29"/>
  <c r="E55" i="29"/>
  <c r="F55" i="29" s="1"/>
  <c r="N54" i="29"/>
  <c r="K54" i="29"/>
  <c r="H54" i="29"/>
  <c r="E54" i="29"/>
  <c r="N53" i="29"/>
  <c r="L53" i="29"/>
  <c r="K53" i="29"/>
  <c r="H53" i="29"/>
  <c r="E53" i="29"/>
  <c r="F53" i="29" s="1"/>
  <c r="N52" i="29"/>
  <c r="K52" i="29"/>
  <c r="H52" i="29"/>
  <c r="E52" i="29"/>
  <c r="F52" i="29" s="1"/>
  <c r="N51" i="29"/>
  <c r="K51" i="29"/>
  <c r="H51" i="29"/>
  <c r="E51" i="29"/>
  <c r="F51" i="29" s="1"/>
  <c r="N50" i="29"/>
  <c r="K50" i="29"/>
  <c r="H50" i="29"/>
  <c r="I50" i="29" s="1"/>
  <c r="E50" i="29"/>
  <c r="N49" i="29"/>
  <c r="K49" i="29"/>
  <c r="L49" i="29" s="1"/>
  <c r="H49" i="29"/>
  <c r="E49" i="29"/>
  <c r="N48" i="29"/>
  <c r="O48" i="29" s="1"/>
  <c r="K48" i="29"/>
  <c r="H48" i="29"/>
  <c r="E48" i="29"/>
  <c r="F48" i="29" s="1"/>
  <c r="N47" i="29"/>
  <c r="K47" i="29"/>
  <c r="H47" i="29"/>
  <c r="E47" i="29"/>
  <c r="N46" i="29"/>
  <c r="L46" i="29"/>
  <c r="K46" i="29"/>
  <c r="H46" i="29"/>
  <c r="E46" i="29"/>
  <c r="O45" i="29"/>
  <c r="N45" i="29"/>
  <c r="K45" i="29"/>
  <c r="I45" i="29"/>
  <c r="H45" i="29"/>
  <c r="E45" i="29"/>
  <c r="N44" i="29"/>
  <c r="K44" i="29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H20" i="29"/>
  <c r="G20" i="29"/>
  <c r="E20" i="29"/>
  <c r="D20" i="29"/>
  <c r="C20" i="29"/>
  <c r="B20" i="29"/>
  <c r="M19" i="29"/>
  <c r="L19" i="29"/>
  <c r="K19" i="29"/>
  <c r="J19" i="29"/>
  <c r="H19" i="29"/>
  <c r="G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N17" i="29"/>
  <c r="M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O197" i="28" s="1"/>
  <c r="N198" i="28"/>
  <c r="K198" i="28"/>
  <c r="H198" i="28"/>
  <c r="E198" i="28"/>
  <c r="N197" i="28"/>
  <c r="K197" i="28"/>
  <c r="H197" i="28"/>
  <c r="E197" i="28"/>
  <c r="N196" i="28"/>
  <c r="K196" i="28"/>
  <c r="L196" i="28" s="1"/>
  <c r="H196" i="28"/>
  <c r="E196" i="28"/>
  <c r="N195" i="28"/>
  <c r="K195" i="28"/>
  <c r="H195" i="28"/>
  <c r="E195" i="28"/>
  <c r="N194" i="28"/>
  <c r="K194" i="28"/>
  <c r="H194" i="28"/>
  <c r="E194" i="28"/>
  <c r="N193" i="28"/>
  <c r="K193" i="28"/>
  <c r="H193" i="28"/>
  <c r="E193" i="28"/>
  <c r="N192" i="28"/>
  <c r="K192" i="28"/>
  <c r="H192" i="28"/>
  <c r="E192" i="28"/>
  <c r="N191" i="28"/>
  <c r="O191" i="28" s="1"/>
  <c r="K191" i="28"/>
  <c r="H191" i="28"/>
  <c r="E191" i="28"/>
  <c r="N190" i="28"/>
  <c r="O190" i="28" s="1"/>
  <c r="K190" i="28"/>
  <c r="H190" i="28"/>
  <c r="E190" i="28"/>
  <c r="N189" i="28"/>
  <c r="K189" i="28"/>
  <c r="H189" i="28"/>
  <c r="E189" i="28"/>
  <c r="N188" i="28"/>
  <c r="K188" i="28"/>
  <c r="H188" i="28"/>
  <c r="E188" i="28"/>
  <c r="N187" i="28"/>
  <c r="K187" i="28"/>
  <c r="H187" i="28"/>
  <c r="E187" i="28"/>
  <c r="N186" i="28"/>
  <c r="K186" i="28"/>
  <c r="H186" i="28"/>
  <c r="F186" i="28"/>
  <c r="E186" i="28"/>
  <c r="N185" i="28"/>
  <c r="K185" i="28"/>
  <c r="H185" i="28"/>
  <c r="I185" i="28" s="1"/>
  <c r="E185" i="28"/>
  <c r="N184" i="28"/>
  <c r="K184" i="28"/>
  <c r="L184" i="28" s="1"/>
  <c r="H184" i="28"/>
  <c r="E184" i="28"/>
  <c r="N183" i="28"/>
  <c r="K183" i="28"/>
  <c r="L183" i="28" s="1"/>
  <c r="H183" i="28"/>
  <c r="E183" i="28"/>
  <c r="N182" i="28"/>
  <c r="K182" i="28"/>
  <c r="H182" i="28"/>
  <c r="E182" i="28"/>
  <c r="N181" i="28"/>
  <c r="K181" i="28"/>
  <c r="H181" i="28"/>
  <c r="E181" i="28"/>
  <c r="N180" i="28"/>
  <c r="O180" i="28" s="1"/>
  <c r="K180" i="28"/>
  <c r="H180" i="28"/>
  <c r="E180" i="28"/>
  <c r="N179" i="28"/>
  <c r="K179" i="28"/>
  <c r="H179" i="28"/>
  <c r="E179" i="28"/>
  <c r="M177" i="28"/>
  <c r="J177" i="28"/>
  <c r="G177" i="28"/>
  <c r="D177" i="28"/>
  <c r="B177" i="28"/>
  <c r="M176" i="28"/>
  <c r="G176" i="28"/>
  <c r="B172" i="28"/>
  <c r="O171" i="28" s="1"/>
  <c r="N171" i="28"/>
  <c r="K171" i="28"/>
  <c r="H171" i="28"/>
  <c r="I171" i="28" s="1"/>
  <c r="E171" i="28"/>
  <c r="N170" i="28"/>
  <c r="K170" i="28"/>
  <c r="L170" i="28" s="1"/>
  <c r="H170" i="28"/>
  <c r="E170" i="28"/>
  <c r="N169" i="28"/>
  <c r="K169" i="28"/>
  <c r="L169" i="28" s="1"/>
  <c r="H169" i="28"/>
  <c r="E169" i="28"/>
  <c r="N168" i="28"/>
  <c r="O168" i="28" s="1"/>
  <c r="K168" i="28"/>
  <c r="H168" i="28"/>
  <c r="E168" i="28"/>
  <c r="N167" i="28"/>
  <c r="K167" i="28"/>
  <c r="H167" i="28"/>
  <c r="I167" i="28" s="1"/>
  <c r="E167" i="28"/>
  <c r="N166" i="28"/>
  <c r="K166" i="28"/>
  <c r="H166" i="28"/>
  <c r="E166" i="28"/>
  <c r="N165" i="28"/>
  <c r="K165" i="28"/>
  <c r="H165" i="28"/>
  <c r="E165" i="28"/>
  <c r="N164" i="28"/>
  <c r="K164" i="28"/>
  <c r="H164" i="28"/>
  <c r="I164" i="28" s="1"/>
  <c r="E164" i="28"/>
  <c r="N163" i="28"/>
  <c r="K163" i="28"/>
  <c r="H163" i="28"/>
  <c r="F163" i="28"/>
  <c r="E163" i="28"/>
  <c r="N162" i="28"/>
  <c r="K162" i="28"/>
  <c r="H162" i="28"/>
  <c r="I162" i="28" s="1"/>
  <c r="E162" i="28"/>
  <c r="N161" i="28"/>
  <c r="K161" i="28"/>
  <c r="H161" i="28"/>
  <c r="E161" i="28"/>
  <c r="N160" i="28"/>
  <c r="K160" i="28"/>
  <c r="H160" i="28"/>
  <c r="F160" i="28"/>
  <c r="E160" i="28"/>
  <c r="N159" i="28"/>
  <c r="L159" i="28"/>
  <c r="K159" i="28"/>
  <c r="H159" i="28"/>
  <c r="E159" i="28"/>
  <c r="N158" i="28"/>
  <c r="K158" i="28"/>
  <c r="H158" i="28"/>
  <c r="I158" i="28" s="1"/>
  <c r="E158" i="28"/>
  <c r="N157" i="28"/>
  <c r="K157" i="28"/>
  <c r="H157" i="28"/>
  <c r="E157" i="28"/>
  <c r="N156" i="28"/>
  <c r="K156" i="28"/>
  <c r="H156" i="28"/>
  <c r="I156" i="28" s="1"/>
  <c r="E156" i="28"/>
  <c r="N155" i="28"/>
  <c r="K155" i="28"/>
  <c r="H155" i="28"/>
  <c r="F155" i="28"/>
  <c r="E155" i="28"/>
  <c r="N154" i="28"/>
  <c r="K154" i="28"/>
  <c r="L154" i="28" s="1"/>
  <c r="H154" i="28"/>
  <c r="E154" i="28"/>
  <c r="N153" i="28"/>
  <c r="O153" i="28" s="1"/>
  <c r="K153" i="28"/>
  <c r="H153" i="28"/>
  <c r="E153" i="28"/>
  <c r="O152" i="28"/>
  <c r="N152" i="28"/>
  <c r="K152" i="28"/>
  <c r="H152" i="28"/>
  <c r="H172" i="28" s="1"/>
  <c r="F152" i="28"/>
  <c r="E152" i="28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E144" i="28"/>
  <c r="F144" i="28" s="1"/>
  <c r="O143" i="28"/>
  <c r="N143" i="28"/>
  <c r="K143" i="28"/>
  <c r="L143" i="28" s="1"/>
  <c r="H143" i="28"/>
  <c r="I143" i="28" s="1"/>
  <c r="F143" i="28"/>
  <c r="E143" i="28"/>
  <c r="N142" i="28"/>
  <c r="O142" i="28" s="1"/>
  <c r="K142" i="28"/>
  <c r="L142" i="28" s="1"/>
  <c r="H142" i="28"/>
  <c r="I142" i="28" s="1"/>
  <c r="E142" i="28"/>
  <c r="F142" i="28" s="1"/>
  <c r="O141" i="28"/>
  <c r="N141" i="28"/>
  <c r="K141" i="28"/>
  <c r="L141" i="28" s="1"/>
  <c r="H141" i="28"/>
  <c r="I141" i="28" s="1"/>
  <c r="E141" i="28"/>
  <c r="F141" i="28" s="1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E139" i="28"/>
  <c r="F139" i="28" s="1"/>
  <c r="O138" i="28"/>
  <c r="N138" i="28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E137" i="28"/>
  <c r="F137" i="28" s="1"/>
  <c r="O136" i="28"/>
  <c r="N136" i="28"/>
  <c r="K136" i="28"/>
  <c r="L136" i="28" s="1"/>
  <c r="H136" i="28"/>
  <c r="I136" i="28" s="1"/>
  <c r="F136" i="28"/>
  <c r="E136" i="28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E130" i="28"/>
  <c r="F130" i="28" s="1"/>
  <c r="N129" i="28"/>
  <c r="O129" i="28" s="1"/>
  <c r="K129" i="28"/>
  <c r="L129" i="28" s="1"/>
  <c r="H129" i="28"/>
  <c r="I129" i="28" s="1"/>
  <c r="E129" i="28"/>
  <c r="F129" i="28" s="1"/>
  <c r="N128" i="28"/>
  <c r="O128" i="28" s="1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E127" i="28"/>
  <c r="F127" i="28" s="1"/>
  <c r="O126" i="28"/>
  <c r="N126" i="28"/>
  <c r="K126" i="28"/>
  <c r="L126" i="28" s="1"/>
  <c r="H126" i="28"/>
  <c r="I126" i="28" s="1"/>
  <c r="F126" i="28"/>
  <c r="E126" i="28"/>
  <c r="N125" i="28"/>
  <c r="O125" i="28" s="1"/>
  <c r="K125" i="28"/>
  <c r="H125" i="28"/>
  <c r="E125" i="28"/>
  <c r="E145" i="28" s="1"/>
  <c r="M123" i="28"/>
  <c r="J123" i="28"/>
  <c r="G123" i="28"/>
  <c r="D123" i="28"/>
  <c r="B123" i="28"/>
  <c r="M122" i="28"/>
  <c r="G122" i="28"/>
  <c r="B118" i="28"/>
  <c r="F115" i="28" s="1"/>
  <c r="N117" i="28"/>
  <c r="O117" i="28" s="1"/>
  <c r="K117" i="28"/>
  <c r="H117" i="28"/>
  <c r="I117" i="28" s="1"/>
  <c r="F117" i="28"/>
  <c r="E117" i="28"/>
  <c r="N116" i="28"/>
  <c r="K116" i="28"/>
  <c r="L116" i="28" s="1"/>
  <c r="H116" i="28"/>
  <c r="I116" i="28" s="1"/>
  <c r="E116" i="28"/>
  <c r="N115" i="28"/>
  <c r="O115" i="28" s="1"/>
  <c r="K115" i="28"/>
  <c r="L115" i="28" s="1"/>
  <c r="H115" i="28"/>
  <c r="E115" i="28"/>
  <c r="N114" i="28"/>
  <c r="O114" i="28" s="1"/>
  <c r="K114" i="28"/>
  <c r="H114" i="28"/>
  <c r="I114" i="28" s="1"/>
  <c r="F114" i="28"/>
  <c r="E114" i="28"/>
  <c r="N113" i="28"/>
  <c r="L113" i="28"/>
  <c r="K113" i="28"/>
  <c r="H113" i="28"/>
  <c r="E113" i="28"/>
  <c r="F113" i="28" s="1"/>
  <c r="N112" i="28"/>
  <c r="K112" i="28"/>
  <c r="H112" i="28"/>
  <c r="I112" i="28" s="1"/>
  <c r="F112" i="28"/>
  <c r="E112" i="28"/>
  <c r="N111" i="28"/>
  <c r="K111" i="28"/>
  <c r="L111" i="28" s="1"/>
  <c r="H111" i="28"/>
  <c r="I111" i="28" s="1"/>
  <c r="E111" i="28"/>
  <c r="N110" i="28"/>
  <c r="O110" i="28" s="1"/>
  <c r="K110" i="28"/>
  <c r="L110" i="28" s="1"/>
  <c r="H110" i="28"/>
  <c r="E110" i="28"/>
  <c r="N109" i="28"/>
  <c r="O109" i="28" s="1"/>
  <c r="K109" i="28"/>
  <c r="H109" i="28"/>
  <c r="I109" i="28" s="1"/>
  <c r="F109" i="28"/>
  <c r="E109" i="28"/>
  <c r="N108" i="28"/>
  <c r="O108" i="28" s="1"/>
  <c r="K108" i="28"/>
  <c r="L108" i="28" s="1"/>
  <c r="H108" i="28"/>
  <c r="E108" i="28"/>
  <c r="F108" i="28" s="1"/>
  <c r="N107" i="28"/>
  <c r="O107" i="28" s="1"/>
  <c r="K107" i="28"/>
  <c r="H107" i="28"/>
  <c r="I107" i="28" s="1"/>
  <c r="E107" i="28"/>
  <c r="F107" i="28" s="1"/>
  <c r="N106" i="28"/>
  <c r="K106" i="28"/>
  <c r="L106" i="28" s="1"/>
  <c r="H106" i="28"/>
  <c r="E106" i="28"/>
  <c r="F106" i="28" s="1"/>
  <c r="N105" i="28"/>
  <c r="O105" i="28" s="1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E104" i="28"/>
  <c r="N103" i="28"/>
  <c r="O103" i="28" s="1"/>
  <c r="K103" i="28"/>
  <c r="H103" i="28"/>
  <c r="I103" i="28" s="1"/>
  <c r="E103" i="28"/>
  <c r="F103" i="28" s="1"/>
  <c r="N102" i="28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E101" i="28"/>
  <c r="F101" i="28" s="1"/>
  <c r="N100" i="28"/>
  <c r="K100" i="28"/>
  <c r="L100" i="28" s="1"/>
  <c r="H100" i="28"/>
  <c r="I100" i="28" s="1"/>
  <c r="F100" i="28"/>
  <c r="E100" i="28"/>
  <c r="N99" i="28"/>
  <c r="O99" i="28" s="1"/>
  <c r="K99" i="28"/>
  <c r="L99" i="28" s="1"/>
  <c r="H99" i="28"/>
  <c r="E99" i="28"/>
  <c r="F99" i="28" s="1"/>
  <c r="N98" i="28"/>
  <c r="N118" i="28" s="1"/>
  <c r="K98" i="28"/>
  <c r="H98" i="28"/>
  <c r="E98" i="28"/>
  <c r="E118" i="28" s="1"/>
  <c r="M96" i="28"/>
  <c r="J96" i="28"/>
  <c r="G96" i="28"/>
  <c r="D96" i="28"/>
  <c r="B96" i="28"/>
  <c r="M95" i="28"/>
  <c r="G95" i="28"/>
  <c r="B91" i="28"/>
  <c r="L90" i="28" s="1"/>
  <c r="N90" i="28"/>
  <c r="K90" i="28"/>
  <c r="H90" i="28"/>
  <c r="I90" i="28" s="1"/>
  <c r="E90" i="28"/>
  <c r="N89" i="28"/>
  <c r="K89" i="28"/>
  <c r="H89" i="28"/>
  <c r="E89" i="28"/>
  <c r="N88" i="28"/>
  <c r="K88" i="28"/>
  <c r="H88" i="28"/>
  <c r="I88" i="28" s="1"/>
  <c r="E88" i="28"/>
  <c r="N87" i="28"/>
  <c r="K87" i="28"/>
  <c r="H87" i="28"/>
  <c r="F87" i="28"/>
  <c r="E87" i="28"/>
  <c r="N86" i="28"/>
  <c r="K86" i="28"/>
  <c r="H86" i="28"/>
  <c r="E86" i="28"/>
  <c r="N85" i="28"/>
  <c r="O85" i="28" s="1"/>
  <c r="O19" i="28" s="1"/>
  <c r="K85" i="28"/>
  <c r="H85" i="28"/>
  <c r="E85" i="28"/>
  <c r="N84" i="28"/>
  <c r="K84" i="28"/>
  <c r="H84" i="28"/>
  <c r="E84" i="28"/>
  <c r="N83" i="28"/>
  <c r="O83" i="28" s="1"/>
  <c r="K83" i="28"/>
  <c r="H83" i="28"/>
  <c r="E83" i="28"/>
  <c r="N82" i="28"/>
  <c r="K82" i="28"/>
  <c r="H82" i="28"/>
  <c r="E82" i="28"/>
  <c r="O81" i="28"/>
  <c r="N81" i="28"/>
  <c r="K81" i="28"/>
  <c r="H81" i="28"/>
  <c r="I81" i="28" s="1"/>
  <c r="F81" i="28"/>
  <c r="E81" i="28"/>
  <c r="N80" i="28"/>
  <c r="L80" i="28"/>
  <c r="K80" i="28"/>
  <c r="H80" i="28"/>
  <c r="E80" i="28"/>
  <c r="F80" i="28" s="1"/>
  <c r="N79" i="28"/>
  <c r="K79" i="28"/>
  <c r="L79" i="28" s="1"/>
  <c r="L20" i="28" s="1"/>
  <c r="H79" i="28"/>
  <c r="I79" i="28" s="1"/>
  <c r="I20" i="28" s="1"/>
  <c r="E79" i="28"/>
  <c r="N78" i="28"/>
  <c r="O78" i="28" s="1"/>
  <c r="L78" i="28"/>
  <c r="K78" i="28"/>
  <c r="H78" i="28"/>
  <c r="E78" i="28"/>
  <c r="F78" i="28" s="1"/>
  <c r="N77" i="28"/>
  <c r="K77" i="28"/>
  <c r="L77" i="28" s="1"/>
  <c r="H77" i="28"/>
  <c r="I77" i="28" s="1"/>
  <c r="E77" i="28"/>
  <c r="N76" i="28"/>
  <c r="O76" i="28" s="1"/>
  <c r="O21" i="28" s="1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E75" i="28"/>
  <c r="N74" i="28"/>
  <c r="O74" i="28" s="1"/>
  <c r="K74" i="28"/>
  <c r="H74" i="28"/>
  <c r="I74" i="28" s="1"/>
  <c r="F74" i="28"/>
  <c r="E74" i="28"/>
  <c r="N73" i="28"/>
  <c r="O73" i="28" s="1"/>
  <c r="K73" i="28"/>
  <c r="L73" i="28" s="1"/>
  <c r="H73" i="28"/>
  <c r="E73" i="28"/>
  <c r="F73" i="28" s="1"/>
  <c r="O72" i="28"/>
  <c r="N72" i="28"/>
  <c r="K72" i="28"/>
  <c r="L72" i="28" s="1"/>
  <c r="H72" i="28"/>
  <c r="I72" i="28" s="1"/>
  <c r="E72" i="28"/>
  <c r="N71" i="28"/>
  <c r="O7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3" i="28" s="1"/>
  <c r="N63" i="28"/>
  <c r="K63" i="28"/>
  <c r="H63" i="28"/>
  <c r="I63" i="28" s="1"/>
  <c r="E63" i="28"/>
  <c r="N62" i="28"/>
  <c r="K62" i="28"/>
  <c r="H62" i="28"/>
  <c r="E62" i="28"/>
  <c r="N61" i="28"/>
  <c r="K61" i="28"/>
  <c r="L61" i="28" s="1"/>
  <c r="H61" i="28"/>
  <c r="I61" i="28" s="1"/>
  <c r="E61" i="28"/>
  <c r="N60" i="28"/>
  <c r="O60" i="28" s="1"/>
  <c r="K60" i="28"/>
  <c r="H60" i="28"/>
  <c r="E60" i="28"/>
  <c r="F60" i="28" s="1"/>
  <c r="N59" i="28"/>
  <c r="K59" i="28"/>
  <c r="L59" i="28" s="1"/>
  <c r="H59" i="28"/>
  <c r="E59" i="28"/>
  <c r="N58" i="28"/>
  <c r="O58" i="28" s="1"/>
  <c r="K58" i="28"/>
  <c r="H58" i="28"/>
  <c r="E58" i="28"/>
  <c r="F58" i="28" s="1"/>
  <c r="N57" i="28"/>
  <c r="K57" i="28"/>
  <c r="L57" i="28" s="1"/>
  <c r="H57" i="28"/>
  <c r="E57" i="28"/>
  <c r="O56" i="28"/>
  <c r="N56" i="28"/>
  <c r="K56" i="28"/>
  <c r="H56" i="28"/>
  <c r="I56" i="28" s="1"/>
  <c r="E56" i="28"/>
  <c r="N55" i="28"/>
  <c r="O55" i="28" s="1"/>
  <c r="L55" i="28"/>
  <c r="K55" i="28"/>
  <c r="H55" i="28"/>
  <c r="E55" i="28"/>
  <c r="F55" i="28" s="1"/>
  <c r="N54" i="28"/>
  <c r="K54" i="28"/>
  <c r="L54" i="28" s="1"/>
  <c r="H54" i="28"/>
  <c r="I54" i="28" s="1"/>
  <c r="E54" i="28"/>
  <c r="N53" i="28"/>
  <c r="O53" i="28" s="1"/>
  <c r="O17" i="28" s="1"/>
  <c r="K53" i="28"/>
  <c r="H53" i="28"/>
  <c r="E53" i="28"/>
  <c r="F53" i="28" s="1"/>
  <c r="F17" i="28" s="1"/>
  <c r="N52" i="28"/>
  <c r="K52" i="28"/>
  <c r="L52" i="28" s="1"/>
  <c r="H52" i="28"/>
  <c r="E52" i="28"/>
  <c r="N51" i="28"/>
  <c r="O51" i="28" s="1"/>
  <c r="K51" i="28"/>
  <c r="H51" i="28"/>
  <c r="I51" i="28" s="1"/>
  <c r="F51" i="28"/>
  <c r="E51" i="28"/>
  <c r="N50" i="28"/>
  <c r="K50" i="28"/>
  <c r="L50" i="28" s="1"/>
  <c r="H50" i="28"/>
  <c r="E50" i="28"/>
  <c r="O49" i="28"/>
  <c r="N49" i="28"/>
  <c r="K49" i="28"/>
  <c r="H49" i="28"/>
  <c r="I49" i="28" s="1"/>
  <c r="F49" i="28"/>
  <c r="E49" i="28"/>
  <c r="N48" i="28"/>
  <c r="L48" i="28"/>
  <c r="K48" i="28"/>
  <c r="H48" i="28"/>
  <c r="E48" i="28"/>
  <c r="F48" i="28" s="1"/>
  <c r="N47" i="28"/>
  <c r="K47" i="28"/>
  <c r="H47" i="28"/>
  <c r="I47" i="28" s="1"/>
  <c r="E47" i="28"/>
  <c r="N46" i="28"/>
  <c r="O46" i="28" s="1"/>
  <c r="K46" i="28"/>
  <c r="L46" i="28" s="1"/>
  <c r="H46" i="28"/>
  <c r="E46" i="28"/>
  <c r="O45" i="28"/>
  <c r="N45" i="28"/>
  <c r="K45" i="28"/>
  <c r="H45" i="28"/>
  <c r="I45" i="28" s="1"/>
  <c r="I18" i="28" s="1"/>
  <c r="F45" i="28"/>
  <c r="F18" i="28" s="1"/>
  <c r="E45" i="28"/>
  <c r="N44" i="28"/>
  <c r="K44" i="28"/>
  <c r="L44" i="28" s="1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K198" i="27"/>
  <c r="L198" i="27" s="1"/>
  <c r="H198" i="27"/>
  <c r="I198" i="27" s="1"/>
  <c r="E198" i="27"/>
  <c r="F198" i="27" s="1"/>
  <c r="O197" i="27"/>
  <c r="N197" i="27"/>
  <c r="K197" i="27"/>
  <c r="L197" i="27" s="1"/>
  <c r="H197" i="27"/>
  <c r="I197" i="27" s="1"/>
  <c r="F197" i="27"/>
  <c r="E197" i="27"/>
  <c r="N196" i="27"/>
  <c r="O196" i="27" s="1"/>
  <c r="L196" i="27"/>
  <c r="K196" i="27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K194" i="27"/>
  <c r="L194" i="27" s="1"/>
  <c r="H194" i="27"/>
  <c r="I194" i="27" s="1"/>
  <c r="E194" i="27"/>
  <c r="F194" i="27" s="1"/>
  <c r="N193" i="27"/>
  <c r="O193" i="27" s="1"/>
  <c r="K193" i="27"/>
  <c r="L193" i="27" s="1"/>
  <c r="H193" i="27"/>
  <c r="I193" i="27" s="1"/>
  <c r="E193" i="27"/>
  <c r="F193" i="27" s="1"/>
  <c r="N192" i="27"/>
  <c r="O192" i="27" s="1"/>
  <c r="K192" i="27"/>
  <c r="L192" i="27" s="1"/>
  <c r="H192" i="27"/>
  <c r="I192" i="27" s="1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E188" i="27"/>
  <c r="F188" i="27" s="1"/>
  <c r="N187" i="27"/>
  <c r="O187" i="27" s="1"/>
  <c r="K187" i="27"/>
  <c r="L187" i="27" s="1"/>
  <c r="H187" i="27"/>
  <c r="I187" i="27" s="1"/>
  <c r="E187" i="27"/>
  <c r="F187" i="27" s="1"/>
  <c r="N186" i="27"/>
  <c r="O186" i="27" s="1"/>
  <c r="K186" i="27"/>
  <c r="L186" i="27" s="1"/>
  <c r="H186" i="27"/>
  <c r="I186" i="27" s="1"/>
  <c r="F186" i="27"/>
  <c r="E186" i="27"/>
  <c r="N185" i="27"/>
  <c r="O185" i="27" s="1"/>
  <c r="K185" i="27"/>
  <c r="L185" i="27" s="1"/>
  <c r="H185" i="27"/>
  <c r="I185" i="27" s="1"/>
  <c r="E185" i="27"/>
  <c r="F185" i="27" s="1"/>
  <c r="O184" i="27"/>
  <c r="N184" i="27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E183" i="27"/>
  <c r="F183" i="27" s="1"/>
  <c r="N182" i="27"/>
  <c r="O182" i="27" s="1"/>
  <c r="K182" i="27"/>
  <c r="L182" i="27" s="1"/>
  <c r="H182" i="27"/>
  <c r="I182" i="27" s="1"/>
  <c r="F182" i="27"/>
  <c r="E182" i="27"/>
  <c r="N181" i="27"/>
  <c r="O181" i="27" s="1"/>
  <c r="K181" i="27"/>
  <c r="L181" i="27" s="1"/>
  <c r="H181" i="27"/>
  <c r="I181" i="27" s="1"/>
  <c r="E181" i="27"/>
  <c r="F181" i="27" s="1"/>
  <c r="N180" i="27"/>
  <c r="O180" i="27" s="1"/>
  <c r="K180" i="27"/>
  <c r="L180" i="27" s="1"/>
  <c r="H180" i="27"/>
  <c r="I180" i="27" s="1"/>
  <c r="E180" i="27"/>
  <c r="F180" i="27" s="1"/>
  <c r="N179" i="27"/>
  <c r="K179" i="27"/>
  <c r="K199" i="27" s="1"/>
  <c r="H179" i="27"/>
  <c r="I179" i="27" s="1"/>
  <c r="E179" i="27"/>
  <c r="E199" i="27" s="1"/>
  <c r="M177" i="27"/>
  <c r="J177" i="27"/>
  <c r="G177" i="27"/>
  <c r="D177" i="27"/>
  <c r="B177" i="27"/>
  <c r="M176" i="27"/>
  <c r="G176" i="27"/>
  <c r="B172" i="27"/>
  <c r="F168" i="27" s="1"/>
  <c r="N171" i="27"/>
  <c r="K171" i="27"/>
  <c r="H171" i="27"/>
  <c r="F171" i="27"/>
  <c r="E171" i="27"/>
  <c r="N170" i="27"/>
  <c r="K170" i="27"/>
  <c r="H170" i="27"/>
  <c r="I170" i="27" s="1"/>
  <c r="I21" i="27" s="1"/>
  <c r="E170" i="27"/>
  <c r="N169" i="27"/>
  <c r="L169" i="27"/>
  <c r="K169" i="27"/>
  <c r="H169" i="27"/>
  <c r="E169" i="27"/>
  <c r="N168" i="27"/>
  <c r="K168" i="27"/>
  <c r="H168" i="27"/>
  <c r="E168" i="27"/>
  <c r="N167" i="27"/>
  <c r="O167" i="27" s="1"/>
  <c r="K167" i="27"/>
  <c r="H167" i="27"/>
  <c r="E167" i="27"/>
  <c r="N166" i="27"/>
  <c r="K166" i="27"/>
  <c r="H166" i="27"/>
  <c r="F166" i="27"/>
  <c r="E166" i="27"/>
  <c r="N165" i="27"/>
  <c r="K165" i="27"/>
  <c r="H165" i="27"/>
  <c r="E165" i="27"/>
  <c r="O164" i="27"/>
  <c r="N164" i="27"/>
  <c r="K164" i="27"/>
  <c r="H164" i="27"/>
  <c r="I164" i="27" s="1"/>
  <c r="E164" i="27"/>
  <c r="N163" i="27"/>
  <c r="K163" i="27"/>
  <c r="L163" i="27" s="1"/>
  <c r="H163" i="27"/>
  <c r="E163" i="27"/>
  <c r="N162" i="27"/>
  <c r="O162" i="27" s="1"/>
  <c r="K162" i="27"/>
  <c r="H162" i="27"/>
  <c r="E162" i="27"/>
  <c r="N161" i="27"/>
  <c r="K161" i="27"/>
  <c r="H161" i="27"/>
  <c r="I161" i="27" s="1"/>
  <c r="E161" i="27"/>
  <c r="N160" i="27"/>
  <c r="K160" i="27"/>
  <c r="H160" i="27"/>
  <c r="F160" i="27"/>
  <c r="E160" i="27"/>
  <c r="N159" i="27"/>
  <c r="K159" i="27"/>
  <c r="H159" i="27"/>
  <c r="I159" i="27" s="1"/>
  <c r="E159" i="27"/>
  <c r="N158" i="27"/>
  <c r="K158" i="27"/>
  <c r="L158" i="27" s="1"/>
  <c r="H158" i="27"/>
  <c r="E158" i="27"/>
  <c r="N157" i="27"/>
  <c r="O157" i="27" s="1"/>
  <c r="K157" i="27"/>
  <c r="H157" i="27"/>
  <c r="F157" i="27"/>
  <c r="E157" i="27"/>
  <c r="N156" i="27"/>
  <c r="L156" i="27"/>
  <c r="K156" i="27"/>
  <c r="H156" i="27"/>
  <c r="E156" i="27"/>
  <c r="N155" i="27"/>
  <c r="K155" i="27"/>
  <c r="H155" i="27"/>
  <c r="F155" i="27"/>
  <c r="E155" i="27"/>
  <c r="N154" i="27"/>
  <c r="K154" i="27"/>
  <c r="H154" i="27"/>
  <c r="I154" i="27" s="1"/>
  <c r="E154" i="27"/>
  <c r="N153" i="27"/>
  <c r="L153" i="27"/>
  <c r="K153" i="27"/>
  <c r="H153" i="27"/>
  <c r="E153" i="27"/>
  <c r="N152" i="27"/>
  <c r="K152" i="27"/>
  <c r="H152" i="27"/>
  <c r="E152" i="27"/>
  <c r="M150" i="27"/>
  <c r="J150" i="27"/>
  <c r="G150" i="27"/>
  <c r="D150" i="27"/>
  <c r="B150" i="27"/>
  <c r="M149" i="27"/>
  <c r="G149" i="27"/>
  <c r="B145" i="27"/>
  <c r="O136" i="27" s="1"/>
  <c r="N144" i="27"/>
  <c r="O144" i="27" s="1"/>
  <c r="K144" i="27"/>
  <c r="H144" i="27"/>
  <c r="E144" i="27"/>
  <c r="F144" i="27" s="1"/>
  <c r="O143" i="27"/>
  <c r="N143" i="27"/>
  <c r="K143" i="27"/>
  <c r="L143" i="27" s="1"/>
  <c r="H143" i="27"/>
  <c r="I143" i="27" s="1"/>
  <c r="E143" i="27"/>
  <c r="N142" i="27"/>
  <c r="O142" i="27" s="1"/>
  <c r="K142" i="27"/>
  <c r="L142" i="27" s="1"/>
  <c r="I142" i="27"/>
  <c r="H142" i="27"/>
  <c r="E142" i="27"/>
  <c r="F142" i="27" s="1"/>
  <c r="N141" i="27"/>
  <c r="O141" i="27" s="1"/>
  <c r="K141" i="27"/>
  <c r="H141" i="27"/>
  <c r="I141" i="27" s="1"/>
  <c r="E141" i="27"/>
  <c r="F141" i="27" s="1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N138" i="27"/>
  <c r="O138" i="27" s="1"/>
  <c r="L138" i="27"/>
  <c r="K138" i="27"/>
  <c r="H138" i="27"/>
  <c r="I138" i="27" s="1"/>
  <c r="E138" i="27"/>
  <c r="F138" i="27" s="1"/>
  <c r="N137" i="27"/>
  <c r="K137" i="27"/>
  <c r="L137" i="27" s="1"/>
  <c r="H137" i="27"/>
  <c r="I137" i="27" s="1"/>
  <c r="E137" i="27"/>
  <c r="F137" i="27" s="1"/>
  <c r="N136" i="27"/>
  <c r="K136" i="27"/>
  <c r="L136" i="27" s="1"/>
  <c r="H136" i="27"/>
  <c r="E136" i="27"/>
  <c r="F136" i="27" s="1"/>
  <c r="N135" i="27"/>
  <c r="O135" i="27" s="1"/>
  <c r="K135" i="27"/>
  <c r="L135" i="27" s="1"/>
  <c r="H135" i="27"/>
  <c r="E135" i="27"/>
  <c r="F135" i="27" s="1"/>
  <c r="N134" i="27"/>
  <c r="O134" i="27" s="1"/>
  <c r="L134" i="27"/>
  <c r="K134" i="27"/>
  <c r="H134" i="27"/>
  <c r="I134" i="27" s="1"/>
  <c r="E134" i="27"/>
  <c r="F134" i="27" s="1"/>
  <c r="N133" i="27"/>
  <c r="K133" i="27"/>
  <c r="L133" i="27" s="1"/>
  <c r="H133" i="27"/>
  <c r="I133" i="27" s="1"/>
  <c r="E133" i="27"/>
  <c r="N132" i="27"/>
  <c r="O132" i="27" s="1"/>
  <c r="K132" i="27"/>
  <c r="L132" i="27" s="1"/>
  <c r="H132" i="27"/>
  <c r="E132" i="27"/>
  <c r="F132" i="27" s="1"/>
  <c r="N131" i="27"/>
  <c r="O131" i="27" s="1"/>
  <c r="K131" i="27"/>
  <c r="H131" i="27"/>
  <c r="I131" i="27" s="1"/>
  <c r="E131" i="27"/>
  <c r="F131" i="27" s="1"/>
  <c r="N130" i="27"/>
  <c r="K130" i="27"/>
  <c r="L130" i="27" s="1"/>
  <c r="H130" i="27"/>
  <c r="I130" i="27" s="1"/>
  <c r="E130" i="27"/>
  <c r="N129" i="27"/>
  <c r="O129" i="27" s="1"/>
  <c r="L129" i="27"/>
  <c r="K129" i="27"/>
  <c r="H129" i="27"/>
  <c r="I129" i="27" s="1"/>
  <c r="E129" i="27"/>
  <c r="F129" i="27" s="1"/>
  <c r="N128" i="27"/>
  <c r="O128" i="27" s="1"/>
  <c r="K128" i="27"/>
  <c r="H128" i="27"/>
  <c r="I128" i="27" s="1"/>
  <c r="E128" i="27"/>
  <c r="F128" i="27" s="1"/>
  <c r="O127" i="27"/>
  <c r="N127" i="27"/>
  <c r="K127" i="27"/>
  <c r="L127" i="27" s="1"/>
  <c r="H127" i="27"/>
  <c r="I127" i="27" s="1"/>
  <c r="E127" i="27"/>
  <c r="N126" i="27"/>
  <c r="O126" i="27" s="1"/>
  <c r="K126" i="27"/>
  <c r="L126" i="27" s="1"/>
  <c r="I126" i="27"/>
  <c r="H126" i="27"/>
  <c r="E126" i="27"/>
  <c r="F126" i="27" s="1"/>
  <c r="N125" i="27"/>
  <c r="O125" i="27" s="1"/>
  <c r="K125" i="27"/>
  <c r="H125" i="27"/>
  <c r="E125" i="27"/>
  <c r="M123" i="27"/>
  <c r="J123" i="27"/>
  <c r="G123" i="27"/>
  <c r="D123" i="27"/>
  <c r="B123" i="27"/>
  <c r="M122" i="27"/>
  <c r="G122" i="27"/>
  <c r="B118" i="27"/>
  <c r="L117" i="27" s="1"/>
  <c r="N117" i="27"/>
  <c r="O117" i="27" s="1"/>
  <c r="K117" i="27"/>
  <c r="H117" i="27"/>
  <c r="I117" i="27" s="1"/>
  <c r="F117" i="27"/>
  <c r="E117" i="27"/>
  <c r="O116" i="27"/>
  <c r="N116" i="27"/>
  <c r="K116" i="27"/>
  <c r="L116" i="27" s="1"/>
  <c r="H116" i="27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E114" i="27"/>
  <c r="F114" i="27" s="1"/>
  <c r="N113" i="27"/>
  <c r="L113" i="27"/>
  <c r="K113" i="27"/>
  <c r="H113" i="27"/>
  <c r="I113" i="27" s="1"/>
  <c r="E113" i="27"/>
  <c r="N112" i="27"/>
  <c r="O112" i="27" s="1"/>
  <c r="K112" i="27"/>
  <c r="H112" i="27"/>
  <c r="I112" i="27" s="1"/>
  <c r="E112" i="27"/>
  <c r="F112" i="27" s="1"/>
  <c r="N111" i="27"/>
  <c r="K111" i="27"/>
  <c r="L111" i="27" s="1"/>
  <c r="H111" i="27"/>
  <c r="I111" i="27" s="1"/>
  <c r="E111" i="27"/>
  <c r="N110" i="27"/>
  <c r="O110" i="27" s="1"/>
  <c r="K110" i="27"/>
  <c r="H110" i="27"/>
  <c r="I110" i="27" s="1"/>
  <c r="F110" i="27"/>
  <c r="E110" i="27"/>
  <c r="N109" i="27"/>
  <c r="O109" i="27" s="1"/>
  <c r="K109" i="27"/>
  <c r="L109" i="27" s="1"/>
  <c r="H109" i="27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F107" i="27"/>
  <c r="E107" i="27"/>
  <c r="O106" i="27"/>
  <c r="N106" i="27"/>
  <c r="L106" i="27"/>
  <c r="K106" i="27"/>
  <c r="H106" i="27"/>
  <c r="I106" i="27" s="1"/>
  <c r="E106" i="27"/>
  <c r="N105" i="27"/>
  <c r="O105" i="27" s="1"/>
  <c r="L105" i="27"/>
  <c r="K105" i="27"/>
  <c r="H105" i="27"/>
  <c r="I105" i="27" s="1"/>
  <c r="E105" i="27"/>
  <c r="F105" i="27" s="1"/>
  <c r="N104" i="27"/>
  <c r="K104" i="27"/>
  <c r="L104" i="27" s="1"/>
  <c r="H104" i="27"/>
  <c r="I104" i="27" s="1"/>
  <c r="E104" i="27"/>
  <c r="N103" i="27"/>
  <c r="O103" i="27" s="1"/>
  <c r="K103" i="27"/>
  <c r="H103" i="27"/>
  <c r="I103" i="27" s="1"/>
  <c r="E103" i="27"/>
  <c r="F103" i="27" s="1"/>
  <c r="N102" i="27"/>
  <c r="K102" i="27"/>
  <c r="L102" i="27" s="1"/>
  <c r="H102" i="27"/>
  <c r="F102" i="27"/>
  <c r="E102" i="27"/>
  <c r="N101" i="27"/>
  <c r="O101" i="27" s="1"/>
  <c r="K101" i="27"/>
  <c r="H101" i="27"/>
  <c r="I101" i="27" s="1"/>
  <c r="F101" i="27"/>
  <c r="E101" i="27"/>
  <c r="O100" i="27"/>
  <c r="N100" i="27"/>
  <c r="K100" i="27"/>
  <c r="L100" i="27" s="1"/>
  <c r="H100" i="27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E98" i="27"/>
  <c r="M96" i="27"/>
  <c r="J96" i="27"/>
  <c r="G96" i="27"/>
  <c r="D96" i="27"/>
  <c r="B96" i="27"/>
  <c r="M95" i="27"/>
  <c r="G95" i="27"/>
  <c r="B91" i="27"/>
  <c r="L89" i="27" s="1"/>
  <c r="N90" i="27"/>
  <c r="O90" i="27" s="1"/>
  <c r="K90" i="27"/>
  <c r="H90" i="27"/>
  <c r="I90" i="27" s="1"/>
  <c r="E90" i="27"/>
  <c r="F90" i="27" s="1"/>
  <c r="N89" i="27"/>
  <c r="O89" i="27" s="1"/>
  <c r="K89" i="27"/>
  <c r="H89" i="27"/>
  <c r="I89" i="27" s="1"/>
  <c r="E89" i="27"/>
  <c r="N88" i="27"/>
  <c r="O88" i="27" s="1"/>
  <c r="K88" i="27"/>
  <c r="L88" i="27" s="1"/>
  <c r="H88" i="27"/>
  <c r="E88" i="27"/>
  <c r="F88" i="27" s="1"/>
  <c r="N87" i="27"/>
  <c r="O87" i="27" s="1"/>
  <c r="O20" i="27" s="1"/>
  <c r="K87" i="27"/>
  <c r="I87" i="27"/>
  <c r="H87" i="27"/>
  <c r="E87" i="27"/>
  <c r="F87" i="27" s="1"/>
  <c r="F20" i="27" s="1"/>
  <c r="N86" i="27"/>
  <c r="K86" i="27"/>
  <c r="L86" i="27" s="1"/>
  <c r="H86" i="27"/>
  <c r="E86" i="27"/>
  <c r="F86" i="27" s="1"/>
  <c r="N85" i="27"/>
  <c r="O85" i="27" s="1"/>
  <c r="K85" i="27"/>
  <c r="I85" i="27"/>
  <c r="H85" i="27"/>
  <c r="E85" i="27"/>
  <c r="F85" i="27" s="1"/>
  <c r="N84" i="27"/>
  <c r="K84" i="27"/>
  <c r="L84" i="27" s="1"/>
  <c r="H84" i="27"/>
  <c r="E84" i="27"/>
  <c r="F84" i="27" s="1"/>
  <c r="N83" i="27"/>
  <c r="O83" i="27" s="1"/>
  <c r="K83" i="27"/>
  <c r="H83" i="27"/>
  <c r="I83" i="27" s="1"/>
  <c r="E83" i="27"/>
  <c r="N82" i="27"/>
  <c r="O82" i="27" s="1"/>
  <c r="K82" i="27"/>
  <c r="L82" i="27" s="1"/>
  <c r="H82" i="27"/>
  <c r="I82" i="27" s="1"/>
  <c r="E82" i="27"/>
  <c r="O81" i="27"/>
  <c r="N81" i="27"/>
  <c r="L81" i="27"/>
  <c r="K81" i="27"/>
  <c r="I81" i="27"/>
  <c r="H81" i="27"/>
  <c r="E81" i="27"/>
  <c r="F81" i="27" s="1"/>
  <c r="N80" i="27"/>
  <c r="L80" i="27"/>
  <c r="K80" i="27"/>
  <c r="H80" i="27"/>
  <c r="I80" i="27" s="1"/>
  <c r="I19" i="27" s="1"/>
  <c r="E80" i="27"/>
  <c r="O79" i="27"/>
  <c r="N79" i="27"/>
  <c r="K79" i="27"/>
  <c r="L79" i="27" s="1"/>
  <c r="H79" i="27"/>
  <c r="E79" i="27"/>
  <c r="F79" i="27" s="1"/>
  <c r="N78" i="27"/>
  <c r="O78" i="27" s="1"/>
  <c r="L78" i="27"/>
  <c r="K78" i="27"/>
  <c r="I78" i="27"/>
  <c r="H78" i="27"/>
  <c r="E78" i="27"/>
  <c r="F78" i="27" s="1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E76" i="27"/>
  <c r="F76" i="27" s="1"/>
  <c r="N75" i="27"/>
  <c r="O75" i="27" s="1"/>
  <c r="K75" i="27"/>
  <c r="H75" i="27"/>
  <c r="I75" i="27" s="1"/>
  <c r="E75" i="27"/>
  <c r="F75" i="27" s="1"/>
  <c r="N74" i="27"/>
  <c r="K74" i="27"/>
  <c r="L74" i="27" s="1"/>
  <c r="H74" i="27"/>
  <c r="I74" i="27" s="1"/>
  <c r="E74" i="27"/>
  <c r="O73" i="27"/>
  <c r="N73" i="27"/>
  <c r="L73" i="27"/>
  <c r="K73" i="27"/>
  <c r="I73" i="27"/>
  <c r="H73" i="27"/>
  <c r="E73" i="27"/>
  <c r="F73" i="27" s="1"/>
  <c r="N72" i="27"/>
  <c r="L72" i="27"/>
  <c r="K72" i="27"/>
  <c r="H72" i="27"/>
  <c r="I72" i="27" s="1"/>
  <c r="E72" i="27"/>
  <c r="O71" i="27"/>
  <c r="N71" i="27"/>
  <c r="K71" i="27"/>
  <c r="H71" i="27"/>
  <c r="E71" i="27"/>
  <c r="M69" i="27"/>
  <c r="J69" i="27"/>
  <c r="G69" i="27"/>
  <c r="D69" i="27"/>
  <c r="B69" i="27"/>
  <c r="M68" i="27"/>
  <c r="G68" i="27"/>
  <c r="B64" i="27"/>
  <c r="L59" i="27" s="1"/>
  <c r="N63" i="27"/>
  <c r="O63" i="27" s="1"/>
  <c r="L63" i="27"/>
  <c r="K63" i="27"/>
  <c r="H63" i="27"/>
  <c r="I63" i="27" s="1"/>
  <c r="E63" i="27"/>
  <c r="F63" i="27" s="1"/>
  <c r="N62" i="27"/>
  <c r="K62" i="27"/>
  <c r="L62" i="27" s="1"/>
  <c r="H62" i="27"/>
  <c r="I62" i="27" s="1"/>
  <c r="E62" i="27"/>
  <c r="N61" i="27"/>
  <c r="N18" i="27" s="1"/>
  <c r="K61" i="27"/>
  <c r="L61" i="27" s="1"/>
  <c r="L18" i="27" s="1"/>
  <c r="H61" i="27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K59" i="27"/>
  <c r="H59" i="27"/>
  <c r="I59" i="27" s="1"/>
  <c r="E59" i="27"/>
  <c r="N58" i="27"/>
  <c r="O58" i="27" s="1"/>
  <c r="K58" i="27"/>
  <c r="L58" i="27" s="1"/>
  <c r="H58" i="27"/>
  <c r="E58" i="27"/>
  <c r="F58" i="27" s="1"/>
  <c r="N57" i="27"/>
  <c r="O57" i="27" s="1"/>
  <c r="K57" i="27"/>
  <c r="H57" i="27"/>
  <c r="I57" i="27" s="1"/>
  <c r="E57" i="27"/>
  <c r="F57" i="27" s="1"/>
  <c r="N56" i="27"/>
  <c r="K56" i="27"/>
  <c r="L56" i="27" s="1"/>
  <c r="H56" i="27"/>
  <c r="I56" i="27" s="1"/>
  <c r="E56" i="27"/>
  <c r="N55" i="27"/>
  <c r="O55" i="27" s="1"/>
  <c r="K55" i="27"/>
  <c r="L55" i="27" s="1"/>
  <c r="H55" i="27"/>
  <c r="E55" i="27"/>
  <c r="F55" i="27" s="1"/>
  <c r="O54" i="27"/>
  <c r="N54" i="27"/>
  <c r="K54" i="27"/>
  <c r="L54" i="27" s="1"/>
  <c r="H54" i="27"/>
  <c r="I54" i="27" s="1"/>
  <c r="E54" i="27"/>
  <c r="N53" i="27"/>
  <c r="O53" i="27" s="1"/>
  <c r="K53" i="27"/>
  <c r="L53" i="27" s="1"/>
  <c r="H53" i="27"/>
  <c r="E53" i="27"/>
  <c r="F53" i="27" s="1"/>
  <c r="N52" i="27"/>
  <c r="O52" i="27" s="1"/>
  <c r="K52" i="27"/>
  <c r="H52" i="27"/>
  <c r="I52" i="27" s="1"/>
  <c r="E52" i="27"/>
  <c r="F52" i="27" s="1"/>
  <c r="N51" i="27"/>
  <c r="K51" i="27"/>
  <c r="L51" i="27" s="1"/>
  <c r="I51" i="27"/>
  <c r="H51" i="27"/>
  <c r="E51" i="27"/>
  <c r="F51" i="27" s="1"/>
  <c r="N50" i="27"/>
  <c r="O50" i="27" s="1"/>
  <c r="O17" i="27" s="1"/>
  <c r="L50" i="27"/>
  <c r="K50" i="27"/>
  <c r="H50" i="27"/>
  <c r="I50" i="27" s="1"/>
  <c r="I17" i="27" s="1"/>
  <c r="E50" i="27"/>
  <c r="F50" i="27" s="1"/>
  <c r="F17" i="27" s="1"/>
  <c r="N49" i="27"/>
  <c r="K49" i="27"/>
  <c r="L49" i="27" s="1"/>
  <c r="H49" i="27"/>
  <c r="E49" i="27"/>
  <c r="F49" i="27" s="1"/>
  <c r="N48" i="27"/>
  <c r="O48" i="27" s="1"/>
  <c r="L48" i="27"/>
  <c r="K48" i="27"/>
  <c r="H48" i="27"/>
  <c r="I48" i="27" s="1"/>
  <c r="E48" i="27"/>
  <c r="F48" i="27" s="1"/>
  <c r="N47" i="27"/>
  <c r="K47" i="27"/>
  <c r="L47" i="27" s="1"/>
  <c r="I47" i="27"/>
  <c r="H47" i="27"/>
  <c r="E47" i="27"/>
  <c r="F47" i="27" s="1"/>
  <c r="N46" i="27"/>
  <c r="O46" i="27" s="1"/>
  <c r="K46" i="27"/>
  <c r="H46" i="27"/>
  <c r="I46" i="27" s="1"/>
  <c r="E46" i="27"/>
  <c r="N45" i="27"/>
  <c r="O45" i="27" s="1"/>
  <c r="K45" i="27"/>
  <c r="L45" i="27" s="1"/>
  <c r="H45" i="27"/>
  <c r="I45" i="27" s="1"/>
  <c r="E45" i="27"/>
  <c r="N44" i="27"/>
  <c r="O44" i="27" s="1"/>
  <c r="L44" i="27"/>
  <c r="K44" i="27"/>
  <c r="H44" i="27"/>
  <c r="I4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E197" i="26"/>
  <c r="F197" i="26" s="1"/>
  <c r="N196" i="26"/>
  <c r="K196" i="26"/>
  <c r="L196" i="26" s="1"/>
  <c r="I196" i="26"/>
  <c r="H196" i="26"/>
  <c r="E196" i="26"/>
  <c r="F196" i="26" s="1"/>
  <c r="N195" i="26"/>
  <c r="O195" i="26" s="1"/>
  <c r="K195" i="26"/>
  <c r="H195" i="26"/>
  <c r="I195" i="26" s="1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E193" i="26"/>
  <c r="F193" i="26" s="1"/>
  <c r="N192" i="26"/>
  <c r="K192" i="26"/>
  <c r="L192" i="26" s="1"/>
  <c r="I192" i="26"/>
  <c r="H192" i="26"/>
  <c r="E192" i="26"/>
  <c r="F192" i="26" s="1"/>
  <c r="N191" i="26"/>
  <c r="O191" i="26" s="1"/>
  <c r="K191" i="26"/>
  <c r="H191" i="26"/>
  <c r="I191" i="26" s="1"/>
  <c r="E191" i="26"/>
  <c r="N190" i="26"/>
  <c r="O190" i="26" s="1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E189" i="26"/>
  <c r="F189" i="26" s="1"/>
  <c r="N188" i="26"/>
  <c r="K188" i="26"/>
  <c r="L188" i="26" s="1"/>
  <c r="I188" i="26"/>
  <c r="H188" i="26"/>
  <c r="E188" i="26"/>
  <c r="F188" i="26" s="1"/>
  <c r="N187" i="26"/>
  <c r="O187" i="26" s="1"/>
  <c r="K187" i="26"/>
  <c r="H187" i="26"/>
  <c r="I187" i="26" s="1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E185" i="26"/>
  <c r="F185" i="26" s="1"/>
  <c r="N184" i="26"/>
  <c r="K184" i="26"/>
  <c r="L184" i="26" s="1"/>
  <c r="I184" i="26"/>
  <c r="H184" i="26"/>
  <c r="E184" i="26"/>
  <c r="F184" i="26" s="1"/>
  <c r="N183" i="26"/>
  <c r="O183" i="26" s="1"/>
  <c r="K183" i="26"/>
  <c r="H183" i="26"/>
  <c r="I183" i="26" s="1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E181" i="26"/>
  <c r="F181" i="26" s="1"/>
  <c r="N180" i="26"/>
  <c r="K180" i="26"/>
  <c r="L180" i="26" s="1"/>
  <c r="I180" i="26"/>
  <c r="H180" i="26"/>
  <c r="E180" i="26"/>
  <c r="F180" i="26" s="1"/>
  <c r="N179" i="26"/>
  <c r="N199" i="26" s="1"/>
  <c r="K179" i="26"/>
  <c r="H179" i="26"/>
  <c r="H199" i="26" s="1"/>
  <c r="E179" i="26"/>
  <c r="M177" i="26"/>
  <c r="J177" i="26"/>
  <c r="G177" i="26"/>
  <c r="D177" i="26"/>
  <c r="B177" i="26"/>
  <c r="M176" i="26"/>
  <c r="G176" i="26"/>
  <c r="B172" i="26"/>
  <c r="F169" i="26" s="1"/>
  <c r="N171" i="26"/>
  <c r="O171" i="26" s="1"/>
  <c r="L171" i="26"/>
  <c r="K171" i="26"/>
  <c r="H171" i="26"/>
  <c r="I171" i="26" s="1"/>
  <c r="E171" i="26"/>
  <c r="F171" i="26" s="1"/>
  <c r="N170" i="26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E169" i="26"/>
  <c r="N168" i="26"/>
  <c r="O168" i="26" s="1"/>
  <c r="K168" i="26"/>
  <c r="H168" i="26"/>
  <c r="I168" i="26" s="1"/>
  <c r="E168" i="26"/>
  <c r="F168" i="26" s="1"/>
  <c r="N167" i="26"/>
  <c r="K167" i="26"/>
  <c r="L167" i="26" s="1"/>
  <c r="H167" i="26"/>
  <c r="I167" i="26" s="1"/>
  <c r="E167" i="26"/>
  <c r="N166" i="26"/>
  <c r="O166" i="26" s="1"/>
  <c r="K166" i="26"/>
  <c r="L166" i="26" s="1"/>
  <c r="H166" i="26"/>
  <c r="E166" i="26"/>
  <c r="F166" i="26" s="1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E164" i="26"/>
  <c r="N163" i="26"/>
  <c r="O163" i="26" s="1"/>
  <c r="K163" i="26"/>
  <c r="H163" i="26"/>
  <c r="I163" i="26" s="1"/>
  <c r="E163" i="26"/>
  <c r="F163" i="26" s="1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E161" i="26"/>
  <c r="F161" i="26" s="1"/>
  <c r="N160" i="26"/>
  <c r="O160" i="26" s="1"/>
  <c r="K160" i="26"/>
  <c r="H160" i="26"/>
  <c r="I160" i="26" s="1"/>
  <c r="E160" i="26"/>
  <c r="F160" i="26" s="1"/>
  <c r="N159" i="26"/>
  <c r="K159" i="26"/>
  <c r="L159" i="26" s="1"/>
  <c r="H159" i="26"/>
  <c r="I159" i="26" s="1"/>
  <c r="E159" i="26"/>
  <c r="N158" i="26"/>
  <c r="O158" i="26" s="1"/>
  <c r="K158" i="26"/>
  <c r="L158" i="26" s="1"/>
  <c r="H158" i="26"/>
  <c r="E158" i="26"/>
  <c r="F158" i="26" s="1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E156" i="26"/>
  <c r="N155" i="26"/>
  <c r="O155" i="26" s="1"/>
  <c r="K155" i="26"/>
  <c r="H155" i="26"/>
  <c r="I155" i="26" s="1"/>
  <c r="E155" i="26"/>
  <c r="F155" i="26" s="1"/>
  <c r="N154" i="26"/>
  <c r="K154" i="26"/>
  <c r="L154" i="26" s="1"/>
  <c r="H154" i="26"/>
  <c r="I154" i="26" s="1"/>
  <c r="F154" i="26"/>
  <c r="E154" i="26"/>
  <c r="N153" i="26"/>
  <c r="O153" i="26" s="1"/>
  <c r="K153" i="26"/>
  <c r="L153" i="26" s="1"/>
  <c r="H153" i="26"/>
  <c r="E153" i="26"/>
  <c r="F153" i="26" s="1"/>
  <c r="N152" i="26"/>
  <c r="K152" i="26"/>
  <c r="H152" i="26"/>
  <c r="E152" i="26"/>
  <c r="E172" i="26" s="1"/>
  <c r="M150" i="26"/>
  <c r="J150" i="26"/>
  <c r="G150" i="26"/>
  <c r="D150" i="26"/>
  <c r="B150" i="26"/>
  <c r="M149" i="26"/>
  <c r="G149" i="26"/>
  <c r="B145" i="26"/>
  <c r="F143" i="26" s="1"/>
  <c r="N144" i="26"/>
  <c r="K144" i="26"/>
  <c r="H144" i="26"/>
  <c r="I144" i="26" s="1"/>
  <c r="E144" i="26"/>
  <c r="N143" i="26"/>
  <c r="K143" i="26"/>
  <c r="L143" i="26" s="1"/>
  <c r="H143" i="26"/>
  <c r="E143" i="26"/>
  <c r="O142" i="26"/>
  <c r="N142" i="26"/>
  <c r="K142" i="26"/>
  <c r="H142" i="26"/>
  <c r="F142" i="26"/>
  <c r="E142" i="26"/>
  <c r="N141" i="26"/>
  <c r="K141" i="26"/>
  <c r="H141" i="26"/>
  <c r="I141" i="26" s="1"/>
  <c r="E141" i="26"/>
  <c r="N140" i="26"/>
  <c r="K140" i="26"/>
  <c r="H140" i="26"/>
  <c r="E140" i="26"/>
  <c r="N139" i="26"/>
  <c r="K139" i="26"/>
  <c r="H139" i="26"/>
  <c r="F139" i="26"/>
  <c r="E139" i="26"/>
  <c r="N138" i="26"/>
  <c r="L138" i="26"/>
  <c r="K138" i="26"/>
  <c r="H138" i="26"/>
  <c r="E138" i="26"/>
  <c r="N137" i="26"/>
  <c r="K137" i="26"/>
  <c r="H137" i="26"/>
  <c r="F137" i="26"/>
  <c r="E137" i="26"/>
  <c r="N136" i="26"/>
  <c r="K136" i="26"/>
  <c r="H136" i="26"/>
  <c r="I136" i="26" s="1"/>
  <c r="E136" i="26"/>
  <c r="N135" i="26"/>
  <c r="K135" i="26"/>
  <c r="L135" i="26" s="1"/>
  <c r="H135" i="26"/>
  <c r="E135" i="26"/>
  <c r="N134" i="26"/>
  <c r="O134" i="26" s="1"/>
  <c r="K134" i="26"/>
  <c r="H134" i="26"/>
  <c r="E134" i="26"/>
  <c r="N133" i="26"/>
  <c r="K133" i="26"/>
  <c r="H133" i="26"/>
  <c r="F133" i="26"/>
  <c r="E133" i="26"/>
  <c r="N132" i="26"/>
  <c r="K132" i="26"/>
  <c r="H132" i="26"/>
  <c r="I132" i="26" s="1"/>
  <c r="E132" i="26"/>
  <c r="N131" i="26"/>
  <c r="K131" i="26"/>
  <c r="L131" i="26" s="1"/>
  <c r="H131" i="26"/>
  <c r="E131" i="26"/>
  <c r="N130" i="26"/>
  <c r="O130" i="26" s="1"/>
  <c r="K130" i="26"/>
  <c r="H130" i="26"/>
  <c r="E130" i="26"/>
  <c r="N129" i="26"/>
  <c r="K129" i="26"/>
  <c r="H129" i="26"/>
  <c r="F129" i="26"/>
  <c r="E129" i="26"/>
  <c r="N128" i="26"/>
  <c r="K128" i="26"/>
  <c r="H128" i="26"/>
  <c r="E128" i="26"/>
  <c r="O127" i="26"/>
  <c r="N127" i="26"/>
  <c r="K127" i="26"/>
  <c r="H127" i="26"/>
  <c r="F127" i="26"/>
  <c r="E127" i="26"/>
  <c r="N126" i="26"/>
  <c r="K126" i="26"/>
  <c r="H126" i="26"/>
  <c r="I126" i="26" s="1"/>
  <c r="E126" i="26"/>
  <c r="N125" i="26"/>
  <c r="K125" i="26"/>
  <c r="H125" i="26"/>
  <c r="E125" i="26"/>
  <c r="E145" i="26" s="1"/>
  <c r="M123" i="26"/>
  <c r="J123" i="26"/>
  <c r="G123" i="26"/>
  <c r="D123" i="26"/>
  <c r="B123" i="26"/>
  <c r="M122" i="26"/>
  <c r="G122" i="26"/>
  <c r="B118" i="26"/>
  <c r="O116" i="26" s="1"/>
  <c r="N117" i="26"/>
  <c r="K117" i="26"/>
  <c r="H117" i="26"/>
  <c r="F117" i="26"/>
  <c r="E117" i="26"/>
  <c r="N116" i="26"/>
  <c r="K116" i="26"/>
  <c r="L116" i="26" s="1"/>
  <c r="H116" i="26"/>
  <c r="E116" i="26"/>
  <c r="N115" i="26"/>
  <c r="O115" i="26" s="1"/>
  <c r="K115" i="26"/>
  <c r="H115" i="26"/>
  <c r="E115" i="26"/>
  <c r="N114" i="26"/>
  <c r="K114" i="26"/>
  <c r="H114" i="26"/>
  <c r="E114" i="26"/>
  <c r="N113" i="26"/>
  <c r="O113" i="26" s="1"/>
  <c r="K113" i="26"/>
  <c r="H113" i="26"/>
  <c r="E113" i="26"/>
  <c r="N112" i="26"/>
  <c r="K112" i="26"/>
  <c r="H112" i="26"/>
  <c r="I112" i="26" s="1"/>
  <c r="E112" i="26"/>
  <c r="N111" i="26"/>
  <c r="N31" i="26" s="1"/>
  <c r="K111" i="26"/>
  <c r="L111" i="26" s="1"/>
  <c r="L31" i="26" s="1"/>
  <c r="H111" i="26"/>
  <c r="E111" i="26"/>
  <c r="O110" i="26"/>
  <c r="N110" i="26"/>
  <c r="K110" i="26"/>
  <c r="H110" i="26"/>
  <c r="F110" i="26"/>
  <c r="F30" i="26" s="1"/>
  <c r="E110" i="26"/>
  <c r="N109" i="26"/>
  <c r="K109" i="26"/>
  <c r="H109" i="26"/>
  <c r="I109" i="26" s="1"/>
  <c r="I29" i="26" s="1"/>
  <c r="E109" i="26"/>
  <c r="N108" i="26"/>
  <c r="K108" i="26"/>
  <c r="H108" i="26"/>
  <c r="E108" i="26"/>
  <c r="N107" i="26"/>
  <c r="K107" i="26"/>
  <c r="H107" i="26"/>
  <c r="F107" i="26"/>
  <c r="E107" i="26"/>
  <c r="N106" i="26"/>
  <c r="K106" i="26"/>
  <c r="L106" i="26" s="1"/>
  <c r="H106" i="26"/>
  <c r="E106" i="26"/>
  <c r="N105" i="26"/>
  <c r="O105" i="26" s="1"/>
  <c r="O25" i="26" s="1"/>
  <c r="K105" i="26"/>
  <c r="H105" i="26"/>
  <c r="E105" i="26"/>
  <c r="N104" i="26"/>
  <c r="K104" i="26"/>
  <c r="K24" i="26" s="1"/>
  <c r="H104" i="26"/>
  <c r="I104" i="26" s="1"/>
  <c r="I24" i="26" s="1"/>
  <c r="E104" i="26"/>
  <c r="N103" i="26"/>
  <c r="O103" i="26" s="1"/>
  <c r="O23" i="26" s="1"/>
  <c r="K103" i="26"/>
  <c r="L103" i="26" s="1"/>
  <c r="L23" i="26" s="1"/>
  <c r="H103" i="26"/>
  <c r="E103" i="26"/>
  <c r="O102" i="26"/>
  <c r="N102" i="26"/>
  <c r="K102" i="26"/>
  <c r="H102" i="26"/>
  <c r="I102" i="26" s="1"/>
  <c r="F102" i="26"/>
  <c r="E102" i="26"/>
  <c r="N101" i="26"/>
  <c r="K101" i="26"/>
  <c r="L101" i="26" s="1"/>
  <c r="H101" i="26"/>
  <c r="I101" i="26" s="1"/>
  <c r="E101" i="26"/>
  <c r="N100" i="26"/>
  <c r="O100" i="26" s="1"/>
  <c r="K100" i="26"/>
  <c r="H100" i="26"/>
  <c r="E100" i="26"/>
  <c r="F100" i="26" s="1"/>
  <c r="N99" i="26"/>
  <c r="K99" i="26"/>
  <c r="H99" i="26"/>
  <c r="I99" i="26" s="1"/>
  <c r="F99" i="26"/>
  <c r="E99" i="26"/>
  <c r="N98" i="26"/>
  <c r="L98" i="26"/>
  <c r="K98" i="26"/>
  <c r="H98" i="26"/>
  <c r="E98" i="26"/>
  <c r="E118" i="26" s="1"/>
  <c r="M96" i="26"/>
  <c r="J96" i="26"/>
  <c r="G96" i="26"/>
  <c r="D96" i="26"/>
  <c r="B96" i="26"/>
  <c r="M95" i="26"/>
  <c r="G95" i="26"/>
  <c r="B91" i="26"/>
  <c r="F89" i="26" s="1"/>
  <c r="N90" i="26"/>
  <c r="K90" i="26"/>
  <c r="H90" i="26"/>
  <c r="I90" i="26" s="1"/>
  <c r="E90" i="26"/>
  <c r="N89" i="26"/>
  <c r="K89" i="26"/>
  <c r="L89" i="26" s="1"/>
  <c r="H89" i="26"/>
  <c r="E89" i="26"/>
  <c r="O88" i="26"/>
  <c r="N88" i="26"/>
  <c r="K88" i="26"/>
  <c r="H88" i="26"/>
  <c r="I88" i="26" s="1"/>
  <c r="E88" i="26"/>
  <c r="N87" i="26"/>
  <c r="K87" i="26"/>
  <c r="L87" i="26" s="1"/>
  <c r="H87" i="26"/>
  <c r="E87" i="26"/>
  <c r="O86" i="26"/>
  <c r="N86" i="26"/>
  <c r="K86" i="26"/>
  <c r="H86" i="26"/>
  <c r="F86" i="26"/>
  <c r="E86" i="26"/>
  <c r="N85" i="26"/>
  <c r="K85" i="26"/>
  <c r="H85" i="26"/>
  <c r="I85" i="26" s="1"/>
  <c r="E85" i="26"/>
  <c r="N84" i="26"/>
  <c r="K84" i="26"/>
  <c r="H84" i="26"/>
  <c r="E84" i="26"/>
  <c r="N83" i="26"/>
  <c r="K83" i="26"/>
  <c r="H83" i="26"/>
  <c r="F83" i="26"/>
  <c r="E83" i="26"/>
  <c r="N82" i="26"/>
  <c r="K82" i="26"/>
  <c r="L82" i="26" s="1"/>
  <c r="H82" i="26"/>
  <c r="E82" i="26"/>
  <c r="N81" i="26"/>
  <c r="O81" i="26" s="1"/>
  <c r="K81" i="26"/>
  <c r="H81" i="26"/>
  <c r="E81" i="26"/>
  <c r="N80" i="26"/>
  <c r="K80" i="26"/>
  <c r="H80" i="26"/>
  <c r="I80" i="26" s="1"/>
  <c r="E80" i="26"/>
  <c r="N79" i="26"/>
  <c r="K79" i="26"/>
  <c r="L79" i="26" s="1"/>
  <c r="H79" i="26"/>
  <c r="E79" i="26"/>
  <c r="O78" i="26"/>
  <c r="N78" i="26"/>
  <c r="K78" i="26"/>
  <c r="H78" i="26"/>
  <c r="F78" i="26"/>
  <c r="E78" i="26"/>
  <c r="N77" i="26"/>
  <c r="N21" i="26" s="1"/>
  <c r="K77" i="26"/>
  <c r="H77" i="26"/>
  <c r="I77" i="26" s="1"/>
  <c r="I21" i="26" s="1"/>
  <c r="E77" i="26"/>
  <c r="N76" i="26"/>
  <c r="K76" i="26"/>
  <c r="H76" i="26"/>
  <c r="E76" i="26"/>
  <c r="N75" i="26"/>
  <c r="K75" i="26"/>
  <c r="H75" i="26"/>
  <c r="I75" i="26" s="1"/>
  <c r="E75" i="26"/>
  <c r="N74" i="26"/>
  <c r="K74" i="26"/>
  <c r="L74" i="26" s="1"/>
  <c r="H74" i="26"/>
  <c r="E74" i="26"/>
  <c r="O73" i="26"/>
  <c r="O32" i="26" s="1"/>
  <c r="N73" i="26"/>
  <c r="K73" i="26"/>
  <c r="H73" i="26"/>
  <c r="F73" i="26"/>
  <c r="F32" i="26" s="1"/>
  <c r="E73" i="26"/>
  <c r="N72" i="26"/>
  <c r="K72" i="26"/>
  <c r="H72" i="26"/>
  <c r="E72" i="26"/>
  <c r="N71" i="26"/>
  <c r="K71" i="26"/>
  <c r="H71" i="26"/>
  <c r="E71" i="26"/>
  <c r="E91" i="26" s="1"/>
  <c r="M69" i="26"/>
  <c r="J69" i="26"/>
  <c r="G69" i="26"/>
  <c r="D69" i="26"/>
  <c r="B69" i="26"/>
  <c r="M68" i="26"/>
  <c r="G68" i="26"/>
  <c r="B64" i="26"/>
  <c r="I58" i="26" s="1"/>
  <c r="I22" i="26" s="1"/>
  <c r="N63" i="26"/>
  <c r="K63" i="26"/>
  <c r="H63" i="26"/>
  <c r="E63" i="26"/>
  <c r="F63" i="26" s="1"/>
  <c r="N62" i="26"/>
  <c r="K62" i="26"/>
  <c r="H62" i="26"/>
  <c r="I62" i="26" s="1"/>
  <c r="E62" i="26"/>
  <c r="N61" i="26"/>
  <c r="K61" i="26"/>
  <c r="I61" i="26"/>
  <c r="H61" i="26"/>
  <c r="E61" i="26"/>
  <c r="N60" i="26"/>
  <c r="K60" i="26"/>
  <c r="L60" i="26" s="1"/>
  <c r="L17" i="26" s="1"/>
  <c r="H60" i="26"/>
  <c r="E60" i="26"/>
  <c r="N59" i="26"/>
  <c r="K59" i="26"/>
  <c r="H59" i="26"/>
  <c r="E59" i="26"/>
  <c r="N58" i="26"/>
  <c r="O58" i="26" s="1"/>
  <c r="O22" i="26" s="1"/>
  <c r="K58" i="26"/>
  <c r="H58" i="26"/>
  <c r="E58" i="26"/>
  <c r="F58" i="26" s="1"/>
  <c r="F22" i="26" s="1"/>
  <c r="N57" i="26"/>
  <c r="K57" i="26"/>
  <c r="H57" i="26"/>
  <c r="E57" i="26"/>
  <c r="N56" i="26"/>
  <c r="K56" i="26"/>
  <c r="H56" i="26"/>
  <c r="I56" i="26" s="1"/>
  <c r="E56" i="26"/>
  <c r="N55" i="26"/>
  <c r="K55" i="26"/>
  <c r="L55" i="26" s="1"/>
  <c r="H55" i="26"/>
  <c r="E55" i="26"/>
  <c r="N54" i="26"/>
  <c r="K54" i="26"/>
  <c r="L54" i="26" s="1"/>
  <c r="H54" i="26"/>
  <c r="E54" i="26"/>
  <c r="N53" i="26"/>
  <c r="O53" i="26" s="1"/>
  <c r="K53" i="26"/>
  <c r="H53" i="26"/>
  <c r="E53" i="26"/>
  <c r="F53" i="26" s="1"/>
  <c r="N52" i="26"/>
  <c r="K52" i="26"/>
  <c r="H52" i="26"/>
  <c r="E52" i="26"/>
  <c r="F52" i="26" s="1"/>
  <c r="N51" i="26"/>
  <c r="K51" i="26"/>
  <c r="H51" i="26"/>
  <c r="I51" i="26" s="1"/>
  <c r="E51" i="26"/>
  <c r="N50" i="26"/>
  <c r="K50" i="26"/>
  <c r="I50" i="26"/>
  <c r="H50" i="26"/>
  <c r="E50" i="26"/>
  <c r="N49" i="26"/>
  <c r="K49" i="26"/>
  <c r="L49" i="26" s="1"/>
  <c r="H49" i="26"/>
  <c r="E49" i="26"/>
  <c r="N48" i="26"/>
  <c r="O48" i="26" s="1"/>
  <c r="K48" i="26"/>
  <c r="H48" i="26"/>
  <c r="E48" i="26"/>
  <c r="O47" i="26"/>
  <c r="N47" i="26"/>
  <c r="K47" i="26"/>
  <c r="H47" i="26"/>
  <c r="E47" i="26"/>
  <c r="F47" i="26" s="1"/>
  <c r="N46" i="26"/>
  <c r="K46" i="26"/>
  <c r="H46" i="26"/>
  <c r="E46" i="26"/>
  <c r="N45" i="26"/>
  <c r="K45" i="26"/>
  <c r="I45" i="26"/>
  <c r="H45" i="26"/>
  <c r="E45" i="26"/>
  <c r="N44" i="26"/>
  <c r="K44" i="26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K26" i="26"/>
  <c r="J26" i="26"/>
  <c r="H26" i="26"/>
  <c r="G26" i="26"/>
  <c r="E26" i="26"/>
  <c r="D26" i="26"/>
  <c r="C26" i="26"/>
  <c r="B26" i="26"/>
  <c r="N25" i="26"/>
  <c r="M25" i="26"/>
  <c r="K25" i="26"/>
  <c r="J25" i="26"/>
  <c r="H25" i="26"/>
  <c r="G25" i="26"/>
  <c r="E25" i="26"/>
  <c r="D25" i="26"/>
  <c r="C25" i="26"/>
  <c r="B25" i="26"/>
  <c r="N24" i="26"/>
  <c r="M24" i="26"/>
  <c r="J24" i="26"/>
  <c r="H24" i="26"/>
  <c r="G24" i="26"/>
  <c r="E24" i="26"/>
  <c r="D24" i="26"/>
  <c r="C24" i="26"/>
  <c r="B24" i="26"/>
  <c r="N23" i="26"/>
  <c r="M23" i="26"/>
  <c r="K23" i="26"/>
  <c r="J23" i="26"/>
  <c r="H23" i="26"/>
  <c r="G23" i="26"/>
  <c r="E23" i="26"/>
  <c r="D23" i="26"/>
  <c r="C23" i="26"/>
  <c r="B23" i="26"/>
  <c r="N22" i="26"/>
  <c r="M22" i="26"/>
  <c r="K22" i="26"/>
  <c r="J22" i="26"/>
  <c r="H22" i="26"/>
  <c r="G22" i="26"/>
  <c r="E22" i="26"/>
  <c r="D22" i="26"/>
  <c r="C22" i="26"/>
  <c r="B22" i="26"/>
  <c r="M21" i="26"/>
  <c r="K21" i="26"/>
  <c r="J21" i="26"/>
  <c r="H21" i="26"/>
  <c r="G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I197" i="25" s="1"/>
  <c r="N198" i="25"/>
  <c r="K198" i="25"/>
  <c r="H198" i="25"/>
  <c r="I198" i="25" s="1"/>
  <c r="E198" i="25"/>
  <c r="N197" i="25"/>
  <c r="L197" i="25"/>
  <c r="K197" i="25"/>
  <c r="H197" i="25"/>
  <c r="F197" i="25"/>
  <c r="E197" i="25"/>
  <c r="N196" i="25"/>
  <c r="K196" i="25"/>
  <c r="H196" i="25"/>
  <c r="E196" i="25"/>
  <c r="N195" i="25"/>
  <c r="O195" i="25" s="1"/>
  <c r="K195" i="25"/>
  <c r="H195" i="25"/>
  <c r="E195" i="25"/>
  <c r="N194" i="25"/>
  <c r="O194" i="25" s="1"/>
  <c r="K194" i="25"/>
  <c r="H194" i="25"/>
  <c r="F194" i="25"/>
  <c r="E194" i="25"/>
  <c r="N193" i="25"/>
  <c r="K193" i="25"/>
  <c r="H193" i="25"/>
  <c r="I193" i="25" s="1"/>
  <c r="E193" i="25"/>
  <c r="N192" i="25"/>
  <c r="O192" i="25" s="1"/>
  <c r="L192" i="25"/>
  <c r="K192" i="25"/>
  <c r="H192" i="25"/>
  <c r="F192" i="25"/>
  <c r="E192" i="25"/>
  <c r="N191" i="25"/>
  <c r="K191" i="25"/>
  <c r="H191" i="25"/>
  <c r="I191" i="25" s="1"/>
  <c r="F191" i="25"/>
  <c r="E191" i="25"/>
  <c r="N190" i="25"/>
  <c r="L190" i="25"/>
  <c r="K190" i="25"/>
  <c r="H190" i="25"/>
  <c r="E190" i="25"/>
  <c r="N189" i="25"/>
  <c r="O189" i="25" s="1"/>
  <c r="K189" i="25"/>
  <c r="H189" i="25"/>
  <c r="E189" i="25"/>
  <c r="N188" i="25"/>
  <c r="K188" i="25"/>
  <c r="I188" i="25"/>
  <c r="H188" i="25"/>
  <c r="E188" i="25"/>
  <c r="N187" i="25"/>
  <c r="O187" i="25" s="1"/>
  <c r="K187" i="25"/>
  <c r="H187" i="25"/>
  <c r="F187" i="25"/>
  <c r="E187" i="25"/>
  <c r="N186" i="25"/>
  <c r="K186" i="25"/>
  <c r="H186" i="25"/>
  <c r="I186" i="25" s="1"/>
  <c r="E186" i="25"/>
  <c r="N185" i="25"/>
  <c r="O185" i="25" s="1"/>
  <c r="L185" i="25"/>
  <c r="K185" i="25"/>
  <c r="H185" i="25"/>
  <c r="F185" i="25"/>
  <c r="E185" i="25"/>
  <c r="N184" i="25"/>
  <c r="K184" i="25"/>
  <c r="H184" i="25"/>
  <c r="I184" i="25" s="1"/>
  <c r="F184" i="25"/>
  <c r="E184" i="25"/>
  <c r="N183" i="25"/>
  <c r="L183" i="25"/>
  <c r="K183" i="25"/>
  <c r="H183" i="25"/>
  <c r="E183" i="25"/>
  <c r="N182" i="25"/>
  <c r="O182" i="25" s="1"/>
  <c r="K182" i="25"/>
  <c r="H182" i="25"/>
  <c r="F182" i="25"/>
  <c r="E182" i="25"/>
  <c r="N181" i="25"/>
  <c r="K181" i="25"/>
  <c r="H181" i="25"/>
  <c r="E181" i="25"/>
  <c r="N180" i="25"/>
  <c r="O180" i="25" s="1"/>
  <c r="L180" i="25"/>
  <c r="K180" i="25"/>
  <c r="H180" i="25"/>
  <c r="F180" i="25"/>
  <c r="E180" i="25"/>
  <c r="N179" i="25"/>
  <c r="L179" i="25"/>
  <c r="K179" i="25"/>
  <c r="H179" i="25"/>
  <c r="E179" i="25"/>
  <c r="E199" i="25" s="1"/>
  <c r="M177" i="25"/>
  <c r="J177" i="25"/>
  <c r="G177" i="25"/>
  <c r="D177" i="25"/>
  <c r="B177" i="25"/>
  <c r="M176" i="25"/>
  <c r="G176" i="25"/>
  <c r="B172" i="25"/>
  <c r="F171" i="25" s="1"/>
  <c r="N171" i="25"/>
  <c r="K171" i="25"/>
  <c r="H171" i="25"/>
  <c r="I171" i="25" s="1"/>
  <c r="E171" i="25"/>
  <c r="N170" i="25"/>
  <c r="L170" i="25"/>
  <c r="L19" i="25" s="1"/>
  <c r="K170" i="25"/>
  <c r="H170" i="25"/>
  <c r="E170" i="25"/>
  <c r="E19" i="25" s="1"/>
  <c r="N169" i="25"/>
  <c r="K169" i="25"/>
  <c r="H169" i="25"/>
  <c r="I169" i="25" s="1"/>
  <c r="E169" i="25"/>
  <c r="N168" i="25"/>
  <c r="L168" i="25"/>
  <c r="K168" i="25"/>
  <c r="H168" i="25"/>
  <c r="E168" i="25"/>
  <c r="N167" i="25"/>
  <c r="K167" i="25"/>
  <c r="I167" i="25"/>
  <c r="H167" i="25"/>
  <c r="E167" i="25"/>
  <c r="N166" i="25"/>
  <c r="O166" i="25" s="1"/>
  <c r="K166" i="25"/>
  <c r="H166" i="25"/>
  <c r="F166" i="25"/>
  <c r="E166" i="25"/>
  <c r="N165" i="25"/>
  <c r="K165" i="25"/>
  <c r="H165" i="25"/>
  <c r="E165" i="25"/>
  <c r="N164" i="25"/>
  <c r="O164" i="25" s="1"/>
  <c r="K164" i="25"/>
  <c r="H164" i="25"/>
  <c r="F164" i="25"/>
  <c r="E164" i="25"/>
  <c r="N163" i="25"/>
  <c r="K163" i="25"/>
  <c r="H163" i="25"/>
  <c r="E163" i="25"/>
  <c r="N162" i="25"/>
  <c r="K162" i="25"/>
  <c r="H162" i="25"/>
  <c r="I162" i="25" s="1"/>
  <c r="E162" i="25"/>
  <c r="N161" i="25"/>
  <c r="L161" i="25"/>
  <c r="K161" i="25"/>
  <c r="H161" i="25"/>
  <c r="E161" i="25"/>
  <c r="N160" i="25"/>
  <c r="K160" i="25"/>
  <c r="H160" i="25"/>
  <c r="I160" i="25" s="1"/>
  <c r="E160" i="25"/>
  <c r="N159" i="25"/>
  <c r="L159" i="25"/>
  <c r="K159" i="25"/>
  <c r="H159" i="25"/>
  <c r="F159" i="25"/>
  <c r="E159" i="25"/>
  <c r="N158" i="25"/>
  <c r="K158" i="25"/>
  <c r="H158" i="25"/>
  <c r="E158" i="25"/>
  <c r="N157" i="25"/>
  <c r="O157" i="25" s="1"/>
  <c r="O21" i="25" s="1"/>
  <c r="K157" i="25"/>
  <c r="H157" i="25"/>
  <c r="F157" i="25"/>
  <c r="F21" i="25" s="1"/>
  <c r="E157" i="25"/>
  <c r="N156" i="25"/>
  <c r="K156" i="25"/>
  <c r="H156" i="25"/>
  <c r="E156" i="25"/>
  <c r="N155" i="25"/>
  <c r="O155" i="25" s="1"/>
  <c r="K155" i="25"/>
  <c r="H155" i="25"/>
  <c r="E155" i="25"/>
  <c r="N154" i="25"/>
  <c r="L154" i="25"/>
  <c r="K154" i="25"/>
  <c r="H154" i="25"/>
  <c r="E154" i="25"/>
  <c r="N153" i="25"/>
  <c r="K153" i="25"/>
  <c r="H153" i="25"/>
  <c r="I153" i="25" s="1"/>
  <c r="E153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4" i="25" s="1"/>
  <c r="N144" i="25"/>
  <c r="K144" i="25"/>
  <c r="H144" i="25"/>
  <c r="E144" i="25"/>
  <c r="O143" i="25"/>
  <c r="N143" i="25"/>
  <c r="K143" i="25"/>
  <c r="H143" i="25"/>
  <c r="I143" i="25" s="1"/>
  <c r="E143" i="25"/>
  <c r="N142" i="25"/>
  <c r="K142" i="25"/>
  <c r="H142" i="25"/>
  <c r="F142" i="25"/>
  <c r="E142" i="25"/>
  <c r="N141" i="25"/>
  <c r="L141" i="25"/>
  <c r="L22" i="25" s="1"/>
  <c r="K141" i="25"/>
  <c r="H141" i="25"/>
  <c r="E141" i="25"/>
  <c r="E22" i="25" s="1"/>
  <c r="N140" i="25"/>
  <c r="K140" i="25"/>
  <c r="H140" i="25"/>
  <c r="E140" i="25"/>
  <c r="O139" i="25"/>
  <c r="N139" i="25"/>
  <c r="K139" i="25"/>
  <c r="H139" i="25"/>
  <c r="I139" i="25" s="1"/>
  <c r="E139" i="25"/>
  <c r="N138" i="25"/>
  <c r="K138" i="25"/>
  <c r="H138" i="25"/>
  <c r="F138" i="25"/>
  <c r="E138" i="25"/>
  <c r="N137" i="25"/>
  <c r="L137" i="25"/>
  <c r="K137" i="25"/>
  <c r="H137" i="25"/>
  <c r="E137" i="25"/>
  <c r="N136" i="25"/>
  <c r="K136" i="25"/>
  <c r="H136" i="25"/>
  <c r="E136" i="25"/>
  <c r="O135" i="25"/>
  <c r="N135" i="25"/>
  <c r="K135" i="25"/>
  <c r="H135" i="25"/>
  <c r="I135" i="25" s="1"/>
  <c r="E135" i="25"/>
  <c r="N134" i="25"/>
  <c r="K134" i="25"/>
  <c r="H134" i="25"/>
  <c r="F134" i="25"/>
  <c r="E134" i="25"/>
  <c r="N133" i="25"/>
  <c r="L133" i="25"/>
  <c r="K133" i="25"/>
  <c r="H133" i="25"/>
  <c r="E133" i="25"/>
  <c r="N132" i="25"/>
  <c r="K132" i="25"/>
  <c r="H132" i="25"/>
  <c r="E132" i="25"/>
  <c r="O131" i="25"/>
  <c r="N131" i="25"/>
  <c r="K131" i="25"/>
  <c r="H131" i="25"/>
  <c r="I131" i="25" s="1"/>
  <c r="E131" i="25"/>
  <c r="N130" i="25"/>
  <c r="K130" i="25"/>
  <c r="H130" i="25"/>
  <c r="F130" i="25"/>
  <c r="E130" i="25"/>
  <c r="N129" i="25"/>
  <c r="L129" i="25"/>
  <c r="K129" i="25"/>
  <c r="H129" i="25"/>
  <c r="E129" i="25"/>
  <c r="N128" i="25"/>
  <c r="K128" i="25"/>
  <c r="H128" i="25"/>
  <c r="E128" i="25"/>
  <c r="O127" i="25"/>
  <c r="N127" i="25"/>
  <c r="K127" i="25"/>
  <c r="H127" i="25"/>
  <c r="I127" i="25" s="1"/>
  <c r="E127" i="25"/>
  <c r="N126" i="25"/>
  <c r="K126" i="25"/>
  <c r="H126" i="25"/>
  <c r="F126" i="25"/>
  <c r="E126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 s="1"/>
  <c r="N117" i="25"/>
  <c r="K117" i="25"/>
  <c r="H117" i="25"/>
  <c r="E117" i="25"/>
  <c r="O116" i="25"/>
  <c r="N116" i="25"/>
  <c r="K116" i="25"/>
  <c r="H116" i="25"/>
  <c r="I116" i="25" s="1"/>
  <c r="E116" i="25"/>
  <c r="N115" i="25"/>
  <c r="K115" i="25"/>
  <c r="H115" i="25"/>
  <c r="F115" i="25"/>
  <c r="E115" i="25"/>
  <c r="N114" i="25"/>
  <c r="L114" i="25"/>
  <c r="K114" i="25"/>
  <c r="H114" i="25"/>
  <c r="E114" i="25"/>
  <c r="N113" i="25"/>
  <c r="K113" i="25"/>
  <c r="H113" i="25"/>
  <c r="E113" i="25"/>
  <c r="N112" i="25"/>
  <c r="K112" i="25"/>
  <c r="H112" i="25"/>
  <c r="E112" i="25"/>
  <c r="N111" i="25"/>
  <c r="K111" i="25"/>
  <c r="H111" i="25"/>
  <c r="E111" i="25"/>
  <c r="N110" i="25"/>
  <c r="K110" i="25"/>
  <c r="H110" i="25"/>
  <c r="E110" i="25"/>
  <c r="N109" i="25"/>
  <c r="K109" i="25"/>
  <c r="H109" i="25"/>
  <c r="E109" i="25"/>
  <c r="N108" i="25"/>
  <c r="K108" i="25"/>
  <c r="H108" i="25"/>
  <c r="E108" i="25"/>
  <c r="N107" i="25"/>
  <c r="K107" i="25"/>
  <c r="H107" i="25"/>
  <c r="E107" i="25"/>
  <c r="N106" i="25"/>
  <c r="K106" i="25"/>
  <c r="H106" i="25"/>
  <c r="E106" i="25"/>
  <c r="O105" i="25"/>
  <c r="N105" i="25"/>
  <c r="K105" i="25"/>
  <c r="H105" i="25"/>
  <c r="I105" i="25" s="1"/>
  <c r="E105" i="25"/>
  <c r="N104" i="25"/>
  <c r="K104" i="25"/>
  <c r="H104" i="25"/>
  <c r="F104" i="25"/>
  <c r="E104" i="25"/>
  <c r="N103" i="25"/>
  <c r="L103" i="25"/>
  <c r="K103" i="25"/>
  <c r="H103" i="25"/>
  <c r="E103" i="25"/>
  <c r="N102" i="25"/>
  <c r="K102" i="25"/>
  <c r="H102" i="25"/>
  <c r="E102" i="25"/>
  <c r="N101" i="25"/>
  <c r="K101" i="25"/>
  <c r="H101" i="25"/>
  <c r="E101" i="25"/>
  <c r="N100" i="25"/>
  <c r="K100" i="25"/>
  <c r="H100" i="25"/>
  <c r="E100" i="25"/>
  <c r="O99" i="25"/>
  <c r="N99" i="25"/>
  <c r="K99" i="25"/>
  <c r="H99" i="25"/>
  <c r="I99" i="25" s="1"/>
  <c r="E99" i="25"/>
  <c r="N98" i="25"/>
  <c r="N118" i="25" s="1"/>
  <c r="K98" i="25"/>
  <c r="H98" i="25"/>
  <c r="F98" i="25"/>
  <c r="E98" i="25"/>
  <c r="M96" i="25"/>
  <c r="J96" i="25"/>
  <c r="G96" i="25"/>
  <c r="D96" i="25"/>
  <c r="B96" i="25"/>
  <c r="M95" i="25"/>
  <c r="G95" i="25"/>
  <c r="B91" i="25"/>
  <c r="L89" i="25" s="1"/>
  <c r="N90" i="25"/>
  <c r="K90" i="25"/>
  <c r="I90" i="25"/>
  <c r="H90" i="25"/>
  <c r="E90" i="25"/>
  <c r="N89" i="25"/>
  <c r="O89" i="25" s="1"/>
  <c r="K89" i="25"/>
  <c r="H89" i="25"/>
  <c r="I89" i="25" s="1"/>
  <c r="F89" i="25"/>
  <c r="E89" i="25"/>
  <c r="N88" i="25"/>
  <c r="L88" i="25"/>
  <c r="K88" i="25"/>
  <c r="H88" i="25"/>
  <c r="E88" i="25"/>
  <c r="N87" i="25"/>
  <c r="O87" i="25" s="1"/>
  <c r="K87" i="25"/>
  <c r="H87" i="25"/>
  <c r="I87" i="25" s="1"/>
  <c r="F87" i="25"/>
  <c r="E87" i="25"/>
  <c r="N86" i="25"/>
  <c r="L86" i="25"/>
  <c r="K86" i="25"/>
  <c r="H86" i="25"/>
  <c r="F86" i="25"/>
  <c r="E86" i="25"/>
  <c r="N85" i="25"/>
  <c r="K85" i="25"/>
  <c r="K20" i="25" s="1"/>
  <c r="H85" i="25"/>
  <c r="I85" i="25" s="1"/>
  <c r="I20" i="25" s="1"/>
  <c r="E85" i="25"/>
  <c r="N84" i="25"/>
  <c r="O84" i="25" s="1"/>
  <c r="L84" i="25"/>
  <c r="K84" i="25"/>
  <c r="H84" i="25"/>
  <c r="F84" i="25"/>
  <c r="E84" i="25"/>
  <c r="N83" i="25"/>
  <c r="K83" i="25"/>
  <c r="H83" i="25"/>
  <c r="I83" i="25" s="1"/>
  <c r="I18" i="25" s="1"/>
  <c r="E83" i="25"/>
  <c r="N82" i="25"/>
  <c r="O82" i="25" s="1"/>
  <c r="L82" i="25"/>
  <c r="K82" i="25"/>
  <c r="H82" i="25"/>
  <c r="F82" i="25"/>
  <c r="E82" i="25"/>
  <c r="N81" i="25"/>
  <c r="L81" i="25"/>
  <c r="K81" i="25"/>
  <c r="H81" i="25"/>
  <c r="E81" i="25"/>
  <c r="N80" i="25"/>
  <c r="O80" i="25" s="1"/>
  <c r="K80" i="25"/>
  <c r="H80" i="25"/>
  <c r="I80" i="25" s="1"/>
  <c r="F80" i="25"/>
  <c r="E80" i="25"/>
  <c r="N79" i="25"/>
  <c r="L79" i="25"/>
  <c r="K79" i="25"/>
  <c r="H79" i="25"/>
  <c r="E79" i="25"/>
  <c r="N78" i="25"/>
  <c r="O78" i="25" s="1"/>
  <c r="K78" i="25"/>
  <c r="I78" i="25"/>
  <c r="H78" i="25"/>
  <c r="E78" i="25"/>
  <c r="N77" i="25"/>
  <c r="O77" i="25" s="1"/>
  <c r="L77" i="25"/>
  <c r="K77" i="25"/>
  <c r="H77" i="25"/>
  <c r="F77" i="25"/>
  <c r="E77" i="25"/>
  <c r="N76" i="25"/>
  <c r="K76" i="25"/>
  <c r="H76" i="25"/>
  <c r="I76" i="25" s="1"/>
  <c r="E76" i="25"/>
  <c r="N75" i="25"/>
  <c r="O75" i="25" s="1"/>
  <c r="L75" i="25"/>
  <c r="K75" i="25"/>
  <c r="H75" i="25"/>
  <c r="F75" i="25"/>
  <c r="E75" i="25"/>
  <c r="N74" i="25"/>
  <c r="K74" i="25"/>
  <c r="I74" i="25"/>
  <c r="H74" i="25"/>
  <c r="E74" i="25"/>
  <c r="N73" i="25"/>
  <c r="O73" i="25" s="1"/>
  <c r="K73" i="25"/>
  <c r="H73" i="25"/>
  <c r="I73" i="25" s="1"/>
  <c r="F73" i="25"/>
  <c r="E73" i="25"/>
  <c r="N72" i="25"/>
  <c r="L72" i="25"/>
  <c r="K72" i="25"/>
  <c r="H72" i="25"/>
  <c r="E72" i="25"/>
  <c r="N71" i="25"/>
  <c r="K71" i="25"/>
  <c r="H71" i="25"/>
  <c r="F71" i="25"/>
  <c r="E71" i="25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E62" i="25"/>
  <c r="F62" i="25" s="1"/>
  <c r="N61" i="25"/>
  <c r="O61" i="25" s="1"/>
  <c r="L61" i="25"/>
  <c r="K61" i="25"/>
  <c r="H61" i="25"/>
  <c r="I61" i="25" s="1"/>
  <c r="F61" i="25"/>
  <c r="E61" i="25"/>
  <c r="N60" i="25"/>
  <c r="O60" i="25" s="1"/>
  <c r="L60" i="25"/>
  <c r="K60" i="25"/>
  <c r="H60" i="25"/>
  <c r="I60" i="25" s="1"/>
  <c r="E60" i="25"/>
  <c r="F60" i="25" s="1"/>
  <c r="N59" i="25"/>
  <c r="O59" i="25" s="1"/>
  <c r="K59" i="25"/>
  <c r="L59" i="25" s="1"/>
  <c r="I59" i="25"/>
  <c r="H59" i="25"/>
  <c r="E59" i="25"/>
  <c r="F59" i="25" s="1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E57" i="25"/>
  <c r="F57" i="25" s="1"/>
  <c r="N56" i="25"/>
  <c r="O56" i="25" s="1"/>
  <c r="L56" i="25"/>
  <c r="K56" i="25"/>
  <c r="H56" i="25"/>
  <c r="I56" i="25" s="1"/>
  <c r="F56" i="25"/>
  <c r="E56" i="25"/>
  <c r="N55" i="25"/>
  <c r="O55" i="25" s="1"/>
  <c r="O17" i="25" s="1"/>
  <c r="K55" i="25"/>
  <c r="L55" i="25" s="1"/>
  <c r="L17" i="25" s="1"/>
  <c r="I55" i="25"/>
  <c r="I17" i="25" s="1"/>
  <c r="H55" i="25"/>
  <c r="E55" i="25"/>
  <c r="E17" i="25" s="1"/>
  <c r="N54" i="25"/>
  <c r="O54" i="25" s="1"/>
  <c r="K54" i="25"/>
  <c r="L54" i="25" s="1"/>
  <c r="H54" i="25"/>
  <c r="I54" i="25" s="1"/>
  <c r="F54" i="25"/>
  <c r="E54" i="25"/>
  <c r="N53" i="25"/>
  <c r="O53" i="25" s="1"/>
  <c r="L53" i="25"/>
  <c r="K53" i="25"/>
  <c r="H53" i="25"/>
  <c r="I53" i="25" s="1"/>
  <c r="E53" i="25"/>
  <c r="F53" i="25" s="1"/>
  <c r="N52" i="25"/>
  <c r="O52" i="25" s="1"/>
  <c r="K52" i="25"/>
  <c r="L52" i="25" s="1"/>
  <c r="I52" i="25"/>
  <c r="H52" i="25"/>
  <c r="E52" i="25"/>
  <c r="F52" i="25" s="1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E50" i="25"/>
  <c r="F50" i="25" s="1"/>
  <c r="N49" i="25"/>
  <c r="O49" i="25" s="1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K47" i="25"/>
  <c r="L47" i="25" s="1"/>
  <c r="I47" i="25"/>
  <c r="H47" i="25"/>
  <c r="E47" i="25"/>
  <c r="F47" i="25" s="1"/>
  <c r="N46" i="25"/>
  <c r="O46" i="25" s="1"/>
  <c r="K46" i="25"/>
  <c r="L46" i="25" s="1"/>
  <c r="H46" i="25"/>
  <c r="I46" i="25" s="1"/>
  <c r="F46" i="25"/>
  <c r="E46" i="25"/>
  <c r="N45" i="25"/>
  <c r="O45" i="25" s="1"/>
  <c r="L45" i="25"/>
  <c r="K45" i="25"/>
  <c r="H45" i="25"/>
  <c r="I45" i="25" s="1"/>
  <c r="E45" i="25"/>
  <c r="F45" i="25" s="1"/>
  <c r="N44" i="25"/>
  <c r="K44" i="25"/>
  <c r="I44" i="25"/>
  <c r="H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N22" i="25"/>
  <c r="M22" i="25"/>
  <c r="K22" i="25"/>
  <c r="J22" i="25"/>
  <c r="H22" i="25"/>
  <c r="G22" i="25"/>
  <c r="D22" i="25"/>
  <c r="C22" i="25"/>
  <c r="B22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D17" i="25"/>
  <c r="C17" i="25"/>
  <c r="B17" i="25"/>
  <c r="M15" i="25"/>
  <c r="J15" i="25"/>
  <c r="G15" i="25"/>
  <c r="D15" i="25"/>
  <c r="B15" i="25"/>
  <c r="M14" i="25"/>
  <c r="G14" i="25"/>
  <c r="B199" i="24"/>
  <c r="L194" i="24" s="1"/>
  <c r="N198" i="24"/>
  <c r="K198" i="24"/>
  <c r="H198" i="24"/>
  <c r="I198" i="24" s="1"/>
  <c r="E198" i="24"/>
  <c r="N197" i="24"/>
  <c r="K197" i="24"/>
  <c r="H197" i="24"/>
  <c r="F197" i="24"/>
  <c r="E197" i="24"/>
  <c r="N196" i="24"/>
  <c r="K196" i="24"/>
  <c r="L196" i="24" s="1"/>
  <c r="H196" i="24"/>
  <c r="E196" i="24"/>
  <c r="N195" i="24"/>
  <c r="O195" i="24" s="1"/>
  <c r="K195" i="24"/>
  <c r="H195" i="24"/>
  <c r="E195" i="24"/>
  <c r="N194" i="24"/>
  <c r="O194" i="24" s="1"/>
  <c r="K194" i="24"/>
  <c r="H194" i="24"/>
  <c r="E194" i="24"/>
  <c r="N193" i="24"/>
  <c r="K193" i="24"/>
  <c r="H193" i="24"/>
  <c r="I193" i="24" s="1"/>
  <c r="F193" i="24"/>
  <c r="E193" i="24"/>
  <c r="N192" i="24"/>
  <c r="K192" i="24"/>
  <c r="L192" i="24" s="1"/>
  <c r="H192" i="24"/>
  <c r="E192" i="24"/>
  <c r="N191" i="24"/>
  <c r="K191" i="24"/>
  <c r="H191" i="24"/>
  <c r="E191" i="24"/>
  <c r="N190" i="24"/>
  <c r="O190" i="24" s="1"/>
  <c r="K190" i="24"/>
  <c r="H190" i="24"/>
  <c r="F190" i="24"/>
  <c r="E190" i="24"/>
  <c r="N189" i="24"/>
  <c r="K189" i="24"/>
  <c r="L189" i="24" s="1"/>
  <c r="H189" i="24"/>
  <c r="I189" i="24" s="1"/>
  <c r="E189" i="24"/>
  <c r="N188" i="24"/>
  <c r="K188" i="24"/>
  <c r="H188" i="24"/>
  <c r="E188" i="24"/>
  <c r="O187" i="24"/>
  <c r="N187" i="24"/>
  <c r="K187" i="24"/>
  <c r="H187" i="24"/>
  <c r="E187" i="24"/>
  <c r="N186" i="24"/>
  <c r="O186" i="24" s="1"/>
  <c r="K186" i="24"/>
  <c r="H186" i="24"/>
  <c r="F186" i="24"/>
  <c r="E186" i="24"/>
  <c r="N185" i="24"/>
  <c r="K185" i="24"/>
  <c r="H185" i="24"/>
  <c r="E185" i="24"/>
  <c r="N184" i="24"/>
  <c r="K184" i="24"/>
  <c r="H184" i="24"/>
  <c r="I184" i="24" s="1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E182" i="24"/>
  <c r="O181" i="24"/>
  <c r="N181" i="24"/>
  <c r="K181" i="24"/>
  <c r="H181" i="24"/>
  <c r="F181" i="24"/>
  <c r="E181" i="24"/>
  <c r="N180" i="24"/>
  <c r="K180" i="24"/>
  <c r="H180" i="24"/>
  <c r="I180" i="24" s="1"/>
  <c r="E180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E170" i="24"/>
  <c r="F170" i="24" s="1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N167" i="24"/>
  <c r="O167" i="24" s="1"/>
  <c r="L167" i="24"/>
  <c r="K167" i="24"/>
  <c r="H167" i="24"/>
  <c r="E167" i="24"/>
  <c r="F167" i="24" s="1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E163" i="24"/>
  <c r="F163" i="24" s="1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N160" i="24"/>
  <c r="O160" i="24" s="1"/>
  <c r="K160" i="24"/>
  <c r="L160" i="24" s="1"/>
  <c r="H160" i="24"/>
  <c r="E160" i="24"/>
  <c r="N159" i="24"/>
  <c r="O159" i="24" s="1"/>
  <c r="K159" i="24"/>
  <c r="H159" i="24"/>
  <c r="I159" i="24" s="1"/>
  <c r="E159" i="24"/>
  <c r="N158" i="24"/>
  <c r="O158" i="24" s="1"/>
  <c r="K158" i="24"/>
  <c r="H158" i="24"/>
  <c r="E158" i="24"/>
  <c r="F158" i="24" s="1"/>
  <c r="O157" i="24"/>
  <c r="N157" i="24"/>
  <c r="K157" i="24"/>
  <c r="L157" i="24" s="1"/>
  <c r="H157" i="24"/>
  <c r="I157" i="24" s="1"/>
  <c r="E157" i="24"/>
  <c r="N156" i="24"/>
  <c r="O156" i="24" s="1"/>
  <c r="K156" i="24"/>
  <c r="H156" i="24"/>
  <c r="E156" i="24"/>
  <c r="F156" i="24" s="1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N152" i="24"/>
  <c r="O152" i="24" s="1"/>
  <c r="K152" i="24"/>
  <c r="H152" i="24"/>
  <c r="E152" i="24"/>
  <c r="E172" i="24" s="1"/>
  <c r="M150" i="24"/>
  <c r="J150" i="24"/>
  <c r="G150" i="24"/>
  <c r="D150" i="24"/>
  <c r="B150" i="24"/>
  <c r="M149" i="24"/>
  <c r="G149" i="24"/>
  <c r="B145" i="24"/>
  <c r="F144" i="24" s="1"/>
  <c r="N144" i="24"/>
  <c r="K144" i="24"/>
  <c r="H144" i="24"/>
  <c r="E144" i="24"/>
  <c r="N143" i="24"/>
  <c r="K143" i="24"/>
  <c r="H143" i="24"/>
  <c r="E143" i="24"/>
  <c r="N142" i="24"/>
  <c r="K142" i="24"/>
  <c r="H142" i="24"/>
  <c r="F142" i="24"/>
  <c r="E142" i="24"/>
  <c r="N141" i="24"/>
  <c r="K141" i="24"/>
  <c r="L141" i="24" s="1"/>
  <c r="H141" i="24"/>
  <c r="E141" i="24"/>
  <c r="N140" i="24"/>
  <c r="O140" i="24" s="1"/>
  <c r="K140" i="24"/>
  <c r="H140" i="24"/>
  <c r="F140" i="24"/>
  <c r="E140" i="24"/>
  <c r="N139" i="24"/>
  <c r="K139" i="24"/>
  <c r="H139" i="24"/>
  <c r="I139" i="24" s="1"/>
  <c r="E139" i="24"/>
  <c r="N138" i="24"/>
  <c r="K138" i="24"/>
  <c r="H138" i="24"/>
  <c r="E138" i="24"/>
  <c r="N137" i="24"/>
  <c r="K137" i="24"/>
  <c r="H137" i="24"/>
  <c r="F137" i="24"/>
  <c r="E137" i="24"/>
  <c r="N136" i="24"/>
  <c r="L136" i="24"/>
  <c r="K136" i="24"/>
  <c r="H136" i="24"/>
  <c r="E136" i="24"/>
  <c r="N135" i="24"/>
  <c r="K135" i="24"/>
  <c r="H135" i="24"/>
  <c r="F135" i="24"/>
  <c r="E135" i="24"/>
  <c r="N134" i="24"/>
  <c r="K134" i="24"/>
  <c r="L134" i="24" s="1"/>
  <c r="H134" i="24"/>
  <c r="E134" i="24"/>
  <c r="N133" i="24"/>
  <c r="O133" i="24" s="1"/>
  <c r="K133" i="24"/>
  <c r="H133" i="24"/>
  <c r="E133" i="24"/>
  <c r="N132" i="24"/>
  <c r="K132" i="24"/>
  <c r="H132" i="24"/>
  <c r="E132" i="24"/>
  <c r="O131" i="24"/>
  <c r="N131" i="24"/>
  <c r="K131" i="24"/>
  <c r="H131" i="24"/>
  <c r="F131" i="24"/>
  <c r="E131" i="24"/>
  <c r="N130" i="24"/>
  <c r="K130" i="24"/>
  <c r="H130" i="24"/>
  <c r="I130" i="24" s="1"/>
  <c r="E130" i="24"/>
  <c r="N129" i="24"/>
  <c r="K129" i="24"/>
  <c r="H129" i="24"/>
  <c r="E129" i="24"/>
  <c r="N128" i="24"/>
  <c r="K128" i="24"/>
  <c r="H128" i="24"/>
  <c r="I128" i="24" s="1"/>
  <c r="E128" i="24"/>
  <c r="N127" i="24"/>
  <c r="K127" i="24"/>
  <c r="H127" i="24"/>
  <c r="E127" i="24"/>
  <c r="N126" i="24"/>
  <c r="K126" i="24"/>
  <c r="H126" i="24"/>
  <c r="F126" i="24"/>
  <c r="E126" i="24"/>
  <c r="N125" i="24"/>
  <c r="K125" i="24"/>
  <c r="H125" i="24"/>
  <c r="E125" i="24"/>
  <c r="M123" i="24"/>
  <c r="J123" i="24"/>
  <c r="G123" i="24"/>
  <c r="D123" i="24"/>
  <c r="B123" i="24"/>
  <c r="M122" i="24"/>
  <c r="G122" i="24"/>
  <c r="B118" i="24"/>
  <c r="I113" i="24" s="1"/>
  <c r="N117" i="24"/>
  <c r="O117" i="24" s="1"/>
  <c r="L117" i="24"/>
  <c r="K117" i="24"/>
  <c r="H117" i="24"/>
  <c r="I117" i="24" s="1"/>
  <c r="F117" i="24"/>
  <c r="E117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E115" i="24"/>
  <c r="F115" i="24" s="1"/>
  <c r="N114" i="24"/>
  <c r="O114" i="24" s="1"/>
  <c r="K114" i="24"/>
  <c r="H114" i="24"/>
  <c r="I114" i="24" s="1"/>
  <c r="F114" i="24"/>
  <c r="E114" i="24"/>
  <c r="N113" i="24"/>
  <c r="O113" i="24" s="1"/>
  <c r="K113" i="24"/>
  <c r="L113" i="24" s="1"/>
  <c r="H113" i="24"/>
  <c r="F113" i="24"/>
  <c r="E113" i="24"/>
  <c r="N112" i="24"/>
  <c r="K112" i="24"/>
  <c r="L112" i="24" s="1"/>
  <c r="I112" i="24"/>
  <c r="H112" i="24"/>
  <c r="E112" i="24"/>
  <c r="F112" i="24" s="1"/>
  <c r="N111" i="24"/>
  <c r="O111" i="24" s="1"/>
  <c r="K111" i="24"/>
  <c r="H111" i="24"/>
  <c r="I111" i="24" s="1"/>
  <c r="F111" i="24"/>
  <c r="E111" i="24"/>
  <c r="N110" i="24"/>
  <c r="O110" i="24" s="1"/>
  <c r="K110" i="24"/>
  <c r="L110" i="24" s="1"/>
  <c r="I110" i="24"/>
  <c r="H110" i="24"/>
  <c r="E110" i="24"/>
  <c r="F110" i="24" s="1"/>
  <c r="O109" i="24"/>
  <c r="N109" i="24"/>
  <c r="K109" i="24"/>
  <c r="L109" i="24" s="1"/>
  <c r="I109" i="24"/>
  <c r="H109" i="24"/>
  <c r="E109" i="24"/>
  <c r="O108" i="24"/>
  <c r="N108" i="24"/>
  <c r="K108" i="24"/>
  <c r="H108" i="24"/>
  <c r="I108" i="24" s="1"/>
  <c r="F108" i="24"/>
  <c r="E108" i="24"/>
  <c r="N107" i="24"/>
  <c r="O107" i="24" s="1"/>
  <c r="K107" i="24"/>
  <c r="L107" i="24" s="1"/>
  <c r="I107" i="24"/>
  <c r="H107" i="24"/>
  <c r="E107" i="24"/>
  <c r="F107" i="24" s="1"/>
  <c r="N106" i="24"/>
  <c r="O106" i="24" s="1"/>
  <c r="K106" i="24"/>
  <c r="H106" i="24"/>
  <c r="I106" i="24" s="1"/>
  <c r="F106" i="24"/>
  <c r="E106" i="24"/>
  <c r="N105" i="24"/>
  <c r="O105" i="24" s="1"/>
  <c r="K105" i="24"/>
  <c r="L105" i="24" s="1"/>
  <c r="H105" i="24"/>
  <c r="E105" i="24"/>
  <c r="F105" i="24" s="1"/>
  <c r="N104" i="24"/>
  <c r="O104" i="24" s="1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E103" i="24"/>
  <c r="O102" i="24"/>
  <c r="N102" i="24"/>
  <c r="K102" i="24"/>
  <c r="H102" i="24"/>
  <c r="I102" i="24" s="1"/>
  <c r="F102" i="24"/>
  <c r="E102" i="24"/>
  <c r="N101" i="24"/>
  <c r="K101" i="24"/>
  <c r="L101" i="24" s="1"/>
  <c r="H101" i="24"/>
  <c r="I101" i="24" s="1"/>
  <c r="F101" i="24"/>
  <c r="E101" i="24"/>
  <c r="N100" i="24"/>
  <c r="O100" i="24" s="1"/>
  <c r="L100" i="24"/>
  <c r="K100" i="24"/>
  <c r="H100" i="24"/>
  <c r="I100" i="24" s="1"/>
  <c r="F100" i="24"/>
  <c r="E100" i="24"/>
  <c r="N99" i="24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O89" i="24" s="1"/>
  <c r="N90" i="24"/>
  <c r="K90" i="24"/>
  <c r="H90" i="24"/>
  <c r="E90" i="24"/>
  <c r="F90" i="24" s="1"/>
  <c r="N89" i="24"/>
  <c r="K89" i="24"/>
  <c r="H89" i="24"/>
  <c r="I89" i="24" s="1"/>
  <c r="E89" i="24"/>
  <c r="N88" i="24"/>
  <c r="K88" i="24"/>
  <c r="L88" i="24" s="1"/>
  <c r="H88" i="24"/>
  <c r="E88" i="24"/>
  <c r="N87" i="24"/>
  <c r="O87" i="24" s="1"/>
  <c r="K87" i="24"/>
  <c r="H87" i="24"/>
  <c r="E87" i="24"/>
  <c r="F87" i="24" s="1"/>
  <c r="N86" i="24"/>
  <c r="K86" i="24"/>
  <c r="H86" i="24"/>
  <c r="I86" i="24" s="1"/>
  <c r="E86" i="24"/>
  <c r="N85" i="24"/>
  <c r="K85" i="24"/>
  <c r="H85" i="24"/>
  <c r="E85" i="24"/>
  <c r="N84" i="24"/>
  <c r="K84" i="24"/>
  <c r="H84" i="24"/>
  <c r="E84" i="24"/>
  <c r="F84" i="24" s="1"/>
  <c r="N83" i="24"/>
  <c r="K83" i="24"/>
  <c r="H83" i="24"/>
  <c r="E83" i="24"/>
  <c r="F83" i="24" s="1"/>
  <c r="N82" i="24"/>
  <c r="K82" i="24"/>
  <c r="H82" i="24"/>
  <c r="E82" i="24"/>
  <c r="F82" i="24" s="1"/>
  <c r="N81" i="24"/>
  <c r="K81" i="24"/>
  <c r="H81" i="24"/>
  <c r="I81" i="24" s="1"/>
  <c r="E81" i="24"/>
  <c r="N80" i="24"/>
  <c r="K80" i="24"/>
  <c r="L80" i="24" s="1"/>
  <c r="H80" i="24"/>
  <c r="E80" i="24"/>
  <c r="N79" i="24"/>
  <c r="O79" i="24" s="1"/>
  <c r="K79" i="24"/>
  <c r="H79" i="24"/>
  <c r="E79" i="24"/>
  <c r="O78" i="24"/>
  <c r="N78" i="24"/>
  <c r="K78" i="24"/>
  <c r="H78" i="24"/>
  <c r="I78" i="24" s="1"/>
  <c r="E78" i="24"/>
  <c r="N77" i="24"/>
  <c r="K77" i="24"/>
  <c r="H77" i="24"/>
  <c r="I77" i="24" s="1"/>
  <c r="E77" i="24"/>
  <c r="N76" i="24"/>
  <c r="K76" i="24"/>
  <c r="H76" i="24"/>
  <c r="E76" i="24"/>
  <c r="N75" i="24"/>
  <c r="O75" i="24" s="1"/>
  <c r="K75" i="24"/>
  <c r="H75" i="24"/>
  <c r="E75" i="24"/>
  <c r="N74" i="24"/>
  <c r="O74" i="24" s="1"/>
  <c r="K74" i="24"/>
  <c r="H74" i="24"/>
  <c r="E74" i="24"/>
  <c r="O73" i="24"/>
  <c r="N73" i="24"/>
  <c r="K73" i="24"/>
  <c r="H73" i="24"/>
  <c r="E73" i="24"/>
  <c r="F73" i="24" s="1"/>
  <c r="N72" i="24"/>
  <c r="K72" i="24"/>
  <c r="I72" i="24"/>
  <c r="H72" i="24"/>
  <c r="E72" i="24"/>
  <c r="N71" i="24"/>
  <c r="L71" i="24"/>
  <c r="K71" i="24"/>
  <c r="K18" i="24" s="1"/>
  <c r="H71" i="24"/>
  <c r="E71" i="24"/>
  <c r="M69" i="24"/>
  <c r="J69" i="24"/>
  <c r="G69" i="24"/>
  <c r="D69" i="24"/>
  <c r="B69" i="24"/>
  <c r="M68" i="24"/>
  <c r="G68" i="24"/>
  <c r="B64" i="24"/>
  <c r="O63" i="24"/>
  <c r="N63" i="24"/>
  <c r="K63" i="24"/>
  <c r="H63" i="24"/>
  <c r="I63" i="24" s="1"/>
  <c r="E63" i="24"/>
  <c r="O62" i="24"/>
  <c r="N62" i="24"/>
  <c r="K62" i="24"/>
  <c r="L62" i="24" s="1"/>
  <c r="H62" i="24"/>
  <c r="E62" i="24"/>
  <c r="N61" i="24"/>
  <c r="O61" i="24" s="1"/>
  <c r="K61" i="24"/>
  <c r="H61" i="24"/>
  <c r="E61" i="24"/>
  <c r="O60" i="24"/>
  <c r="N60" i="24"/>
  <c r="K60" i="24"/>
  <c r="H60" i="24"/>
  <c r="E60" i="24"/>
  <c r="F60" i="24" s="1"/>
  <c r="N59" i="24"/>
  <c r="K59" i="24"/>
  <c r="H59" i="24"/>
  <c r="I59" i="24" s="1"/>
  <c r="E59" i="24"/>
  <c r="N58" i="24"/>
  <c r="K58" i="24"/>
  <c r="L58" i="24" s="1"/>
  <c r="L22" i="24" s="1"/>
  <c r="H58" i="24"/>
  <c r="E58" i="24"/>
  <c r="N57" i="24"/>
  <c r="O57" i="24" s="1"/>
  <c r="K57" i="24"/>
  <c r="H57" i="24"/>
  <c r="E57" i="24"/>
  <c r="N56" i="24"/>
  <c r="N17" i="24" s="1"/>
  <c r="K56" i="24"/>
  <c r="H56" i="24"/>
  <c r="H17" i="24" s="1"/>
  <c r="E56" i="24"/>
  <c r="F56" i="24" s="1"/>
  <c r="F17" i="24" s="1"/>
  <c r="N55" i="24"/>
  <c r="K55" i="24"/>
  <c r="H55" i="24"/>
  <c r="I55" i="24" s="1"/>
  <c r="E55" i="24"/>
  <c r="N54" i="24"/>
  <c r="O54" i="24" s="1"/>
  <c r="L54" i="24"/>
  <c r="K54" i="24"/>
  <c r="H54" i="24"/>
  <c r="E54" i="24"/>
  <c r="F54" i="24" s="1"/>
  <c r="O53" i="24"/>
  <c r="N53" i="24"/>
  <c r="K53" i="24"/>
  <c r="I53" i="24"/>
  <c r="H53" i="24"/>
  <c r="E53" i="24"/>
  <c r="N52" i="24"/>
  <c r="O52" i="24" s="1"/>
  <c r="K52" i="24"/>
  <c r="L52" i="24" s="1"/>
  <c r="H52" i="24"/>
  <c r="E52" i="24"/>
  <c r="N51" i="24"/>
  <c r="O51" i="24" s="1"/>
  <c r="K51" i="24"/>
  <c r="H51" i="24"/>
  <c r="E51" i="24"/>
  <c r="F51" i="24" s="1"/>
  <c r="O50" i="24"/>
  <c r="N50" i="24"/>
  <c r="K50" i="24"/>
  <c r="H50" i="24"/>
  <c r="I50" i="24" s="1"/>
  <c r="E50" i="24"/>
  <c r="N49" i="24"/>
  <c r="K49" i="24"/>
  <c r="H49" i="24"/>
  <c r="E49" i="24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N45" i="24"/>
  <c r="O45" i="24" s="1"/>
  <c r="K45" i="24"/>
  <c r="H45" i="24"/>
  <c r="E45" i="24"/>
  <c r="F45" i="24" s="1"/>
  <c r="O44" i="24"/>
  <c r="N44" i="24"/>
  <c r="K44" i="24"/>
  <c r="H44" i="24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J22" i="24"/>
  <c r="H22" i="24"/>
  <c r="G22" i="24"/>
  <c r="D22" i="24"/>
  <c r="C22" i="24"/>
  <c r="B22" i="24"/>
  <c r="N21" i="24"/>
  <c r="M21" i="24"/>
  <c r="J21" i="24"/>
  <c r="H21" i="24"/>
  <c r="G21" i="24"/>
  <c r="E21" i="24"/>
  <c r="D21" i="24"/>
  <c r="C21" i="24"/>
  <c r="B21" i="24"/>
  <c r="M20" i="24"/>
  <c r="K20" i="24"/>
  <c r="J20" i="24"/>
  <c r="H20" i="24"/>
  <c r="G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3" l="1"/>
  <c r="L179" i="43"/>
  <c r="L199" i="43" s="1"/>
  <c r="L152" i="43"/>
  <c r="L172" i="43" s="1"/>
  <c r="K145" i="43"/>
  <c r="L145" i="43"/>
  <c r="L98" i="43"/>
  <c r="L118" i="43" s="1"/>
  <c r="L71" i="43"/>
  <c r="L91" i="43" s="1"/>
  <c r="K64" i="43"/>
  <c r="L64" i="43"/>
  <c r="I179" i="43"/>
  <c r="H172" i="43"/>
  <c r="I172" i="43"/>
  <c r="I125" i="43"/>
  <c r="I145" i="43" s="1"/>
  <c r="I98" i="43"/>
  <c r="I118" i="43" s="1"/>
  <c r="H91" i="43"/>
  <c r="I71" i="43"/>
  <c r="I91" i="43" s="1"/>
  <c r="G7" i="43" s="1"/>
  <c r="I44" i="43"/>
  <c r="I64" i="43" s="1"/>
  <c r="F172" i="43"/>
  <c r="F125" i="43"/>
  <c r="F145" i="43" s="1"/>
  <c r="F98" i="43"/>
  <c r="F118" i="43" s="1"/>
  <c r="F71" i="43"/>
  <c r="F91" i="43" s="1"/>
  <c r="F44" i="43"/>
  <c r="F64" i="43" s="1"/>
  <c r="N199" i="42"/>
  <c r="O179" i="42"/>
  <c r="O199" i="42" s="1"/>
  <c r="O152" i="42"/>
  <c r="O172" i="42" s="1"/>
  <c r="O145" i="42"/>
  <c r="N145" i="42"/>
  <c r="N118" i="42"/>
  <c r="O98" i="42"/>
  <c r="O118" i="42" s="1"/>
  <c r="O88" i="42"/>
  <c r="O34" i="42" s="1"/>
  <c r="N91" i="42"/>
  <c r="O71" i="42"/>
  <c r="N64" i="42"/>
  <c r="O44" i="42"/>
  <c r="O64" i="42" s="1"/>
  <c r="I199" i="43"/>
  <c r="H37" i="43"/>
  <c r="L37" i="43"/>
  <c r="E37" i="43"/>
  <c r="I37" i="43"/>
  <c r="F37" i="43"/>
  <c r="N37" i="43"/>
  <c r="K37" i="43"/>
  <c r="O37" i="43"/>
  <c r="G5" i="43"/>
  <c r="G9" i="43"/>
  <c r="K199" i="42"/>
  <c r="L179" i="42"/>
  <c r="L199" i="42" s="1"/>
  <c r="K172" i="42"/>
  <c r="L172" i="42"/>
  <c r="K145" i="42"/>
  <c r="L145" i="42"/>
  <c r="L98" i="42"/>
  <c r="L118" i="42" s="1"/>
  <c r="G3" i="42" s="1"/>
  <c r="K91" i="42"/>
  <c r="L71" i="42"/>
  <c r="K64" i="42"/>
  <c r="L44" i="42"/>
  <c r="L64" i="42" s="1"/>
  <c r="I179" i="42"/>
  <c r="I199" i="42" s="1"/>
  <c r="H172" i="42"/>
  <c r="H145" i="42"/>
  <c r="I118" i="42"/>
  <c r="H118" i="42"/>
  <c r="I85" i="42"/>
  <c r="I31" i="42" s="1"/>
  <c r="I89" i="42"/>
  <c r="I35" i="42" s="1"/>
  <c r="H91" i="42"/>
  <c r="I71" i="42"/>
  <c r="H64" i="42"/>
  <c r="I64" i="42"/>
  <c r="F152" i="42"/>
  <c r="F172" i="42" s="1"/>
  <c r="F125" i="42"/>
  <c r="F145" i="42" s="1"/>
  <c r="F98" i="42"/>
  <c r="F118" i="42" s="1"/>
  <c r="F71" i="42"/>
  <c r="F88" i="42"/>
  <c r="F34" i="42" s="1"/>
  <c r="F90" i="42"/>
  <c r="F36" i="42" s="1"/>
  <c r="F44" i="42"/>
  <c r="F64" i="42" s="1"/>
  <c r="N199" i="41"/>
  <c r="O179" i="41"/>
  <c r="O199" i="41" s="1"/>
  <c r="O172" i="41"/>
  <c r="N172" i="41"/>
  <c r="N29" i="41"/>
  <c r="N34" i="41"/>
  <c r="O103" i="41"/>
  <c r="O22" i="41" s="1"/>
  <c r="N118" i="41"/>
  <c r="N91" i="41"/>
  <c r="O91" i="41"/>
  <c r="O44" i="41"/>
  <c r="F199" i="42"/>
  <c r="N37" i="42"/>
  <c r="K37" i="42"/>
  <c r="E37" i="42"/>
  <c r="H37" i="42"/>
  <c r="G5" i="42"/>
  <c r="G9" i="42"/>
  <c r="K199" i="41"/>
  <c r="L179" i="41"/>
  <c r="L199" i="41" s="1"/>
  <c r="L152" i="41"/>
  <c r="L172" i="41" s="1"/>
  <c r="L98" i="41"/>
  <c r="L106" i="41"/>
  <c r="L36" i="41" s="1"/>
  <c r="L71" i="41"/>
  <c r="L44" i="41"/>
  <c r="I179" i="41"/>
  <c r="I199" i="41" s="1"/>
  <c r="I152" i="41"/>
  <c r="I172" i="41" s="1"/>
  <c r="I98" i="41"/>
  <c r="I115" i="41"/>
  <c r="I34" i="41" s="1"/>
  <c r="I71" i="41"/>
  <c r="I44" i="41"/>
  <c r="N199" i="40"/>
  <c r="O179" i="40"/>
  <c r="O145" i="40"/>
  <c r="E37" i="41"/>
  <c r="F37" i="41"/>
  <c r="K37" i="41"/>
  <c r="H37" i="41"/>
  <c r="G9" i="41"/>
  <c r="N20" i="24"/>
  <c r="K21" i="24"/>
  <c r="H64" i="24"/>
  <c r="I58" i="24"/>
  <c r="I22" i="24" s="1"/>
  <c r="E91" i="24"/>
  <c r="N91" i="24"/>
  <c r="L72" i="24"/>
  <c r="I73" i="24"/>
  <c r="F74" i="24"/>
  <c r="F75" i="24"/>
  <c r="F76" i="24"/>
  <c r="L76" i="24"/>
  <c r="L77" i="24"/>
  <c r="F79" i="24"/>
  <c r="F80" i="24"/>
  <c r="L81" i="24"/>
  <c r="I82" i="24"/>
  <c r="I83" i="24"/>
  <c r="O84" i="24"/>
  <c r="L85" i="24"/>
  <c r="L86" i="24"/>
  <c r="I87" i="24"/>
  <c r="F88" i="24"/>
  <c r="L89" i="24"/>
  <c r="I90" i="24"/>
  <c r="F98" i="24"/>
  <c r="E145" i="24"/>
  <c r="I126" i="24"/>
  <c r="F127" i="24"/>
  <c r="O127" i="24"/>
  <c r="F129" i="24"/>
  <c r="O129" i="24"/>
  <c r="L130" i="24"/>
  <c r="I131" i="24"/>
  <c r="L132" i="24"/>
  <c r="F133" i="24"/>
  <c r="I135" i="24"/>
  <c r="F136" i="24"/>
  <c r="I137" i="24"/>
  <c r="F138" i="24"/>
  <c r="O138" i="24"/>
  <c r="L139" i="24"/>
  <c r="I140" i="24"/>
  <c r="I142" i="24"/>
  <c r="F143" i="24"/>
  <c r="O143" i="24"/>
  <c r="F152" i="24"/>
  <c r="F20" i="24" s="1"/>
  <c r="L180" i="24"/>
  <c r="L185" i="24"/>
  <c r="I186" i="24"/>
  <c r="I187" i="24"/>
  <c r="O188" i="24"/>
  <c r="O189" i="24"/>
  <c r="F191" i="24"/>
  <c r="O191" i="24"/>
  <c r="O192" i="24"/>
  <c r="F195" i="24"/>
  <c r="O196" i="24"/>
  <c r="H20" i="25"/>
  <c r="N21" i="25"/>
  <c r="E64" i="25"/>
  <c r="K64" i="25"/>
  <c r="F55" i="25"/>
  <c r="F17" i="25" s="1"/>
  <c r="K91" i="25"/>
  <c r="F72" i="25"/>
  <c r="O72" i="25"/>
  <c r="F74" i="25"/>
  <c r="L74" i="25"/>
  <c r="I75" i="25"/>
  <c r="L76" i="25"/>
  <c r="I77" i="25"/>
  <c r="F79" i="25"/>
  <c r="O79" i="25"/>
  <c r="F81" i="25"/>
  <c r="O81" i="25"/>
  <c r="I82" i="25"/>
  <c r="L83" i="25"/>
  <c r="L18" i="25" s="1"/>
  <c r="I84" i="25"/>
  <c r="L85" i="25"/>
  <c r="L20" i="25" s="1"/>
  <c r="O86" i="25"/>
  <c r="F88" i="25"/>
  <c r="O88" i="25"/>
  <c r="F90" i="25"/>
  <c r="L90" i="25"/>
  <c r="O98" i="25"/>
  <c r="L100" i="25"/>
  <c r="F101" i="25"/>
  <c r="L101" i="25"/>
  <c r="F102" i="25"/>
  <c r="L102" i="25"/>
  <c r="F103" i="25"/>
  <c r="I104" i="25"/>
  <c r="O104" i="25"/>
  <c r="L106" i="25"/>
  <c r="F107" i="25"/>
  <c r="L107" i="25"/>
  <c r="F108" i="25"/>
  <c r="L108" i="25"/>
  <c r="F109" i="25"/>
  <c r="L109" i="25"/>
  <c r="F110" i="25"/>
  <c r="L110" i="25"/>
  <c r="F111" i="25"/>
  <c r="L111" i="25"/>
  <c r="F112" i="25"/>
  <c r="L112" i="25"/>
  <c r="F113" i="25"/>
  <c r="L113" i="25"/>
  <c r="F114" i="25"/>
  <c r="I115" i="25"/>
  <c r="O115" i="25"/>
  <c r="L117" i="25"/>
  <c r="F125" i="25"/>
  <c r="N145" i="25"/>
  <c r="I126" i="25"/>
  <c r="O126" i="25"/>
  <c r="L128" i="25"/>
  <c r="F129" i="25"/>
  <c r="I130" i="25"/>
  <c r="O130" i="25"/>
  <c r="L132" i="25"/>
  <c r="F133" i="25"/>
  <c r="I134" i="25"/>
  <c r="O134" i="25"/>
  <c r="L136" i="25"/>
  <c r="F137" i="25"/>
  <c r="I138" i="25"/>
  <c r="O138" i="25"/>
  <c r="L140" i="25"/>
  <c r="F141" i="25"/>
  <c r="F22" i="25" s="1"/>
  <c r="I142" i="25"/>
  <c r="O142" i="25"/>
  <c r="L144" i="25"/>
  <c r="F152" i="25"/>
  <c r="N172" i="25"/>
  <c r="F154" i="25"/>
  <c r="O154" i="25"/>
  <c r="I155" i="25"/>
  <c r="L156" i="25"/>
  <c r="I157" i="25"/>
  <c r="I21" i="25" s="1"/>
  <c r="L158" i="25"/>
  <c r="O159" i="25"/>
  <c r="F161" i="25"/>
  <c r="O161" i="25"/>
  <c r="F163" i="25"/>
  <c r="L163" i="25"/>
  <c r="I164" i="25"/>
  <c r="L165" i="25"/>
  <c r="I166" i="25"/>
  <c r="F168" i="25"/>
  <c r="O168" i="25"/>
  <c r="F170" i="25"/>
  <c r="F19" i="25" s="1"/>
  <c r="O170" i="25"/>
  <c r="O19" i="25" s="1"/>
  <c r="F179" i="25"/>
  <c r="N199" i="25"/>
  <c r="I180" i="25"/>
  <c r="L181" i="25"/>
  <c r="L199" i="25" s="1"/>
  <c r="I182" i="25"/>
  <c r="F183" i="25"/>
  <c r="O183" i="25"/>
  <c r="O186" i="25"/>
  <c r="F188" i="25"/>
  <c r="L188" i="25"/>
  <c r="I189" i="25"/>
  <c r="F190" i="25"/>
  <c r="O190" i="25"/>
  <c r="O193" i="25"/>
  <c r="F195" i="25"/>
  <c r="L196" i="25"/>
  <c r="O197" i="25"/>
  <c r="L198" i="25"/>
  <c r="I144" i="24"/>
  <c r="E20" i="24"/>
  <c r="K22" i="24"/>
  <c r="F49" i="24"/>
  <c r="O49" i="24"/>
  <c r="L50" i="24"/>
  <c r="I51" i="24"/>
  <c r="F55" i="24"/>
  <c r="O55" i="24"/>
  <c r="L56" i="24"/>
  <c r="L17" i="24" s="1"/>
  <c r="I57" i="24"/>
  <c r="F58" i="24"/>
  <c r="F22" i="24" s="1"/>
  <c r="O58" i="24"/>
  <c r="O22" i="24" s="1"/>
  <c r="O59" i="24"/>
  <c r="I61" i="24"/>
  <c r="F62" i="24"/>
  <c r="H91" i="24"/>
  <c r="F72" i="24"/>
  <c r="L73" i="24"/>
  <c r="I74" i="24"/>
  <c r="I75" i="24"/>
  <c r="O76" i="24"/>
  <c r="O77" i="24"/>
  <c r="L78" i="24"/>
  <c r="I79" i="24"/>
  <c r="O80" i="24"/>
  <c r="L82" i="24"/>
  <c r="L83" i="24"/>
  <c r="I84" i="24"/>
  <c r="F85" i="24"/>
  <c r="O85" i="24"/>
  <c r="O88" i="24"/>
  <c r="L90" i="24"/>
  <c r="H118" i="24"/>
  <c r="O99" i="24"/>
  <c r="O101" i="24"/>
  <c r="L102" i="24"/>
  <c r="F103" i="24"/>
  <c r="L104" i="24"/>
  <c r="I105" i="24"/>
  <c r="L106" i="24"/>
  <c r="L108" i="24"/>
  <c r="F109" i="24"/>
  <c r="L111" i="24"/>
  <c r="O112" i="24"/>
  <c r="L114" i="24"/>
  <c r="I115" i="24"/>
  <c r="O116" i="24"/>
  <c r="F125" i="24"/>
  <c r="O125" i="24"/>
  <c r="L126" i="24"/>
  <c r="I127" i="24"/>
  <c r="L128" i="24"/>
  <c r="I129" i="24"/>
  <c r="O130" i="24"/>
  <c r="L131" i="24"/>
  <c r="F132" i="24"/>
  <c r="I133" i="24"/>
  <c r="F134" i="24"/>
  <c r="O134" i="24"/>
  <c r="L135" i="24"/>
  <c r="I136" i="24"/>
  <c r="O136" i="24"/>
  <c r="L137" i="24"/>
  <c r="I138" i="24"/>
  <c r="O139" i="24"/>
  <c r="F141" i="24"/>
  <c r="O141" i="24"/>
  <c r="L142" i="24"/>
  <c r="I143" i="24"/>
  <c r="L144" i="24"/>
  <c r="H172" i="24"/>
  <c r="F166" i="24"/>
  <c r="E199" i="24"/>
  <c r="N199" i="24"/>
  <c r="O180" i="24"/>
  <c r="I182" i="24"/>
  <c r="F184" i="24"/>
  <c r="O184" i="24"/>
  <c r="O185" i="24"/>
  <c r="L187" i="24"/>
  <c r="F188" i="24"/>
  <c r="L190" i="24"/>
  <c r="I191" i="24"/>
  <c r="O193" i="24"/>
  <c r="I196" i="24"/>
  <c r="O197" i="24"/>
  <c r="O198" i="24"/>
  <c r="F44" i="25"/>
  <c r="L44" i="25"/>
  <c r="L64" i="25" s="1"/>
  <c r="E91" i="25"/>
  <c r="L71" i="25"/>
  <c r="I72" i="25"/>
  <c r="L73" i="25"/>
  <c r="O74" i="25"/>
  <c r="F76" i="25"/>
  <c r="O76" i="25"/>
  <c r="F78" i="25"/>
  <c r="L78" i="25"/>
  <c r="I79" i="25"/>
  <c r="L80" i="25"/>
  <c r="I81" i="25"/>
  <c r="F83" i="25"/>
  <c r="F18" i="25" s="1"/>
  <c r="O83" i="25"/>
  <c r="O18" i="25" s="1"/>
  <c r="F85" i="25"/>
  <c r="F20" i="25" s="1"/>
  <c r="O85" i="25"/>
  <c r="O20" i="25" s="1"/>
  <c r="I86" i="25"/>
  <c r="L87" i="25"/>
  <c r="I88" i="25"/>
  <c r="O90" i="25"/>
  <c r="K118" i="25"/>
  <c r="L99" i="25"/>
  <c r="F100" i="25"/>
  <c r="I103" i="25"/>
  <c r="O103" i="25"/>
  <c r="L105" i="25"/>
  <c r="F106" i="25"/>
  <c r="I114" i="25"/>
  <c r="O114" i="25"/>
  <c r="L116" i="25"/>
  <c r="F117" i="25"/>
  <c r="H145" i="25"/>
  <c r="O125" i="25"/>
  <c r="L127" i="25"/>
  <c r="F128" i="25"/>
  <c r="I129" i="25"/>
  <c r="O129" i="25"/>
  <c r="L131" i="25"/>
  <c r="F132" i="25"/>
  <c r="I133" i="25"/>
  <c r="O133" i="25"/>
  <c r="L135" i="25"/>
  <c r="F136" i="25"/>
  <c r="I137" i="25"/>
  <c r="O137" i="25"/>
  <c r="L139" i="25"/>
  <c r="F140" i="25"/>
  <c r="I141" i="25"/>
  <c r="I22" i="25" s="1"/>
  <c r="O141" i="25"/>
  <c r="O22" i="25" s="1"/>
  <c r="L143" i="25"/>
  <c r="F144" i="25"/>
  <c r="L153" i="25"/>
  <c r="L172" i="25" s="1"/>
  <c r="I154" i="25"/>
  <c r="F156" i="25"/>
  <c r="O156" i="25"/>
  <c r="F158" i="25"/>
  <c r="O158" i="25"/>
  <c r="I159" i="25"/>
  <c r="L160" i="25"/>
  <c r="I161" i="25"/>
  <c r="L162" i="25"/>
  <c r="O163" i="25"/>
  <c r="F165" i="25"/>
  <c r="O165" i="25"/>
  <c r="F167" i="25"/>
  <c r="L167" i="25"/>
  <c r="I168" i="25"/>
  <c r="L169" i="25"/>
  <c r="I170" i="25"/>
  <c r="I19" i="25" s="1"/>
  <c r="L171" i="25"/>
  <c r="F181" i="25"/>
  <c r="O181" i="25"/>
  <c r="O184" i="25"/>
  <c r="F186" i="25"/>
  <c r="L187" i="25"/>
  <c r="O188" i="25"/>
  <c r="O191" i="25"/>
  <c r="F193" i="25"/>
  <c r="L194" i="25"/>
  <c r="I195" i="25"/>
  <c r="F196" i="25"/>
  <c r="O196" i="25"/>
  <c r="O72" i="24"/>
  <c r="L74" i="24"/>
  <c r="L75" i="24"/>
  <c r="I76" i="24"/>
  <c r="F77" i="24"/>
  <c r="F78" i="24"/>
  <c r="L79" i="24"/>
  <c r="I80" i="24"/>
  <c r="F81" i="24"/>
  <c r="O81" i="24"/>
  <c r="O82" i="24"/>
  <c r="O83" i="24"/>
  <c r="L84" i="24"/>
  <c r="I85" i="24"/>
  <c r="F86" i="24"/>
  <c r="O86" i="24"/>
  <c r="L87" i="24"/>
  <c r="I88" i="24"/>
  <c r="F89" i="24"/>
  <c r="O90" i="24"/>
  <c r="H145" i="24"/>
  <c r="O126" i="24"/>
  <c r="L127" i="24"/>
  <c r="F128" i="24"/>
  <c r="O128" i="24"/>
  <c r="L129" i="24"/>
  <c r="F130" i="24"/>
  <c r="I132" i="24"/>
  <c r="O132" i="24"/>
  <c r="L133" i="24"/>
  <c r="I134" i="24"/>
  <c r="O135" i="24"/>
  <c r="O137" i="24"/>
  <c r="L138" i="24"/>
  <c r="F139" i="24"/>
  <c r="L140" i="24"/>
  <c r="I141" i="24"/>
  <c r="O142" i="24"/>
  <c r="L143" i="24"/>
  <c r="O144" i="24"/>
  <c r="F198" i="24"/>
  <c r="N64" i="25"/>
  <c r="F91" i="25"/>
  <c r="N91" i="25"/>
  <c r="E118" i="25"/>
  <c r="L98" i="25"/>
  <c r="F99" i="25"/>
  <c r="F118" i="25" s="1"/>
  <c r="I100" i="25"/>
  <c r="O100" i="25"/>
  <c r="I101" i="25"/>
  <c r="O101" i="25"/>
  <c r="I102" i="25"/>
  <c r="O102" i="25"/>
  <c r="L104" i="25"/>
  <c r="F105" i="25"/>
  <c r="I106" i="25"/>
  <c r="O106" i="25"/>
  <c r="I107" i="25"/>
  <c r="O107" i="25"/>
  <c r="I108" i="25"/>
  <c r="O108" i="25"/>
  <c r="I109" i="25"/>
  <c r="O109" i="25"/>
  <c r="I110" i="25"/>
  <c r="O110" i="25"/>
  <c r="I111" i="25"/>
  <c r="O111" i="25"/>
  <c r="I112" i="25"/>
  <c r="O112" i="25"/>
  <c r="I113" i="25"/>
  <c r="O113" i="25"/>
  <c r="L115" i="25"/>
  <c r="F116" i="25"/>
  <c r="I117" i="25"/>
  <c r="K145" i="25"/>
  <c r="L126" i="25"/>
  <c r="F127" i="25"/>
  <c r="I128" i="25"/>
  <c r="O128" i="25"/>
  <c r="L130" i="25"/>
  <c r="F131" i="25"/>
  <c r="I132" i="25"/>
  <c r="O132" i="25"/>
  <c r="L134" i="25"/>
  <c r="F135" i="25"/>
  <c r="I136" i="25"/>
  <c r="O136" i="25"/>
  <c r="L138" i="25"/>
  <c r="F139" i="25"/>
  <c r="I140" i="25"/>
  <c r="O140" i="25"/>
  <c r="L142" i="25"/>
  <c r="F143" i="25"/>
  <c r="I144" i="25"/>
  <c r="K172" i="25"/>
  <c r="F153" i="25"/>
  <c r="O153" i="25"/>
  <c r="F155" i="25"/>
  <c r="L155" i="25"/>
  <c r="I156" i="25"/>
  <c r="L157" i="25"/>
  <c r="L21" i="25" s="1"/>
  <c r="I158" i="25"/>
  <c r="F160" i="25"/>
  <c r="O160" i="25"/>
  <c r="F162" i="25"/>
  <c r="O162" i="25"/>
  <c r="I163" i="25"/>
  <c r="L164" i="25"/>
  <c r="I165" i="25"/>
  <c r="L166" i="25"/>
  <c r="O167" i="25"/>
  <c r="F169" i="25"/>
  <c r="O169" i="25"/>
  <c r="O171" i="25"/>
  <c r="K199" i="25"/>
  <c r="F198" i="25"/>
  <c r="L195" i="25"/>
  <c r="L193" i="25"/>
  <c r="L191" i="25"/>
  <c r="L189" i="25"/>
  <c r="F189" i="25"/>
  <c r="L186" i="25"/>
  <c r="L184" i="25"/>
  <c r="L182" i="25"/>
  <c r="I181" i="25"/>
  <c r="I183" i="25"/>
  <c r="I185" i="25"/>
  <c r="I187" i="25"/>
  <c r="I190" i="25"/>
  <c r="I192" i="25"/>
  <c r="I194" i="25"/>
  <c r="I196" i="25"/>
  <c r="O198" i="25"/>
  <c r="H64" i="26"/>
  <c r="F46" i="26"/>
  <c r="O46" i="26"/>
  <c r="L48" i="26"/>
  <c r="I49" i="26"/>
  <c r="F51" i="26"/>
  <c r="O51" i="26"/>
  <c r="O52" i="26"/>
  <c r="L53" i="26"/>
  <c r="I54" i="26"/>
  <c r="I55" i="26"/>
  <c r="F56" i="26"/>
  <c r="F57" i="26"/>
  <c r="O57" i="26"/>
  <c r="L58" i="26"/>
  <c r="L22" i="26" s="1"/>
  <c r="L59" i="26"/>
  <c r="I60" i="26"/>
  <c r="I17" i="26" s="1"/>
  <c r="F62" i="26"/>
  <c r="O62" i="26"/>
  <c r="O63" i="26"/>
  <c r="L71" i="26"/>
  <c r="I72" i="26"/>
  <c r="I26" i="26" s="1"/>
  <c r="I74" i="26"/>
  <c r="F75" i="26"/>
  <c r="O75" i="26"/>
  <c r="L76" i="26"/>
  <c r="F77" i="26"/>
  <c r="F21" i="26" s="1"/>
  <c r="I79" i="26"/>
  <c r="F80" i="26"/>
  <c r="O80" i="26"/>
  <c r="L81" i="26"/>
  <c r="I82" i="26"/>
  <c r="O83" i="26"/>
  <c r="L84" i="26"/>
  <c r="F85" i="26"/>
  <c r="I87" i="26"/>
  <c r="F88" i="26"/>
  <c r="I89" i="26"/>
  <c r="F90" i="26"/>
  <c r="O90" i="26"/>
  <c r="O99" i="26"/>
  <c r="L100" i="26"/>
  <c r="F101" i="26"/>
  <c r="I103" i="26"/>
  <c r="I23" i="26" s="1"/>
  <c r="F104" i="26"/>
  <c r="F24" i="26" s="1"/>
  <c r="O104" i="26"/>
  <c r="O24" i="26" s="1"/>
  <c r="L105" i="26"/>
  <c r="L25" i="26" s="1"/>
  <c r="I106" i="26"/>
  <c r="O107" i="26"/>
  <c r="O27" i="26" s="1"/>
  <c r="L108" i="26"/>
  <c r="F109" i="26"/>
  <c r="F29" i="26" s="1"/>
  <c r="I111" i="26"/>
  <c r="I31" i="26" s="1"/>
  <c r="F112" i="26"/>
  <c r="O112" i="26"/>
  <c r="L113" i="26"/>
  <c r="I114" i="26"/>
  <c r="O114" i="26"/>
  <c r="L115" i="26"/>
  <c r="I116" i="26"/>
  <c r="O117" i="26"/>
  <c r="F126" i="26"/>
  <c r="I128" i="26"/>
  <c r="O129" i="26"/>
  <c r="L130" i="26"/>
  <c r="I131" i="26"/>
  <c r="F132" i="26"/>
  <c r="O133" i="26"/>
  <c r="L134" i="26"/>
  <c r="I135" i="26"/>
  <c r="F136" i="26"/>
  <c r="O137" i="26"/>
  <c r="O139" i="26"/>
  <c r="L140" i="26"/>
  <c r="F141" i="26"/>
  <c r="I143" i="26"/>
  <c r="F144" i="26"/>
  <c r="O144" i="26"/>
  <c r="I153" i="26"/>
  <c r="O154" i="26"/>
  <c r="L155" i="26"/>
  <c r="F156" i="26"/>
  <c r="I158" i="26"/>
  <c r="F159" i="26"/>
  <c r="O159" i="26"/>
  <c r="L160" i="26"/>
  <c r="I161" i="26"/>
  <c r="O162" i="26"/>
  <c r="L163" i="26"/>
  <c r="F164" i="26"/>
  <c r="I166" i="26"/>
  <c r="F167" i="26"/>
  <c r="O167" i="26"/>
  <c r="L168" i="26"/>
  <c r="O170" i="26"/>
  <c r="O19" i="26" s="1"/>
  <c r="F179" i="26"/>
  <c r="L179" i="26"/>
  <c r="O180" i="26"/>
  <c r="I181" i="26"/>
  <c r="F183" i="26"/>
  <c r="L183" i="26"/>
  <c r="O184" i="26"/>
  <c r="I185" i="26"/>
  <c r="F187" i="26"/>
  <c r="L187" i="26"/>
  <c r="O188" i="26"/>
  <c r="I189" i="26"/>
  <c r="F191" i="26"/>
  <c r="L191" i="26"/>
  <c r="O192" i="26"/>
  <c r="I193" i="26"/>
  <c r="F195" i="26"/>
  <c r="L195" i="26"/>
  <c r="O196" i="26"/>
  <c r="F45" i="27"/>
  <c r="F46" i="27"/>
  <c r="L46" i="27"/>
  <c r="O47" i="27"/>
  <c r="I49" i="27"/>
  <c r="O49" i="27"/>
  <c r="O51" i="27"/>
  <c r="L52" i="27"/>
  <c r="I53" i="27"/>
  <c r="F54" i="27"/>
  <c r="I55" i="27"/>
  <c r="F56" i="27"/>
  <c r="O56" i="27"/>
  <c r="L57" i="27"/>
  <c r="I58" i="27"/>
  <c r="F59" i="27"/>
  <c r="I61" i="27"/>
  <c r="I18" i="27" s="1"/>
  <c r="F62" i="27"/>
  <c r="O62" i="27"/>
  <c r="F72" i="27"/>
  <c r="O72" i="27"/>
  <c r="F74" i="27"/>
  <c r="O74" i="27"/>
  <c r="L75" i="27"/>
  <c r="I76" i="27"/>
  <c r="O77" i="27"/>
  <c r="I79" i="27"/>
  <c r="F80" i="27"/>
  <c r="F19" i="27" s="1"/>
  <c r="O80" i="27"/>
  <c r="O19" i="27" s="1"/>
  <c r="F82" i="27"/>
  <c r="F83" i="27"/>
  <c r="L83" i="27"/>
  <c r="I84" i="27"/>
  <c r="O84" i="27"/>
  <c r="L85" i="27"/>
  <c r="I86" i="27"/>
  <c r="O86" i="27"/>
  <c r="L87" i="27"/>
  <c r="L20" i="27" s="1"/>
  <c r="I88" i="27"/>
  <c r="F89" i="27"/>
  <c r="L90" i="27"/>
  <c r="I100" i="27"/>
  <c r="L101" i="27"/>
  <c r="I102" i="27"/>
  <c r="O102" i="27"/>
  <c r="L103" i="27"/>
  <c r="F104" i="27"/>
  <c r="O104" i="27"/>
  <c r="F106" i="27"/>
  <c r="I107" i="27"/>
  <c r="I109" i="27"/>
  <c r="L110" i="27"/>
  <c r="F111" i="27"/>
  <c r="O111" i="27"/>
  <c r="L112" i="27"/>
  <c r="F113" i="27"/>
  <c r="O113" i="27"/>
  <c r="I116" i="27"/>
  <c r="F127" i="27"/>
  <c r="L128" i="27"/>
  <c r="F130" i="27"/>
  <c r="O130" i="27"/>
  <c r="L131" i="27"/>
  <c r="I132" i="27"/>
  <c r="F133" i="27"/>
  <c r="O133" i="27"/>
  <c r="I135" i="27"/>
  <c r="I136" i="27"/>
  <c r="O137" i="27"/>
  <c r="F139" i="27"/>
  <c r="F140" i="27"/>
  <c r="L141" i="27"/>
  <c r="F143" i="27"/>
  <c r="L144" i="27"/>
  <c r="H172" i="27"/>
  <c r="O152" i="27"/>
  <c r="F154" i="27"/>
  <c r="O155" i="27"/>
  <c r="L157" i="27"/>
  <c r="I158" i="27"/>
  <c r="F159" i="27"/>
  <c r="L160" i="27"/>
  <c r="F161" i="27"/>
  <c r="O161" i="27"/>
  <c r="L162" i="27"/>
  <c r="I163" i="27"/>
  <c r="F164" i="27"/>
  <c r="I165" i="27"/>
  <c r="O166" i="27"/>
  <c r="L167" i="27"/>
  <c r="I168" i="27"/>
  <c r="O168" i="27"/>
  <c r="F170" i="27"/>
  <c r="F21" i="27" s="1"/>
  <c r="O171" i="27"/>
  <c r="H64" i="28"/>
  <c r="I46" i="28"/>
  <c r="F47" i="28"/>
  <c r="O47" i="28"/>
  <c r="I50" i="28"/>
  <c r="L51" i="28"/>
  <c r="I52" i="28"/>
  <c r="O52" i="28"/>
  <c r="L53" i="28"/>
  <c r="L17" i="28" s="1"/>
  <c r="F54" i="28"/>
  <c r="O54" i="28"/>
  <c r="F56" i="28"/>
  <c r="I57" i="28"/>
  <c r="O57" i="28"/>
  <c r="L58" i="28"/>
  <c r="I59" i="28"/>
  <c r="O59" i="28"/>
  <c r="L60" i="28"/>
  <c r="F61" i="28"/>
  <c r="O61" i="28"/>
  <c r="L62" i="28"/>
  <c r="F63" i="28"/>
  <c r="O63" i="28"/>
  <c r="F72" i="28"/>
  <c r="I73" i="28"/>
  <c r="L74" i="28"/>
  <c r="F75" i="28"/>
  <c r="L76" i="28"/>
  <c r="L21" i="28" s="1"/>
  <c r="F77" i="28"/>
  <c r="O77" i="28"/>
  <c r="F79" i="28"/>
  <c r="F20" i="28" s="1"/>
  <c r="O79" i="28"/>
  <c r="O20" i="28" s="1"/>
  <c r="O37" i="28" s="1"/>
  <c r="I82" i="28"/>
  <c r="O82" i="28"/>
  <c r="L83" i="28"/>
  <c r="I84" i="28"/>
  <c r="O84" i="28"/>
  <c r="L85" i="28"/>
  <c r="L19" i="28" s="1"/>
  <c r="I86" i="28"/>
  <c r="L87" i="28"/>
  <c r="F88" i="28"/>
  <c r="O88" i="28"/>
  <c r="L89" i="28"/>
  <c r="F90" i="28"/>
  <c r="O90" i="28"/>
  <c r="I99" i="28"/>
  <c r="O100" i="28"/>
  <c r="O102" i="28"/>
  <c r="L103" i="28"/>
  <c r="F104" i="28"/>
  <c r="L105" i="28"/>
  <c r="I106" i="28"/>
  <c r="O106" i="28"/>
  <c r="L107" i="28"/>
  <c r="I108" i="28"/>
  <c r="L109" i="28"/>
  <c r="I110" i="28"/>
  <c r="F111" i="28"/>
  <c r="O112" i="28"/>
  <c r="L114" i="28"/>
  <c r="I115" i="28"/>
  <c r="F116" i="28"/>
  <c r="L117" i="28"/>
  <c r="H145" i="28"/>
  <c r="E172" i="28"/>
  <c r="I153" i="28"/>
  <c r="F154" i="28"/>
  <c r="O154" i="28"/>
  <c r="I157" i="28"/>
  <c r="I159" i="28"/>
  <c r="O159" i="28"/>
  <c r="L160" i="28"/>
  <c r="I161" i="28"/>
  <c r="O162" i="28"/>
  <c r="I165" i="28"/>
  <c r="F166" i="28"/>
  <c r="O166" i="28"/>
  <c r="L167" i="28"/>
  <c r="I168" i="28"/>
  <c r="F169" i="28"/>
  <c r="F182" i="28"/>
  <c r="F187" i="28"/>
  <c r="L189" i="28"/>
  <c r="I190" i="28"/>
  <c r="I192" i="28"/>
  <c r="F193" i="28"/>
  <c r="O193" i="28"/>
  <c r="L194" i="28"/>
  <c r="L153" i="28"/>
  <c r="I154" i="28"/>
  <c r="L155" i="28"/>
  <c r="F156" i="28"/>
  <c r="O156" i="28"/>
  <c r="L157" i="28"/>
  <c r="F158" i="28"/>
  <c r="O158" i="28"/>
  <c r="O160" i="28"/>
  <c r="L161" i="28"/>
  <c r="F162" i="28"/>
  <c r="L163" i="28"/>
  <c r="F164" i="28"/>
  <c r="O164" i="28"/>
  <c r="L165" i="28"/>
  <c r="I166" i="28"/>
  <c r="I170" i="28"/>
  <c r="F171" i="28"/>
  <c r="L181" i="28"/>
  <c r="I182" i="28"/>
  <c r="I184" i="28"/>
  <c r="F185" i="28"/>
  <c r="L186" i="28"/>
  <c r="I187" i="28"/>
  <c r="F188" i="28"/>
  <c r="O188" i="28"/>
  <c r="L191" i="28"/>
  <c r="L192" i="28"/>
  <c r="I193" i="28"/>
  <c r="I196" i="28"/>
  <c r="F197" i="28"/>
  <c r="N64" i="26"/>
  <c r="L45" i="26"/>
  <c r="I46" i="26"/>
  <c r="I47" i="26"/>
  <c r="F48" i="26"/>
  <c r="F49" i="26"/>
  <c r="O49" i="26"/>
  <c r="L50" i="26"/>
  <c r="L51" i="26"/>
  <c r="I52" i="26"/>
  <c r="F54" i="26"/>
  <c r="O54" i="26"/>
  <c r="L56" i="26"/>
  <c r="I57" i="26"/>
  <c r="F59" i="26"/>
  <c r="O59" i="26"/>
  <c r="O60" i="26"/>
  <c r="O17" i="26" s="1"/>
  <c r="L61" i="26"/>
  <c r="L62" i="26"/>
  <c r="I63" i="26"/>
  <c r="F71" i="26"/>
  <c r="L72" i="26"/>
  <c r="L26" i="26" s="1"/>
  <c r="I73" i="26"/>
  <c r="I32" i="26" s="1"/>
  <c r="O74" i="26"/>
  <c r="F76" i="26"/>
  <c r="O76" i="26"/>
  <c r="L77" i="26"/>
  <c r="L21" i="26" s="1"/>
  <c r="I78" i="26"/>
  <c r="O79" i="26"/>
  <c r="L80" i="26"/>
  <c r="F81" i="26"/>
  <c r="I83" i="26"/>
  <c r="F84" i="26"/>
  <c r="O84" i="26"/>
  <c r="L85" i="26"/>
  <c r="I86" i="26"/>
  <c r="I18" i="26" s="1"/>
  <c r="O87" i="26"/>
  <c r="O89" i="26"/>
  <c r="L90" i="26"/>
  <c r="F98" i="26"/>
  <c r="F105" i="26"/>
  <c r="F25" i="26" s="1"/>
  <c r="I107" i="26"/>
  <c r="I27" i="26" s="1"/>
  <c r="F108" i="26"/>
  <c r="O108" i="26"/>
  <c r="L109" i="26"/>
  <c r="L29" i="26" s="1"/>
  <c r="I110" i="26"/>
  <c r="I30" i="26" s="1"/>
  <c r="L112" i="26"/>
  <c r="F113" i="26"/>
  <c r="L114" i="26"/>
  <c r="F115" i="26"/>
  <c r="I117" i="26"/>
  <c r="F125" i="26"/>
  <c r="O125" i="26"/>
  <c r="L126" i="26"/>
  <c r="I127" i="26"/>
  <c r="L128" i="26"/>
  <c r="I129" i="26"/>
  <c r="F130" i="26"/>
  <c r="O131" i="26"/>
  <c r="L132" i="26"/>
  <c r="I133" i="26"/>
  <c r="F134" i="26"/>
  <c r="O135" i="26"/>
  <c r="L136" i="26"/>
  <c r="I137" i="26"/>
  <c r="F138" i="26"/>
  <c r="I139" i="26"/>
  <c r="F140" i="26"/>
  <c r="O140" i="26"/>
  <c r="L141" i="26"/>
  <c r="I142" i="26"/>
  <c r="O143" i="26"/>
  <c r="L144" i="26"/>
  <c r="F152" i="26"/>
  <c r="F172" i="26" s="1"/>
  <c r="I179" i="26"/>
  <c r="I199" i="26" s="1"/>
  <c r="E118" i="27"/>
  <c r="E145" i="27"/>
  <c r="E172" i="27"/>
  <c r="L152" i="27"/>
  <c r="F153" i="27"/>
  <c r="O153" i="27"/>
  <c r="L154" i="27"/>
  <c r="I155" i="27"/>
  <c r="F156" i="27"/>
  <c r="I157" i="27"/>
  <c r="O158" i="27"/>
  <c r="L159" i="27"/>
  <c r="I160" i="27"/>
  <c r="O160" i="27"/>
  <c r="F162" i="27"/>
  <c r="O163" i="27"/>
  <c r="L165" i="27"/>
  <c r="I166" i="27"/>
  <c r="F167" i="27"/>
  <c r="L168" i="27"/>
  <c r="F169" i="27"/>
  <c r="O169" i="27"/>
  <c r="L170" i="27"/>
  <c r="L21" i="27" s="1"/>
  <c r="I171" i="27"/>
  <c r="F179" i="27"/>
  <c r="F199" i="27" s="1"/>
  <c r="F62" i="28"/>
  <c r="O62" i="28"/>
  <c r="F71" i="28"/>
  <c r="L82" i="28"/>
  <c r="F83" i="28"/>
  <c r="L84" i="28"/>
  <c r="F85" i="28"/>
  <c r="F19" i="28" s="1"/>
  <c r="L86" i="28"/>
  <c r="I87" i="28"/>
  <c r="O87" i="28"/>
  <c r="L88" i="28"/>
  <c r="F89" i="28"/>
  <c r="O89" i="28"/>
  <c r="F98" i="28"/>
  <c r="F118" i="28" s="1"/>
  <c r="L171" i="28"/>
  <c r="F170" i="28"/>
  <c r="F167" i="28"/>
  <c r="O165" i="28"/>
  <c r="F198" i="28"/>
  <c r="O196" i="28"/>
  <c r="F196" i="28"/>
  <c r="O194" i="28"/>
  <c r="F192" i="28"/>
  <c r="L190" i="28"/>
  <c r="F189" i="28"/>
  <c r="F184" i="28"/>
  <c r="L182" i="28"/>
  <c r="O179" i="28"/>
  <c r="F179" i="28"/>
  <c r="L198" i="28"/>
  <c r="F194" i="28"/>
  <c r="F191" i="28"/>
  <c r="O186" i="28"/>
  <c r="F183" i="28"/>
  <c r="O181" i="28"/>
  <c r="F181" i="28"/>
  <c r="E64" i="26"/>
  <c r="F45" i="26"/>
  <c r="O45" i="26"/>
  <c r="L46" i="26"/>
  <c r="L47" i="26"/>
  <c r="I48" i="26"/>
  <c r="F50" i="26"/>
  <c r="O50" i="26"/>
  <c r="L52" i="26"/>
  <c r="I53" i="26"/>
  <c r="F55" i="26"/>
  <c r="O55" i="26"/>
  <c r="O56" i="26"/>
  <c r="L57" i="26"/>
  <c r="I59" i="26"/>
  <c r="F60" i="26"/>
  <c r="F17" i="26" s="1"/>
  <c r="F61" i="26"/>
  <c r="O61" i="26"/>
  <c r="L63" i="26"/>
  <c r="H91" i="26"/>
  <c r="F72" i="26"/>
  <c r="F26" i="26" s="1"/>
  <c r="O72" i="26"/>
  <c r="O26" i="26" s="1"/>
  <c r="L73" i="26"/>
  <c r="L32" i="26" s="1"/>
  <c r="F74" i="26"/>
  <c r="L75" i="26"/>
  <c r="I76" i="26"/>
  <c r="L78" i="26"/>
  <c r="F79" i="26"/>
  <c r="I81" i="26"/>
  <c r="F82" i="26"/>
  <c r="O82" i="26"/>
  <c r="L83" i="26"/>
  <c r="I84" i="26"/>
  <c r="O85" i="26"/>
  <c r="L86" i="26"/>
  <c r="L18" i="26" s="1"/>
  <c r="F87" i="26"/>
  <c r="L88" i="26"/>
  <c r="H118" i="26"/>
  <c r="O98" i="26"/>
  <c r="L99" i="26"/>
  <c r="I100" i="26"/>
  <c r="O101" i="26"/>
  <c r="L102" i="26"/>
  <c r="F103" i="26"/>
  <c r="F23" i="26" s="1"/>
  <c r="I105" i="26"/>
  <c r="I25" i="26" s="1"/>
  <c r="F106" i="26"/>
  <c r="O106" i="26"/>
  <c r="L107" i="26"/>
  <c r="L27" i="26" s="1"/>
  <c r="I108" i="26"/>
  <c r="O109" i="26"/>
  <c r="O29" i="26" s="1"/>
  <c r="L110" i="26"/>
  <c r="L30" i="26" s="1"/>
  <c r="F111" i="26"/>
  <c r="F31" i="26" s="1"/>
  <c r="I113" i="26"/>
  <c r="F114" i="26"/>
  <c r="I115" i="26"/>
  <c r="F116" i="26"/>
  <c r="L117" i="26"/>
  <c r="H145" i="26"/>
  <c r="O126" i="26"/>
  <c r="L127" i="26"/>
  <c r="F128" i="26"/>
  <c r="O128" i="26"/>
  <c r="L129" i="26"/>
  <c r="I130" i="26"/>
  <c r="F131" i="26"/>
  <c r="O132" i="26"/>
  <c r="L133" i="26"/>
  <c r="I134" i="26"/>
  <c r="F135" i="26"/>
  <c r="O136" i="26"/>
  <c r="L137" i="26"/>
  <c r="I138" i="26"/>
  <c r="O138" i="26"/>
  <c r="L139" i="26"/>
  <c r="I140" i="26"/>
  <c r="O141" i="26"/>
  <c r="L142" i="26"/>
  <c r="H172" i="26"/>
  <c r="E199" i="26"/>
  <c r="K199" i="26"/>
  <c r="E91" i="27"/>
  <c r="H118" i="27"/>
  <c r="H145" i="27"/>
  <c r="I144" i="27"/>
  <c r="F152" i="27"/>
  <c r="I153" i="27"/>
  <c r="O154" i="27"/>
  <c r="L155" i="27"/>
  <c r="I156" i="27"/>
  <c r="O156" i="27"/>
  <c r="F158" i="27"/>
  <c r="O159" i="27"/>
  <c r="L161" i="27"/>
  <c r="I162" i="27"/>
  <c r="F163" i="27"/>
  <c r="L164" i="27"/>
  <c r="F165" i="27"/>
  <c r="O165" i="27"/>
  <c r="L166" i="27"/>
  <c r="I167" i="27"/>
  <c r="I169" i="27"/>
  <c r="O170" i="27"/>
  <c r="O21" i="27" s="1"/>
  <c r="L171" i="27"/>
  <c r="H199" i="27"/>
  <c r="F44" i="28"/>
  <c r="L45" i="28"/>
  <c r="L18" i="28" s="1"/>
  <c r="F46" i="28"/>
  <c r="L47" i="28"/>
  <c r="I48" i="28"/>
  <c r="O48" i="28"/>
  <c r="L49" i="28"/>
  <c r="F50" i="28"/>
  <c r="O50" i="28"/>
  <c r="F52" i="28"/>
  <c r="I53" i="28"/>
  <c r="I17" i="28" s="1"/>
  <c r="I55" i="28"/>
  <c r="L56" i="28"/>
  <c r="F57" i="28"/>
  <c r="I58" i="28"/>
  <c r="F59" i="28"/>
  <c r="I60" i="28"/>
  <c r="I62" i="28"/>
  <c r="H91" i="28"/>
  <c r="I78" i="28"/>
  <c r="I80" i="28"/>
  <c r="O80" i="28"/>
  <c r="L81" i="28"/>
  <c r="F82" i="28"/>
  <c r="I83" i="28"/>
  <c r="F84" i="28"/>
  <c r="I85" i="28"/>
  <c r="I19" i="28" s="1"/>
  <c r="F86" i="28"/>
  <c r="O86" i="28"/>
  <c r="I89" i="28"/>
  <c r="H118" i="28"/>
  <c r="F110" i="28"/>
  <c r="O111" i="28"/>
  <c r="L112" i="28"/>
  <c r="I113" i="28"/>
  <c r="O113" i="28"/>
  <c r="O116" i="28"/>
  <c r="F125" i="28"/>
  <c r="F145" i="28" s="1"/>
  <c r="F153" i="28"/>
  <c r="F172" i="28" s="1"/>
  <c r="I155" i="28"/>
  <c r="O155" i="28"/>
  <c r="L156" i="28"/>
  <c r="F157" i="28"/>
  <c r="O157" i="28"/>
  <c r="L158" i="28"/>
  <c r="F159" i="28"/>
  <c r="I160" i="28"/>
  <c r="F161" i="28"/>
  <c r="O161" i="28"/>
  <c r="L162" i="28"/>
  <c r="I163" i="28"/>
  <c r="O163" i="28"/>
  <c r="L164" i="28"/>
  <c r="F165" i="28"/>
  <c r="F168" i="28"/>
  <c r="O169" i="28"/>
  <c r="O170" i="28"/>
  <c r="H199" i="28"/>
  <c r="F180" i="28"/>
  <c r="O182" i="28"/>
  <c r="O183" i="28"/>
  <c r="I189" i="28"/>
  <c r="F190" i="28"/>
  <c r="F195" i="28"/>
  <c r="O195" i="28"/>
  <c r="I198" i="28"/>
  <c r="I47" i="29"/>
  <c r="O47" i="29"/>
  <c r="L48" i="29"/>
  <c r="I49" i="29"/>
  <c r="F50" i="29"/>
  <c r="O50" i="29"/>
  <c r="O51" i="29"/>
  <c r="O52" i="29"/>
  <c r="I54" i="29"/>
  <c r="O54" i="29"/>
  <c r="L55" i="29"/>
  <c r="F57" i="29"/>
  <c r="O57" i="29"/>
  <c r="O58" i="29"/>
  <c r="L60" i="29"/>
  <c r="I63" i="29"/>
  <c r="O63" i="29"/>
  <c r="L71" i="29"/>
  <c r="I72" i="29"/>
  <c r="I17" i="29" s="1"/>
  <c r="F73" i="29"/>
  <c r="O73" i="29"/>
  <c r="O74" i="29"/>
  <c r="O75" i="29"/>
  <c r="I77" i="29"/>
  <c r="O77" i="29"/>
  <c r="L78" i="29"/>
  <c r="F80" i="29"/>
  <c r="F20" i="29" s="1"/>
  <c r="O81" i="29"/>
  <c r="L83" i="29"/>
  <c r="I86" i="29"/>
  <c r="O86" i="29"/>
  <c r="L87" i="29"/>
  <c r="I88" i="29"/>
  <c r="F89" i="29"/>
  <c r="O89" i="29"/>
  <c r="O90" i="29"/>
  <c r="E172" i="29"/>
  <c r="N172" i="29"/>
  <c r="F199" i="29"/>
  <c r="L199" i="29"/>
  <c r="I45" i="30"/>
  <c r="I25" i="30" s="1"/>
  <c r="O46" i="30"/>
  <c r="O27" i="30" s="1"/>
  <c r="O47" i="30"/>
  <c r="O31" i="30" s="1"/>
  <c r="L48" i="30"/>
  <c r="I49" i="30"/>
  <c r="F50" i="30"/>
  <c r="O52" i="30"/>
  <c r="O53" i="30"/>
  <c r="I55" i="30"/>
  <c r="O56" i="30"/>
  <c r="L57" i="30"/>
  <c r="I58" i="30"/>
  <c r="F59" i="30"/>
  <c r="O59" i="30"/>
  <c r="I61" i="30"/>
  <c r="I62" i="30"/>
  <c r="O62" i="30"/>
  <c r="O63" i="30"/>
  <c r="E118" i="30"/>
  <c r="F152" i="30"/>
  <c r="O152" i="30"/>
  <c r="L153" i="30"/>
  <c r="I154" i="30"/>
  <c r="L155" i="30"/>
  <c r="I156" i="30"/>
  <c r="F157" i="30"/>
  <c r="O158" i="30"/>
  <c r="O160" i="30"/>
  <c r="F162" i="30"/>
  <c r="L163" i="30"/>
  <c r="I164" i="30"/>
  <c r="O165" i="30"/>
  <c r="L166" i="30"/>
  <c r="F167" i="30"/>
  <c r="I168" i="30"/>
  <c r="F169" i="30"/>
  <c r="F17" i="30" s="1"/>
  <c r="O169" i="30"/>
  <c r="O17" i="30" s="1"/>
  <c r="L170" i="30"/>
  <c r="I171" i="30"/>
  <c r="O171" i="30"/>
  <c r="L179" i="30"/>
  <c r="I180" i="30"/>
  <c r="O181" i="30"/>
  <c r="F183" i="30"/>
  <c r="O183" i="30"/>
  <c r="F185" i="30"/>
  <c r="L186" i="30"/>
  <c r="F187" i="30"/>
  <c r="L188" i="30"/>
  <c r="I189" i="30"/>
  <c r="F190" i="30"/>
  <c r="I191" i="30"/>
  <c r="L192" i="30"/>
  <c r="I193" i="30"/>
  <c r="F194" i="30"/>
  <c r="I195" i="30"/>
  <c r="L196" i="30"/>
  <c r="I197" i="30"/>
  <c r="F198" i="30"/>
  <c r="O198" i="30"/>
  <c r="F45" i="31"/>
  <c r="O45" i="31"/>
  <c r="L46" i="31"/>
  <c r="I47" i="31"/>
  <c r="F48" i="31"/>
  <c r="F49" i="31"/>
  <c r="F50" i="31"/>
  <c r="L50" i="31"/>
  <c r="F52" i="31"/>
  <c r="O52" i="31"/>
  <c r="L53" i="31"/>
  <c r="F55" i="31"/>
  <c r="F56" i="31"/>
  <c r="O56" i="31"/>
  <c r="I58" i="31"/>
  <c r="O58" i="31"/>
  <c r="L59" i="31"/>
  <c r="L18" i="31" s="1"/>
  <c r="I60" i="31"/>
  <c r="F61" i="31"/>
  <c r="O61" i="31"/>
  <c r="F63" i="31"/>
  <c r="O63" i="31"/>
  <c r="L72" i="31"/>
  <c r="F73" i="31"/>
  <c r="I75" i="31"/>
  <c r="L76" i="31"/>
  <c r="I77" i="31"/>
  <c r="O78" i="31"/>
  <c r="L80" i="31"/>
  <c r="F81" i="31"/>
  <c r="I83" i="31"/>
  <c r="L84" i="31"/>
  <c r="I85" i="31"/>
  <c r="I19" i="31" s="1"/>
  <c r="O86" i="31"/>
  <c r="O20" i="31" s="1"/>
  <c r="L88" i="31"/>
  <c r="F89" i="31"/>
  <c r="H118" i="31"/>
  <c r="E145" i="31"/>
  <c r="E172" i="31"/>
  <c r="L152" i="31"/>
  <c r="I153" i="31"/>
  <c r="O154" i="31"/>
  <c r="L156" i="31"/>
  <c r="L21" i="31" s="1"/>
  <c r="I157" i="31"/>
  <c r="F158" i="31"/>
  <c r="L159" i="31"/>
  <c r="I160" i="31"/>
  <c r="I162" i="31"/>
  <c r="F163" i="31"/>
  <c r="I164" i="31"/>
  <c r="O164" i="31"/>
  <c r="L165" i="31"/>
  <c r="I167" i="31"/>
  <c r="L168" i="31"/>
  <c r="L169" i="31"/>
  <c r="I170" i="31"/>
  <c r="I183" i="31"/>
  <c r="F184" i="31"/>
  <c r="O185" i="31"/>
  <c r="F187" i="31"/>
  <c r="O187" i="31"/>
  <c r="L188" i="31"/>
  <c r="L189" i="31"/>
  <c r="I190" i="31"/>
  <c r="O195" i="31"/>
  <c r="L196" i="31"/>
  <c r="F197" i="31"/>
  <c r="F145" i="31"/>
  <c r="O171" i="31"/>
  <c r="O169" i="31"/>
  <c r="F169" i="31"/>
  <c r="F167" i="31"/>
  <c r="E199" i="28"/>
  <c r="I180" i="28"/>
  <c r="O184" i="28"/>
  <c r="L185" i="28"/>
  <c r="I186" i="28"/>
  <c r="L187" i="28"/>
  <c r="I188" i="28"/>
  <c r="O189" i="28"/>
  <c r="O192" i="28"/>
  <c r="L193" i="28"/>
  <c r="I195" i="28"/>
  <c r="I197" i="28"/>
  <c r="O44" i="29"/>
  <c r="F46" i="29"/>
  <c r="O46" i="29"/>
  <c r="L47" i="29"/>
  <c r="I48" i="29"/>
  <c r="F49" i="29"/>
  <c r="L50" i="29"/>
  <c r="I51" i="29"/>
  <c r="I52" i="29"/>
  <c r="O53" i="29"/>
  <c r="L54" i="29"/>
  <c r="I55" i="29"/>
  <c r="F56" i="29"/>
  <c r="I57" i="29"/>
  <c r="I58" i="29"/>
  <c r="I59" i="29"/>
  <c r="F60" i="29"/>
  <c r="O60" i="29"/>
  <c r="F62" i="29"/>
  <c r="O62" i="29"/>
  <c r="L63" i="29"/>
  <c r="H91" i="29"/>
  <c r="F72" i="29"/>
  <c r="F17" i="29" s="1"/>
  <c r="L73" i="29"/>
  <c r="I74" i="29"/>
  <c r="I75" i="29"/>
  <c r="O76" i="29"/>
  <c r="L77" i="29"/>
  <c r="I78" i="29"/>
  <c r="F79" i="29"/>
  <c r="I80" i="29"/>
  <c r="I20" i="29" s="1"/>
  <c r="I81" i="29"/>
  <c r="I82" i="29"/>
  <c r="I21" i="29" s="1"/>
  <c r="F83" i="29"/>
  <c r="O83" i="29"/>
  <c r="F85" i="29"/>
  <c r="F19" i="29" s="1"/>
  <c r="L86" i="29"/>
  <c r="I87" i="29"/>
  <c r="F88" i="29"/>
  <c r="L89" i="29"/>
  <c r="I90" i="29"/>
  <c r="H118" i="29"/>
  <c r="O99" i="29"/>
  <c r="L100" i="29"/>
  <c r="I102" i="29"/>
  <c r="F103" i="29"/>
  <c r="O103" i="29"/>
  <c r="O104" i="29"/>
  <c r="L106" i="29"/>
  <c r="O107" i="29"/>
  <c r="L108" i="29"/>
  <c r="I110" i="29"/>
  <c r="F111" i="29"/>
  <c r="O111" i="29"/>
  <c r="L113" i="29"/>
  <c r="L114" i="29"/>
  <c r="I115" i="29"/>
  <c r="F116" i="29"/>
  <c r="O116" i="29"/>
  <c r="L117" i="29"/>
  <c r="N145" i="29"/>
  <c r="I126" i="29"/>
  <c r="I128" i="29"/>
  <c r="O129" i="29"/>
  <c r="O130" i="29"/>
  <c r="L131" i="29"/>
  <c r="F134" i="29"/>
  <c r="O134" i="29"/>
  <c r="F136" i="29"/>
  <c r="L136" i="29"/>
  <c r="O137" i="29"/>
  <c r="I138" i="29"/>
  <c r="F140" i="29"/>
  <c r="L140" i="29"/>
  <c r="O141" i="29"/>
  <c r="I142" i="29"/>
  <c r="F144" i="29"/>
  <c r="F18" i="29" s="1"/>
  <c r="L144" i="29"/>
  <c r="L18" i="29" s="1"/>
  <c r="H172" i="29"/>
  <c r="I179" i="29"/>
  <c r="I199" i="29" s="1"/>
  <c r="E31" i="30"/>
  <c r="E37" i="30" s="1"/>
  <c r="N64" i="30"/>
  <c r="O45" i="30"/>
  <c r="O25" i="30" s="1"/>
  <c r="I47" i="30"/>
  <c r="I31" i="30" s="1"/>
  <c r="O48" i="30"/>
  <c r="L49" i="30"/>
  <c r="I50" i="30"/>
  <c r="F51" i="30"/>
  <c r="O51" i="30"/>
  <c r="I53" i="30"/>
  <c r="O54" i="30"/>
  <c r="O55" i="30"/>
  <c r="L56" i="30"/>
  <c r="I57" i="30"/>
  <c r="F58" i="30"/>
  <c r="O60" i="30"/>
  <c r="O61" i="30"/>
  <c r="L62" i="30"/>
  <c r="I63" i="30"/>
  <c r="F74" i="30"/>
  <c r="O74" i="30"/>
  <c r="L75" i="30"/>
  <c r="L76" i="30"/>
  <c r="I77" i="30"/>
  <c r="F78" i="30"/>
  <c r="F79" i="30"/>
  <c r="I81" i="30"/>
  <c r="I82" i="30"/>
  <c r="O82" i="30"/>
  <c r="L83" i="30"/>
  <c r="L84" i="30"/>
  <c r="I85" i="30"/>
  <c r="F86" i="30"/>
  <c r="F20" i="30" s="1"/>
  <c r="F87" i="30"/>
  <c r="L87" i="30"/>
  <c r="I88" i="30"/>
  <c r="I89" i="30"/>
  <c r="O89" i="30"/>
  <c r="E145" i="30"/>
  <c r="L152" i="30"/>
  <c r="F153" i="30"/>
  <c r="I155" i="30"/>
  <c r="O156" i="30"/>
  <c r="L157" i="30"/>
  <c r="I158" i="30"/>
  <c r="F159" i="30"/>
  <c r="I160" i="30"/>
  <c r="F161" i="30"/>
  <c r="F21" i="30" s="1"/>
  <c r="O161" i="30"/>
  <c r="O21" i="30" s="1"/>
  <c r="L162" i="30"/>
  <c r="I163" i="30"/>
  <c r="I165" i="30"/>
  <c r="F166" i="30"/>
  <c r="O166" i="30"/>
  <c r="O168" i="30"/>
  <c r="L169" i="30"/>
  <c r="L17" i="30" s="1"/>
  <c r="F170" i="30"/>
  <c r="L171" i="30"/>
  <c r="F179" i="30"/>
  <c r="L180" i="30"/>
  <c r="I181" i="30"/>
  <c r="F182" i="30"/>
  <c r="O182" i="30"/>
  <c r="L183" i="30"/>
  <c r="F184" i="30"/>
  <c r="O184" i="30"/>
  <c r="L185" i="30"/>
  <c r="I186" i="30"/>
  <c r="O186" i="30"/>
  <c r="L187" i="30"/>
  <c r="I188" i="30"/>
  <c r="O189" i="30"/>
  <c r="I192" i="30"/>
  <c r="O193" i="30"/>
  <c r="I196" i="30"/>
  <c r="O197" i="30"/>
  <c r="E64" i="31"/>
  <c r="O46" i="31"/>
  <c r="L48" i="31"/>
  <c r="L49" i="31"/>
  <c r="I50" i="31"/>
  <c r="F51" i="31"/>
  <c r="I53" i="31"/>
  <c r="O53" i="31"/>
  <c r="L54" i="31"/>
  <c r="L55" i="31"/>
  <c r="L56" i="31"/>
  <c r="I57" i="31"/>
  <c r="F58" i="31"/>
  <c r="L58" i="31"/>
  <c r="I59" i="31"/>
  <c r="I18" i="31" s="1"/>
  <c r="F60" i="31"/>
  <c r="L61" i="31"/>
  <c r="F71" i="31"/>
  <c r="E118" i="31"/>
  <c r="H145" i="31"/>
  <c r="H172" i="31"/>
  <c r="I154" i="31"/>
  <c r="F155" i="31"/>
  <c r="I156" i="31"/>
  <c r="I21" i="31" s="1"/>
  <c r="O157" i="31"/>
  <c r="L158" i="31"/>
  <c r="I159" i="31"/>
  <c r="L160" i="31"/>
  <c r="I161" i="31"/>
  <c r="O162" i="31"/>
  <c r="L164" i="31"/>
  <c r="F165" i="31"/>
  <c r="O166" i="31"/>
  <c r="L167" i="31"/>
  <c r="I168" i="31"/>
  <c r="O170" i="31"/>
  <c r="F179" i="31"/>
  <c r="O194" i="31"/>
  <c r="F191" i="31"/>
  <c r="O189" i="31"/>
  <c r="F189" i="31"/>
  <c r="F183" i="31"/>
  <c r="L166" i="28"/>
  <c r="O167" i="28"/>
  <c r="L168" i="28"/>
  <c r="I169" i="28"/>
  <c r="L180" i="28"/>
  <c r="I181" i="28"/>
  <c r="I183" i="28"/>
  <c r="O185" i="28"/>
  <c r="O187" i="28"/>
  <c r="L188" i="28"/>
  <c r="I191" i="28"/>
  <c r="I194" i="28"/>
  <c r="L195" i="28"/>
  <c r="L197" i="28"/>
  <c r="O198" i="28"/>
  <c r="H64" i="29"/>
  <c r="F45" i="29"/>
  <c r="L45" i="29"/>
  <c r="I46" i="29"/>
  <c r="F47" i="29"/>
  <c r="O49" i="29"/>
  <c r="L51" i="29"/>
  <c r="L52" i="29"/>
  <c r="I53" i="29"/>
  <c r="F54" i="29"/>
  <c r="I56" i="29"/>
  <c r="O56" i="29"/>
  <c r="L57" i="29"/>
  <c r="L58" i="29"/>
  <c r="L59" i="29"/>
  <c r="I60" i="29"/>
  <c r="F61" i="29"/>
  <c r="I62" i="29"/>
  <c r="F63" i="29"/>
  <c r="O72" i="29"/>
  <c r="O17" i="29" s="1"/>
  <c r="L74" i="29"/>
  <c r="L75" i="29"/>
  <c r="I76" i="29"/>
  <c r="F77" i="29"/>
  <c r="I79" i="29"/>
  <c r="O79" i="29"/>
  <c r="L80" i="29"/>
  <c r="L20" i="29" s="1"/>
  <c r="L81" i="29"/>
  <c r="I83" i="29"/>
  <c r="F84" i="29"/>
  <c r="L84" i="29"/>
  <c r="I85" i="29"/>
  <c r="I19" i="29" s="1"/>
  <c r="F86" i="29"/>
  <c r="L90" i="29"/>
  <c r="K118" i="29"/>
  <c r="I99" i="29"/>
  <c r="F100" i="29"/>
  <c r="O100" i="29"/>
  <c r="L101" i="29"/>
  <c r="F104" i="29"/>
  <c r="F105" i="29"/>
  <c r="O105" i="29"/>
  <c r="I107" i="29"/>
  <c r="F108" i="29"/>
  <c r="O108" i="29"/>
  <c r="L109" i="29"/>
  <c r="F112" i="29"/>
  <c r="O113" i="29"/>
  <c r="O114" i="29"/>
  <c r="I116" i="29"/>
  <c r="F117" i="29"/>
  <c r="O117" i="29"/>
  <c r="I125" i="29"/>
  <c r="F127" i="29"/>
  <c r="L127" i="29"/>
  <c r="L128" i="29"/>
  <c r="I129" i="29"/>
  <c r="F130" i="29"/>
  <c r="F131" i="29"/>
  <c r="O131" i="29"/>
  <c r="L132" i="29"/>
  <c r="I133" i="29"/>
  <c r="I134" i="29"/>
  <c r="F135" i="29"/>
  <c r="L135" i="29"/>
  <c r="O136" i="29"/>
  <c r="I137" i="29"/>
  <c r="F139" i="29"/>
  <c r="L139" i="29"/>
  <c r="O140" i="29"/>
  <c r="I141" i="29"/>
  <c r="F143" i="29"/>
  <c r="O144" i="29"/>
  <c r="O18" i="29" s="1"/>
  <c r="E199" i="29"/>
  <c r="K199" i="29"/>
  <c r="N31" i="30"/>
  <c r="I44" i="30"/>
  <c r="F45" i="30"/>
  <c r="F25" i="30" s="1"/>
  <c r="F46" i="30"/>
  <c r="F27" i="30" s="1"/>
  <c r="L46" i="30"/>
  <c r="L27" i="30" s="1"/>
  <c r="L47" i="30"/>
  <c r="L31" i="30" s="1"/>
  <c r="I48" i="30"/>
  <c r="F49" i="30"/>
  <c r="O49" i="30"/>
  <c r="L50" i="30"/>
  <c r="I51" i="30"/>
  <c r="F52" i="30"/>
  <c r="L52" i="30"/>
  <c r="L53" i="30"/>
  <c r="I54" i="30"/>
  <c r="F55" i="30"/>
  <c r="F56" i="30"/>
  <c r="O58" i="30"/>
  <c r="L59" i="30"/>
  <c r="F61" i="30"/>
  <c r="F62" i="30"/>
  <c r="L63" i="30"/>
  <c r="I71" i="30"/>
  <c r="I23" i="30" s="1"/>
  <c r="O71" i="30"/>
  <c r="O72" i="30"/>
  <c r="O26" i="30" s="1"/>
  <c r="L73" i="30"/>
  <c r="L29" i="30" s="1"/>
  <c r="I74" i="30"/>
  <c r="F75" i="30"/>
  <c r="O75" i="30"/>
  <c r="L77" i="30"/>
  <c r="I78" i="30"/>
  <c r="O79" i="30"/>
  <c r="L80" i="30"/>
  <c r="L81" i="30"/>
  <c r="F83" i="30"/>
  <c r="O83" i="30"/>
  <c r="L85" i="30"/>
  <c r="L88" i="30"/>
  <c r="F90" i="30"/>
  <c r="L98" i="30"/>
  <c r="I99" i="30"/>
  <c r="F100" i="30"/>
  <c r="F101" i="30"/>
  <c r="L101" i="30"/>
  <c r="L102" i="30"/>
  <c r="I103" i="30"/>
  <c r="I22" i="30" s="1"/>
  <c r="F104" i="30"/>
  <c r="O104" i="30"/>
  <c r="L105" i="30"/>
  <c r="L24" i="30" s="1"/>
  <c r="I106" i="30"/>
  <c r="F107" i="30"/>
  <c r="L107" i="30"/>
  <c r="L108" i="30"/>
  <c r="F110" i="30"/>
  <c r="F111" i="30"/>
  <c r="F30" i="30" s="1"/>
  <c r="L112" i="30"/>
  <c r="L113" i="30"/>
  <c r="L114" i="30"/>
  <c r="F116" i="30"/>
  <c r="L117" i="30"/>
  <c r="H145" i="30"/>
  <c r="E172" i="30"/>
  <c r="I153" i="30"/>
  <c r="F154" i="30"/>
  <c r="O154" i="30"/>
  <c r="F156" i="30"/>
  <c r="O157" i="30"/>
  <c r="L158" i="30"/>
  <c r="I159" i="30"/>
  <c r="O159" i="30"/>
  <c r="L160" i="30"/>
  <c r="I161" i="30"/>
  <c r="I21" i="30" s="1"/>
  <c r="O162" i="30"/>
  <c r="F164" i="30"/>
  <c r="O164" i="30"/>
  <c r="L165" i="30"/>
  <c r="I166" i="30"/>
  <c r="L167" i="30"/>
  <c r="F168" i="30"/>
  <c r="I170" i="30"/>
  <c r="H199" i="30"/>
  <c r="F180" i="30"/>
  <c r="O180" i="30"/>
  <c r="L181" i="30"/>
  <c r="I182" i="30"/>
  <c r="I184" i="30"/>
  <c r="O185" i="30"/>
  <c r="O187" i="30"/>
  <c r="F189" i="30"/>
  <c r="L190" i="30"/>
  <c r="F191" i="30"/>
  <c r="O191" i="30"/>
  <c r="F193" i="30"/>
  <c r="L194" i="30"/>
  <c r="F195" i="30"/>
  <c r="O195" i="30"/>
  <c r="F197" i="30"/>
  <c r="O44" i="31"/>
  <c r="L45" i="31"/>
  <c r="I46" i="31"/>
  <c r="F47" i="31"/>
  <c r="O47" i="31"/>
  <c r="O48" i="31"/>
  <c r="O49" i="31"/>
  <c r="I51" i="31"/>
  <c r="O51" i="31"/>
  <c r="L52" i="31"/>
  <c r="F54" i="31"/>
  <c r="O54" i="31"/>
  <c r="O55" i="31"/>
  <c r="L57" i="31"/>
  <c r="O60" i="31"/>
  <c r="I62" i="31"/>
  <c r="O62" i="31"/>
  <c r="H91" i="31"/>
  <c r="O71" i="31"/>
  <c r="O73" i="31"/>
  <c r="L74" i="31"/>
  <c r="F75" i="31"/>
  <c r="O75" i="31"/>
  <c r="F77" i="31"/>
  <c r="O77" i="31"/>
  <c r="L78" i="31"/>
  <c r="I79" i="31"/>
  <c r="O79" i="31"/>
  <c r="O81" i="31"/>
  <c r="L82" i="31"/>
  <c r="F83" i="31"/>
  <c r="O83" i="31"/>
  <c r="F85" i="31"/>
  <c r="F19" i="31" s="1"/>
  <c r="O85" i="31"/>
  <c r="O19" i="31" s="1"/>
  <c r="L86" i="31"/>
  <c r="L20" i="31" s="1"/>
  <c r="I87" i="31"/>
  <c r="O89" i="31"/>
  <c r="L90" i="31"/>
  <c r="F98" i="31"/>
  <c r="F153" i="31"/>
  <c r="F172" i="31" s="1"/>
  <c r="O153" i="31"/>
  <c r="L154" i="31"/>
  <c r="I155" i="31"/>
  <c r="O155" i="31"/>
  <c r="F157" i="31"/>
  <c r="O158" i="31"/>
  <c r="F160" i="31"/>
  <c r="O160" i="31"/>
  <c r="L161" i="31"/>
  <c r="F162" i="31"/>
  <c r="L163" i="31"/>
  <c r="F164" i="31"/>
  <c r="I165" i="31"/>
  <c r="F166" i="31"/>
  <c r="I169" i="31"/>
  <c r="F170" i="31"/>
  <c r="L171" i="31"/>
  <c r="H199" i="31"/>
  <c r="F180" i="31"/>
  <c r="O180" i="31"/>
  <c r="L181" i="31"/>
  <c r="I182" i="31"/>
  <c r="I189" i="31"/>
  <c r="F190" i="31"/>
  <c r="O190" i="31"/>
  <c r="O191" i="31"/>
  <c r="L192" i="31"/>
  <c r="I193" i="31"/>
  <c r="F194" i="31"/>
  <c r="H64" i="32"/>
  <c r="L99" i="32"/>
  <c r="F102" i="32"/>
  <c r="F104" i="32"/>
  <c r="L104" i="32"/>
  <c r="I105" i="32"/>
  <c r="F106" i="32"/>
  <c r="L106" i="32"/>
  <c r="I107" i="32"/>
  <c r="F110" i="32"/>
  <c r="F112" i="32"/>
  <c r="L112" i="32"/>
  <c r="F114" i="32"/>
  <c r="L114" i="32"/>
  <c r="I115" i="32"/>
  <c r="F116" i="32"/>
  <c r="L116" i="32"/>
  <c r="I117" i="32"/>
  <c r="O117" i="32"/>
  <c r="N145" i="32"/>
  <c r="F127" i="32"/>
  <c r="F128" i="32"/>
  <c r="O128" i="32"/>
  <c r="L129" i="32"/>
  <c r="I130" i="32"/>
  <c r="I131" i="32"/>
  <c r="F132" i="32"/>
  <c r="L132" i="32"/>
  <c r="I133" i="32"/>
  <c r="L135" i="32"/>
  <c r="I136" i="32"/>
  <c r="I137" i="32"/>
  <c r="F138" i="32"/>
  <c r="O138" i="32"/>
  <c r="L139" i="32"/>
  <c r="I140" i="32"/>
  <c r="O140" i="32"/>
  <c r="O141" i="32"/>
  <c r="O18" i="32" s="1"/>
  <c r="F143" i="32"/>
  <c r="F144" i="32"/>
  <c r="O144" i="32"/>
  <c r="E199" i="32"/>
  <c r="H64" i="33"/>
  <c r="F98" i="33"/>
  <c r="F103" i="33"/>
  <c r="F22" i="33" s="1"/>
  <c r="O103" i="33"/>
  <c r="O22" i="33" s="1"/>
  <c r="I105" i="33"/>
  <c r="F106" i="33"/>
  <c r="F25" i="33" s="1"/>
  <c r="F111" i="33"/>
  <c r="O111" i="33"/>
  <c r="I113" i="33"/>
  <c r="I126" i="33"/>
  <c r="L129" i="33"/>
  <c r="I130" i="33"/>
  <c r="I132" i="33"/>
  <c r="L135" i="33"/>
  <c r="I136" i="33"/>
  <c r="O138" i="33"/>
  <c r="O139" i="33"/>
  <c r="I142" i="33"/>
  <c r="L116" i="33"/>
  <c r="F116" i="33"/>
  <c r="I114" i="33"/>
  <c r="L112" i="33"/>
  <c r="L31" i="33" s="1"/>
  <c r="F112" i="33"/>
  <c r="F31" i="33" s="1"/>
  <c r="I110" i="33"/>
  <c r="I29" i="33" s="1"/>
  <c r="L108" i="33"/>
  <c r="L27" i="33" s="1"/>
  <c r="F108" i="33"/>
  <c r="F27" i="33" s="1"/>
  <c r="I106" i="33"/>
  <c r="I25" i="33" s="1"/>
  <c r="L104" i="33"/>
  <c r="F104" i="33"/>
  <c r="I102" i="33"/>
  <c r="L100" i="33"/>
  <c r="F100" i="33"/>
  <c r="I98" i="33"/>
  <c r="L117" i="33"/>
  <c r="F117" i="33"/>
  <c r="I115" i="33"/>
  <c r="L113" i="33"/>
  <c r="F113" i="33"/>
  <c r="I111" i="33"/>
  <c r="L109" i="33"/>
  <c r="F109" i="33"/>
  <c r="I107" i="33"/>
  <c r="I26" i="33" s="1"/>
  <c r="L105" i="33"/>
  <c r="F105" i="33"/>
  <c r="I103" i="33"/>
  <c r="I22" i="33" s="1"/>
  <c r="L101" i="33"/>
  <c r="F101" i="33"/>
  <c r="I99" i="33"/>
  <c r="O144" i="33"/>
  <c r="O142" i="33"/>
  <c r="F142" i="33"/>
  <c r="F140" i="33"/>
  <c r="F18" i="33" s="1"/>
  <c r="L138" i="33"/>
  <c r="L136" i="33"/>
  <c r="L134" i="33"/>
  <c r="F132" i="33"/>
  <c r="L130" i="33"/>
  <c r="F128" i="33"/>
  <c r="F126" i="33"/>
  <c r="F144" i="33"/>
  <c r="L140" i="33"/>
  <c r="L18" i="33" s="1"/>
  <c r="F139" i="33"/>
  <c r="F137" i="33"/>
  <c r="O135" i="33"/>
  <c r="F135" i="33"/>
  <c r="F133" i="33"/>
  <c r="L132" i="33"/>
  <c r="F131" i="33"/>
  <c r="O129" i="33"/>
  <c r="L128" i="33"/>
  <c r="F127" i="33"/>
  <c r="L126" i="33"/>
  <c r="L44" i="32"/>
  <c r="L64" i="32" s="1"/>
  <c r="I71" i="32"/>
  <c r="I91" i="32" s="1"/>
  <c r="O71" i="32"/>
  <c r="O91" i="32" s="1"/>
  <c r="K118" i="32"/>
  <c r="F99" i="32"/>
  <c r="O99" i="32"/>
  <c r="F101" i="32"/>
  <c r="I102" i="32"/>
  <c r="F103" i="32"/>
  <c r="I104" i="32"/>
  <c r="O104" i="32"/>
  <c r="L105" i="32"/>
  <c r="I106" i="32"/>
  <c r="O106" i="32"/>
  <c r="O107" i="32"/>
  <c r="F109" i="32"/>
  <c r="I110" i="32"/>
  <c r="F111" i="32"/>
  <c r="I112" i="32"/>
  <c r="F113" i="32"/>
  <c r="I114" i="32"/>
  <c r="O114" i="32"/>
  <c r="I116" i="32"/>
  <c r="O116" i="32"/>
  <c r="L117" i="32"/>
  <c r="H145" i="32"/>
  <c r="L127" i="32"/>
  <c r="I128" i="32"/>
  <c r="I129" i="32"/>
  <c r="F130" i="32"/>
  <c r="O130" i="32"/>
  <c r="L131" i="32"/>
  <c r="I132" i="32"/>
  <c r="O132" i="32"/>
  <c r="O133" i="32"/>
  <c r="F135" i="32"/>
  <c r="F136" i="32"/>
  <c r="O136" i="32"/>
  <c r="L137" i="32"/>
  <c r="I138" i="32"/>
  <c r="I139" i="32"/>
  <c r="F140" i="32"/>
  <c r="L140" i="32"/>
  <c r="L143" i="32"/>
  <c r="I144" i="32"/>
  <c r="H172" i="32"/>
  <c r="F169" i="32"/>
  <c r="O169" i="32"/>
  <c r="O170" i="32"/>
  <c r="K199" i="32"/>
  <c r="I180" i="32"/>
  <c r="O180" i="32"/>
  <c r="O181" i="32"/>
  <c r="L182" i="32"/>
  <c r="L183" i="32"/>
  <c r="O184" i="32"/>
  <c r="L185" i="32"/>
  <c r="I186" i="32"/>
  <c r="I187" i="32"/>
  <c r="F188" i="32"/>
  <c r="O188" i="32"/>
  <c r="L189" i="32"/>
  <c r="L190" i="32"/>
  <c r="I191" i="32"/>
  <c r="O191" i="32"/>
  <c r="I193" i="32"/>
  <c r="F194" i="32"/>
  <c r="L195" i="32"/>
  <c r="I196" i="32"/>
  <c r="O196" i="32"/>
  <c r="O197" i="32"/>
  <c r="L198" i="32"/>
  <c r="E64" i="33"/>
  <c r="I71" i="33"/>
  <c r="I75" i="33"/>
  <c r="I30" i="33" s="1"/>
  <c r="K118" i="33"/>
  <c r="F99" i="33"/>
  <c r="O99" i="33"/>
  <c r="I101" i="33"/>
  <c r="F102" i="33"/>
  <c r="F107" i="33"/>
  <c r="F26" i="33" s="1"/>
  <c r="O107" i="33"/>
  <c r="O26" i="33" s="1"/>
  <c r="I109" i="33"/>
  <c r="F110" i="33"/>
  <c r="F29" i="33" s="1"/>
  <c r="F115" i="33"/>
  <c r="O115" i="33"/>
  <c r="I117" i="33"/>
  <c r="F125" i="33"/>
  <c r="N145" i="33"/>
  <c r="L127" i="33"/>
  <c r="O130" i="33"/>
  <c r="O131" i="33"/>
  <c r="F134" i="33"/>
  <c r="O136" i="33"/>
  <c r="L137" i="33"/>
  <c r="I138" i="33"/>
  <c r="I140" i="33"/>
  <c r="I18" i="33" s="1"/>
  <c r="F141" i="33"/>
  <c r="O141" i="33"/>
  <c r="F152" i="33"/>
  <c r="I169" i="33"/>
  <c r="I166" i="31"/>
  <c r="O167" i="31"/>
  <c r="L170" i="31"/>
  <c r="I171" i="31"/>
  <c r="I180" i="31"/>
  <c r="O181" i="31"/>
  <c r="O184" i="31"/>
  <c r="L185" i="31"/>
  <c r="I186" i="31"/>
  <c r="I188" i="31"/>
  <c r="O192" i="31"/>
  <c r="L193" i="31"/>
  <c r="I194" i="31"/>
  <c r="L195" i="31"/>
  <c r="I196" i="31"/>
  <c r="O197" i="31"/>
  <c r="E64" i="32"/>
  <c r="E118" i="32"/>
  <c r="L98" i="32"/>
  <c r="I99" i="32"/>
  <c r="F100" i="32"/>
  <c r="L100" i="32"/>
  <c r="I101" i="32"/>
  <c r="O101" i="32"/>
  <c r="L102" i="32"/>
  <c r="I103" i="32"/>
  <c r="O103" i="32"/>
  <c r="F105" i="32"/>
  <c r="O105" i="32"/>
  <c r="F107" i="32"/>
  <c r="F108" i="32"/>
  <c r="L108" i="32"/>
  <c r="I109" i="32"/>
  <c r="O109" i="32"/>
  <c r="L110" i="32"/>
  <c r="I111" i="32"/>
  <c r="O111" i="32"/>
  <c r="I113" i="32"/>
  <c r="O113" i="32"/>
  <c r="F115" i="32"/>
  <c r="F117" i="32"/>
  <c r="K145" i="32"/>
  <c r="I126" i="32"/>
  <c r="O126" i="32"/>
  <c r="O127" i="32"/>
  <c r="L128" i="32"/>
  <c r="F131" i="32"/>
  <c r="O131" i="32"/>
  <c r="F133" i="32"/>
  <c r="F134" i="32"/>
  <c r="L134" i="32"/>
  <c r="I135" i="32"/>
  <c r="F137" i="32"/>
  <c r="O137" i="32"/>
  <c r="L138" i="32"/>
  <c r="I142" i="32"/>
  <c r="O143" i="32"/>
  <c r="L144" i="32"/>
  <c r="O153" i="32"/>
  <c r="O19" i="32" s="1"/>
  <c r="L154" i="32"/>
  <c r="I155" i="32"/>
  <c r="O155" i="32"/>
  <c r="O156" i="32"/>
  <c r="F158" i="32"/>
  <c r="F159" i="32"/>
  <c r="O159" i="32"/>
  <c r="I161" i="32"/>
  <c r="F162" i="32"/>
  <c r="L163" i="32"/>
  <c r="F166" i="32"/>
  <c r="O166" i="32"/>
  <c r="O167" i="32"/>
  <c r="O21" i="32" s="1"/>
  <c r="L168" i="32"/>
  <c r="F170" i="32"/>
  <c r="F171" i="32"/>
  <c r="N199" i="32"/>
  <c r="F181" i="32"/>
  <c r="F182" i="32"/>
  <c r="O182" i="32"/>
  <c r="I184" i="32"/>
  <c r="F185" i="32"/>
  <c r="L186" i="32"/>
  <c r="F189" i="32"/>
  <c r="O189" i="32"/>
  <c r="F192" i="32"/>
  <c r="L192" i="32"/>
  <c r="L193" i="32"/>
  <c r="I194" i="32"/>
  <c r="O195" i="32"/>
  <c r="F197" i="32"/>
  <c r="F198" i="32"/>
  <c r="O198" i="32"/>
  <c r="F44" i="33"/>
  <c r="E91" i="33"/>
  <c r="K91" i="33"/>
  <c r="L90" i="33"/>
  <c r="F90" i="33"/>
  <c r="I88" i="33"/>
  <c r="I21" i="33" s="1"/>
  <c r="L86" i="33"/>
  <c r="F86" i="33"/>
  <c r="I84" i="33"/>
  <c r="L82" i="33"/>
  <c r="F82" i="33"/>
  <c r="I80" i="33"/>
  <c r="L78" i="33"/>
  <c r="L91" i="33" s="1"/>
  <c r="F78" i="33"/>
  <c r="F91" i="33" s="1"/>
  <c r="I76" i="33"/>
  <c r="I20" i="33" s="1"/>
  <c r="E118" i="33"/>
  <c r="L98" i="33"/>
  <c r="O100" i="33"/>
  <c r="L103" i="33"/>
  <c r="L22" i="33" s="1"/>
  <c r="I104" i="33"/>
  <c r="L106" i="33"/>
  <c r="L25" i="33" s="1"/>
  <c r="O108" i="33"/>
  <c r="O27" i="33" s="1"/>
  <c r="L111" i="33"/>
  <c r="I112" i="33"/>
  <c r="I31" i="33" s="1"/>
  <c r="L114" i="33"/>
  <c r="O116" i="33"/>
  <c r="O126" i="33"/>
  <c r="O127" i="33"/>
  <c r="F130" i="33"/>
  <c r="O132" i="33"/>
  <c r="L133" i="33"/>
  <c r="I134" i="33"/>
  <c r="F136" i="33"/>
  <c r="L139" i="33"/>
  <c r="O143" i="33"/>
  <c r="L144" i="33"/>
  <c r="O171" i="33"/>
  <c r="F168" i="33"/>
  <c r="O166" i="33"/>
  <c r="F166" i="33"/>
  <c r="F159" i="33"/>
  <c r="F156" i="33"/>
  <c r="F153" i="33"/>
  <c r="F171" i="33"/>
  <c r="F165" i="33"/>
  <c r="F163" i="33"/>
  <c r="F160" i="33"/>
  <c r="L159" i="33"/>
  <c r="F158" i="33"/>
  <c r="L156" i="33"/>
  <c r="E199" i="33"/>
  <c r="E91" i="34"/>
  <c r="K91" i="34"/>
  <c r="L73" i="34"/>
  <c r="O74" i="34"/>
  <c r="I75" i="34"/>
  <c r="F76" i="34"/>
  <c r="O76" i="34"/>
  <c r="I77" i="34"/>
  <c r="F78" i="34"/>
  <c r="L80" i="34"/>
  <c r="L82" i="34"/>
  <c r="F83" i="34"/>
  <c r="F21" i="34" s="1"/>
  <c r="O83" i="34"/>
  <c r="O21" i="34" s="1"/>
  <c r="I84" i="34"/>
  <c r="F85" i="34"/>
  <c r="O85" i="34"/>
  <c r="I86" i="34"/>
  <c r="L87" i="34"/>
  <c r="L89" i="34"/>
  <c r="O90" i="34"/>
  <c r="K118" i="34"/>
  <c r="F116" i="34"/>
  <c r="O111" i="34"/>
  <c r="F108" i="34"/>
  <c r="O106" i="34"/>
  <c r="F106" i="34"/>
  <c r="F100" i="34"/>
  <c r="E145" i="34"/>
  <c r="F127" i="34"/>
  <c r="O127" i="34"/>
  <c r="L128" i="34"/>
  <c r="L129" i="34"/>
  <c r="I130" i="34"/>
  <c r="O135" i="34"/>
  <c r="L136" i="34"/>
  <c r="F137" i="34"/>
  <c r="L138" i="34"/>
  <c r="L139" i="34"/>
  <c r="L17" i="34" s="1"/>
  <c r="I140" i="34"/>
  <c r="F141" i="34"/>
  <c r="O141" i="34"/>
  <c r="I144" i="34"/>
  <c r="H118" i="35"/>
  <c r="K145" i="35"/>
  <c r="L134" i="35"/>
  <c r="I136" i="35"/>
  <c r="O139" i="35"/>
  <c r="F144" i="34"/>
  <c r="L142" i="34"/>
  <c r="L140" i="34"/>
  <c r="F139" i="34"/>
  <c r="F17" i="34" s="1"/>
  <c r="O134" i="34"/>
  <c r="F131" i="34"/>
  <c r="O129" i="34"/>
  <c r="F129" i="34"/>
  <c r="L143" i="35"/>
  <c r="F143" i="35"/>
  <c r="I141" i="35"/>
  <c r="L139" i="35"/>
  <c r="F139" i="35"/>
  <c r="I137" i="35"/>
  <c r="L135" i="35"/>
  <c r="F135" i="35"/>
  <c r="I133" i="35"/>
  <c r="L131" i="35"/>
  <c r="F131" i="35"/>
  <c r="I129" i="35"/>
  <c r="L127" i="35"/>
  <c r="F127" i="35"/>
  <c r="I125" i="35"/>
  <c r="L144" i="35"/>
  <c r="F144" i="35"/>
  <c r="I142" i="35"/>
  <c r="L140" i="35"/>
  <c r="F140" i="35"/>
  <c r="I138" i="35"/>
  <c r="L136" i="35"/>
  <c r="F136" i="35"/>
  <c r="I134" i="35"/>
  <c r="L132" i="35"/>
  <c r="F132" i="35"/>
  <c r="I130" i="35"/>
  <c r="L128" i="35"/>
  <c r="F128" i="35"/>
  <c r="I126" i="35"/>
  <c r="I143" i="35"/>
  <c r="L141" i="35"/>
  <c r="F141" i="35"/>
  <c r="I139" i="35"/>
  <c r="L137" i="35"/>
  <c r="F137" i="35"/>
  <c r="I135" i="35"/>
  <c r="L133" i="35"/>
  <c r="F133" i="35"/>
  <c r="I131" i="35"/>
  <c r="L129" i="35"/>
  <c r="F129" i="35"/>
  <c r="I127" i="35"/>
  <c r="L125" i="35"/>
  <c r="F125" i="35"/>
  <c r="E172" i="35"/>
  <c r="F152" i="35"/>
  <c r="F172" i="35" s="1"/>
  <c r="O163" i="35"/>
  <c r="O21" i="35" s="1"/>
  <c r="N21" i="35"/>
  <c r="O71" i="36"/>
  <c r="N91" i="36"/>
  <c r="O79" i="33"/>
  <c r="O83" i="33"/>
  <c r="O87" i="33"/>
  <c r="H118" i="33"/>
  <c r="N118" i="33"/>
  <c r="O102" i="33"/>
  <c r="O106" i="33"/>
  <c r="O25" i="33" s="1"/>
  <c r="O110" i="33"/>
  <c r="O29" i="33" s="1"/>
  <c r="O114" i="33"/>
  <c r="H145" i="33"/>
  <c r="I129" i="33"/>
  <c r="O133" i="33"/>
  <c r="O137" i="33"/>
  <c r="I141" i="33"/>
  <c r="I143" i="33"/>
  <c r="H172" i="33"/>
  <c r="O153" i="33"/>
  <c r="L154" i="33"/>
  <c r="I155" i="33"/>
  <c r="I157" i="33"/>
  <c r="O160" i="33"/>
  <c r="L161" i="33"/>
  <c r="I162" i="33"/>
  <c r="I19" i="33" s="1"/>
  <c r="O163" i="33"/>
  <c r="L164" i="33"/>
  <c r="I167" i="33"/>
  <c r="O168" i="33"/>
  <c r="L169" i="33"/>
  <c r="I170" i="33"/>
  <c r="H199" i="33"/>
  <c r="I45" i="34"/>
  <c r="F46" i="34"/>
  <c r="I47" i="34"/>
  <c r="F48" i="34"/>
  <c r="O48" i="34"/>
  <c r="L49" i="34"/>
  <c r="I50" i="34"/>
  <c r="O51" i="34"/>
  <c r="L52" i="34"/>
  <c r="I53" i="34"/>
  <c r="I54" i="34"/>
  <c r="O55" i="34"/>
  <c r="L56" i="34"/>
  <c r="F57" i="34"/>
  <c r="O57" i="34"/>
  <c r="L58" i="34"/>
  <c r="L18" i="34" s="1"/>
  <c r="I59" i="34"/>
  <c r="F60" i="34"/>
  <c r="L61" i="34"/>
  <c r="F62" i="34"/>
  <c r="H91" i="34"/>
  <c r="L72" i="34"/>
  <c r="L74" i="34"/>
  <c r="F75" i="34"/>
  <c r="O75" i="34"/>
  <c r="I76" i="34"/>
  <c r="F77" i="34"/>
  <c r="O77" i="34"/>
  <c r="I78" i="34"/>
  <c r="L79" i="34"/>
  <c r="L19" i="34" s="1"/>
  <c r="L81" i="34"/>
  <c r="O82" i="34"/>
  <c r="I83" i="34"/>
  <c r="I21" i="34" s="1"/>
  <c r="F84" i="34"/>
  <c r="O84" i="34"/>
  <c r="I85" i="34"/>
  <c r="F86" i="34"/>
  <c r="L88" i="34"/>
  <c r="L90" i="34"/>
  <c r="F98" i="34"/>
  <c r="L99" i="34"/>
  <c r="L100" i="34"/>
  <c r="I101" i="34"/>
  <c r="F102" i="34"/>
  <c r="L103" i="34"/>
  <c r="I104" i="34"/>
  <c r="O105" i="34"/>
  <c r="I108" i="34"/>
  <c r="F109" i="34"/>
  <c r="O110" i="34"/>
  <c r="F112" i="34"/>
  <c r="I114" i="34"/>
  <c r="F115" i="34"/>
  <c r="O115" i="34"/>
  <c r="O116" i="34"/>
  <c r="L117" i="34"/>
  <c r="H145" i="34"/>
  <c r="F126" i="34"/>
  <c r="F145" i="34" s="1"/>
  <c r="O126" i="34"/>
  <c r="L127" i="34"/>
  <c r="F128" i="34"/>
  <c r="L130" i="34"/>
  <c r="L131" i="34"/>
  <c r="I132" i="34"/>
  <c r="F133" i="34"/>
  <c r="L134" i="34"/>
  <c r="I135" i="34"/>
  <c r="F136" i="34"/>
  <c r="O136" i="34"/>
  <c r="L137" i="34"/>
  <c r="I138" i="34"/>
  <c r="O140" i="34"/>
  <c r="L141" i="34"/>
  <c r="F142" i="34"/>
  <c r="O143" i="34"/>
  <c r="L144" i="34"/>
  <c r="O113" i="35"/>
  <c r="L110" i="35"/>
  <c r="O102" i="35"/>
  <c r="L99" i="35"/>
  <c r="L117" i="35"/>
  <c r="O115" i="35"/>
  <c r="I115" i="35"/>
  <c r="L108" i="35"/>
  <c r="I103" i="35"/>
  <c r="O110" i="35"/>
  <c r="O105" i="35"/>
  <c r="L101" i="35"/>
  <c r="O99" i="35"/>
  <c r="I99" i="35"/>
  <c r="E145" i="35"/>
  <c r="L126" i="35"/>
  <c r="I128" i="35"/>
  <c r="F130" i="35"/>
  <c r="O131" i="35"/>
  <c r="L142" i="35"/>
  <c r="I144" i="35"/>
  <c r="O101" i="33"/>
  <c r="O105" i="33"/>
  <c r="O109" i="33"/>
  <c r="O113" i="33"/>
  <c r="O117" i="33"/>
  <c r="I127" i="33"/>
  <c r="O128" i="33"/>
  <c r="I131" i="33"/>
  <c r="I133" i="33"/>
  <c r="I135" i="33"/>
  <c r="I137" i="33"/>
  <c r="I139" i="33"/>
  <c r="O140" i="33"/>
  <c r="O18" i="33" s="1"/>
  <c r="L143" i="33"/>
  <c r="I144" i="33"/>
  <c r="O154" i="33"/>
  <c r="O156" i="33"/>
  <c r="L157" i="33"/>
  <c r="I158" i="33"/>
  <c r="I160" i="33"/>
  <c r="O161" i="33"/>
  <c r="L162" i="33"/>
  <c r="L19" i="33" s="1"/>
  <c r="I163" i="33"/>
  <c r="I165" i="33"/>
  <c r="O169" i="33"/>
  <c r="L170" i="33"/>
  <c r="I171" i="33"/>
  <c r="I180" i="33"/>
  <c r="O181" i="33"/>
  <c r="F183" i="33"/>
  <c r="F199" i="33" s="1"/>
  <c r="O184" i="33"/>
  <c r="O199" i="33" s="1"/>
  <c r="G9" i="33" s="1"/>
  <c r="L185" i="33"/>
  <c r="I186" i="33"/>
  <c r="I188" i="33"/>
  <c r="F189" i="33"/>
  <c r="O189" i="33"/>
  <c r="F191" i="33"/>
  <c r="O192" i="33"/>
  <c r="L193" i="33"/>
  <c r="I194" i="33"/>
  <c r="O194" i="33"/>
  <c r="O197" i="33"/>
  <c r="H18" i="34"/>
  <c r="H37" i="34" s="1"/>
  <c r="E64" i="34"/>
  <c r="L45" i="34"/>
  <c r="I46" i="34"/>
  <c r="O46" i="34"/>
  <c r="L47" i="34"/>
  <c r="I48" i="34"/>
  <c r="O49" i="34"/>
  <c r="F51" i="34"/>
  <c r="O52" i="34"/>
  <c r="L53" i="34"/>
  <c r="L54" i="34"/>
  <c r="F55" i="34"/>
  <c r="I57" i="34"/>
  <c r="O58" i="34"/>
  <c r="O18" i="34" s="1"/>
  <c r="L59" i="34"/>
  <c r="I60" i="34"/>
  <c r="F61" i="34"/>
  <c r="I62" i="34"/>
  <c r="F63" i="34"/>
  <c r="I71" i="34"/>
  <c r="F72" i="34"/>
  <c r="O72" i="34"/>
  <c r="I73" i="34"/>
  <c r="F74" i="34"/>
  <c r="F91" i="34" s="1"/>
  <c r="L76" i="34"/>
  <c r="L78" i="34"/>
  <c r="F79" i="34"/>
  <c r="F19" i="34" s="1"/>
  <c r="O79" i="34"/>
  <c r="O19" i="34" s="1"/>
  <c r="I80" i="34"/>
  <c r="F81" i="34"/>
  <c r="O81" i="34"/>
  <c r="I82" i="34"/>
  <c r="L83" i="34"/>
  <c r="L21" i="34" s="1"/>
  <c r="L85" i="34"/>
  <c r="O86" i="34"/>
  <c r="I87" i="34"/>
  <c r="F88" i="34"/>
  <c r="O88" i="34"/>
  <c r="I89" i="34"/>
  <c r="H118" i="34"/>
  <c r="F99" i="34"/>
  <c r="O99" i="34"/>
  <c r="O100" i="34"/>
  <c r="L101" i="34"/>
  <c r="I102" i="34"/>
  <c r="F103" i="34"/>
  <c r="O103" i="34"/>
  <c r="L104" i="34"/>
  <c r="F105" i="34"/>
  <c r="L107" i="34"/>
  <c r="L108" i="34"/>
  <c r="I109" i="34"/>
  <c r="F110" i="34"/>
  <c r="L111" i="34"/>
  <c r="I112" i="34"/>
  <c r="F113" i="34"/>
  <c r="O113" i="34"/>
  <c r="L114" i="34"/>
  <c r="I115" i="34"/>
  <c r="I129" i="34"/>
  <c r="F130" i="34"/>
  <c r="O130" i="34"/>
  <c r="O131" i="34"/>
  <c r="L132" i="34"/>
  <c r="I133" i="34"/>
  <c r="F134" i="34"/>
  <c r="I139" i="34"/>
  <c r="I17" i="34" s="1"/>
  <c r="F140" i="34"/>
  <c r="I142" i="34"/>
  <c r="F143" i="34"/>
  <c r="L197" i="34"/>
  <c r="F197" i="34"/>
  <c r="O191" i="34"/>
  <c r="F191" i="34"/>
  <c r="O189" i="34"/>
  <c r="F189" i="34"/>
  <c r="O183" i="34"/>
  <c r="F183" i="34"/>
  <c r="O181" i="34"/>
  <c r="F181" i="34"/>
  <c r="L198" i="34"/>
  <c r="F198" i="34"/>
  <c r="O194" i="34"/>
  <c r="O192" i="34"/>
  <c r="O186" i="34"/>
  <c r="O184" i="34"/>
  <c r="I197" i="34"/>
  <c r="F196" i="34"/>
  <c r="F194" i="34"/>
  <c r="F192" i="34"/>
  <c r="F190" i="34"/>
  <c r="F188" i="34"/>
  <c r="F186" i="34"/>
  <c r="F184" i="34"/>
  <c r="F182" i="34"/>
  <c r="F180" i="34"/>
  <c r="F199" i="34" s="1"/>
  <c r="K17" i="35"/>
  <c r="F59" i="35"/>
  <c r="F18" i="35" s="1"/>
  <c r="F37" i="35" s="1"/>
  <c r="E18" i="35"/>
  <c r="L88" i="35"/>
  <c r="F126" i="35"/>
  <c r="O127" i="35"/>
  <c r="L138" i="35"/>
  <c r="I140" i="35"/>
  <c r="F142" i="35"/>
  <c r="O143" i="35"/>
  <c r="K172" i="35"/>
  <c r="L152" i="35"/>
  <c r="L172" i="35" s="1"/>
  <c r="O154" i="35"/>
  <c r="O19" i="35" s="1"/>
  <c r="N19" i="35"/>
  <c r="H21" i="35"/>
  <c r="H37" i="35" s="1"/>
  <c r="I163" i="35"/>
  <c r="I21" i="35" s="1"/>
  <c r="O90" i="37"/>
  <c r="I88" i="37"/>
  <c r="O83" i="37"/>
  <c r="L80" i="37"/>
  <c r="L77" i="37"/>
  <c r="L29" i="37" s="1"/>
  <c r="O76" i="37"/>
  <c r="O24" i="37" s="1"/>
  <c r="L75" i="37"/>
  <c r="L23" i="37" s="1"/>
  <c r="O74" i="37"/>
  <c r="O22" i="37" s="1"/>
  <c r="I73" i="37"/>
  <c r="L86" i="37"/>
  <c r="O85" i="37"/>
  <c r="I84" i="37"/>
  <c r="L72" i="37"/>
  <c r="L89" i="37"/>
  <c r="L82" i="37"/>
  <c r="O80" i="37"/>
  <c r="I80" i="37"/>
  <c r="L79" i="37"/>
  <c r="O77" i="37"/>
  <c r="O29" i="37" s="1"/>
  <c r="O75" i="37"/>
  <c r="O23" i="37" s="1"/>
  <c r="L73" i="37"/>
  <c r="O86" i="37"/>
  <c r="I76" i="37"/>
  <c r="I24" i="37" s="1"/>
  <c r="L84" i="37"/>
  <c r="I72" i="37"/>
  <c r="L127" i="37"/>
  <c r="L18" i="37" s="1"/>
  <c r="K18" i="37"/>
  <c r="O171" i="37"/>
  <c r="O21" i="37" s="1"/>
  <c r="N21" i="37"/>
  <c r="N37" i="37" s="1"/>
  <c r="O101" i="34"/>
  <c r="L102" i="34"/>
  <c r="I103" i="34"/>
  <c r="I105" i="34"/>
  <c r="O109" i="34"/>
  <c r="L110" i="34"/>
  <c r="I111" i="34"/>
  <c r="L112" i="34"/>
  <c r="I113" i="34"/>
  <c r="O114" i="34"/>
  <c r="O117" i="34"/>
  <c r="L125" i="34"/>
  <c r="I126" i="34"/>
  <c r="I128" i="34"/>
  <c r="O132" i="34"/>
  <c r="L133" i="34"/>
  <c r="I134" i="34"/>
  <c r="L135" i="34"/>
  <c r="I136" i="34"/>
  <c r="O137" i="34"/>
  <c r="I141" i="34"/>
  <c r="I143" i="34"/>
  <c r="H172" i="34"/>
  <c r="L162" i="34"/>
  <c r="L164" i="34"/>
  <c r="F165" i="34"/>
  <c r="F172" i="34" s="1"/>
  <c r="O165" i="34"/>
  <c r="I166" i="34"/>
  <c r="I172" i="34" s="1"/>
  <c r="F167" i="34"/>
  <c r="O167" i="34"/>
  <c r="L169" i="34"/>
  <c r="L171" i="34"/>
  <c r="H199" i="34"/>
  <c r="O180" i="34"/>
  <c r="L181" i="34"/>
  <c r="O182" i="34"/>
  <c r="L183" i="34"/>
  <c r="I185" i="34"/>
  <c r="I187" i="34"/>
  <c r="O188" i="34"/>
  <c r="L189" i="34"/>
  <c r="O190" i="34"/>
  <c r="L191" i="34"/>
  <c r="I193" i="34"/>
  <c r="I195" i="34"/>
  <c r="O196" i="34"/>
  <c r="F72" i="35"/>
  <c r="L72" i="35"/>
  <c r="I73" i="35"/>
  <c r="F74" i="35"/>
  <c r="L75" i="35"/>
  <c r="I76" i="35"/>
  <c r="I20" i="35" s="1"/>
  <c r="O76" i="35"/>
  <c r="O20" i="35" s="1"/>
  <c r="L77" i="35"/>
  <c r="I78" i="35"/>
  <c r="F79" i="35"/>
  <c r="F80" i="35"/>
  <c r="L80" i="35"/>
  <c r="I81" i="35"/>
  <c r="F82" i="35"/>
  <c r="L83" i="35"/>
  <c r="I84" i="35"/>
  <c r="O84" i="35"/>
  <c r="L85" i="35"/>
  <c r="I86" i="35"/>
  <c r="F87" i="35"/>
  <c r="F88" i="35"/>
  <c r="I89" i="35"/>
  <c r="F90" i="35"/>
  <c r="K118" i="35"/>
  <c r="O100" i="35"/>
  <c r="L102" i="35"/>
  <c r="F104" i="35"/>
  <c r="F105" i="35"/>
  <c r="O106" i="35"/>
  <c r="L107" i="35"/>
  <c r="I109" i="35"/>
  <c r="I110" i="35"/>
  <c r="L111" i="35"/>
  <c r="L112" i="35"/>
  <c r="L113" i="35"/>
  <c r="I114" i="35"/>
  <c r="L116" i="35"/>
  <c r="O126" i="35"/>
  <c r="O130" i="35"/>
  <c r="O134" i="35"/>
  <c r="O138" i="35"/>
  <c r="O142" i="35"/>
  <c r="I183" i="35"/>
  <c r="F184" i="35"/>
  <c r="I186" i="35"/>
  <c r="F187" i="35"/>
  <c r="I190" i="35"/>
  <c r="O191" i="35"/>
  <c r="F193" i="35"/>
  <c r="O193" i="35"/>
  <c r="F195" i="35"/>
  <c r="L196" i="35"/>
  <c r="F197" i="35"/>
  <c r="N172" i="36"/>
  <c r="H21" i="36"/>
  <c r="I160" i="36"/>
  <c r="I21" i="36" s="1"/>
  <c r="I86" i="37"/>
  <c r="K199" i="34"/>
  <c r="I180" i="34"/>
  <c r="I182" i="34"/>
  <c r="I184" i="34"/>
  <c r="L185" i="34"/>
  <c r="I186" i="34"/>
  <c r="L187" i="34"/>
  <c r="I188" i="34"/>
  <c r="I190" i="34"/>
  <c r="I192" i="34"/>
  <c r="L193" i="34"/>
  <c r="I194" i="34"/>
  <c r="L195" i="34"/>
  <c r="I196" i="34"/>
  <c r="H91" i="35"/>
  <c r="N118" i="35"/>
  <c r="F100" i="35"/>
  <c r="F101" i="35"/>
  <c r="O101" i="35"/>
  <c r="I104" i="35"/>
  <c r="I105" i="35"/>
  <c r="F106" i="35"/>
  <c r="F107" i="35"/>
  <c r="O107" i="35"/>
  <c r="L109" i="35"/>
  <c r="F111" i="35"/>
  <c r="O111" i="35"/>
  <c r="O112" i="35"/>
  <c r="L114" i="35"/>
  <c r="O116" i="35"/>
  <c r="H145" i="35"/>
  <c r="N145" i="35"/>
  <c r="O129" i="35"/>
  <c r="O133" i="35"/>
  <c r="O137" i="35"/>
  <c r="O141" i="35"/>
  <c r="H172" i="35"/>
  <c r="N172" i="35"/>
  <c r="H91" i="36"/>
  <c r="I71" i="36"/>
  <c r="L78" i="37"/>
  <c r="L20" i="37" s="1"/>
  <c r="K20" i="37"/>
  <c r="L81" i="37"/>
  <c r="E172" i="34"/>
  <c r="K172" i="34"/>
  <c r="E199" i="34"/>
  <c r="O185" i="34"/>
  <c r="O187" i="34"/>
  <c r="O193" i="34"/>
  <c r="O195" i="34"/>
  <c r="O198" i="34"/>
  <c r="F99" i="35"/>
  <c r="I100" i="35"/>
  <c r="I101" i="35"/>
  <c r="F102" i="35"/>
  <c r="L103" i="35"/>
  <c r="L104" i="35"/>
  <c r="L105" i="35"/>
  <c r="I106" i="35"/>
  <c r="F108" i="35"/>
  <c r="O108" i="35"/>
  <c r="O109" i="35"/>
  <c r="F112" i="35"/>
  <c r="F113" i="35"/>
  <c r="O114" i="35"/>
  <c r="F116" i="35"/>
  <c r="F117" i="35"/>
  <c r="O117" i="35"/>
  <c r="O128" i="35"/>
  <c r="O132" i="35"/>
  <c r="O136" i="35"/>
  <c r="O140" i="35"/>
  <c r="O144" i="35"/>
  <c r="I152" i="35"/>
  <c r="H199" i="35"/>
  <c r="F190" i="35"/>
  <c r="F188" i="35"/>
  <c r="L186" i="35"/>
  <c r="L184" i="35"/>
  <c r="F183" i="35"/>
  <c r="F199" i="35" s="1"/>
  <c r="H20" i="36"/>
  <c r="I83" i="36"/>
  <c r="I20" i="36" s="1"/>
  <c r="H172" i="36"/>
  <c r="I152" i="36"/>
  <c r="O72" i="37"/>
  <c r="H64" i="36"/>
  <c r="N64" i="36"/>
  <c r="H118" i="36"/>
  <c r="E145" i="36"/>
  <c r="N145" i="36"/>
  <c r="E64" i="37"/>
  <c r="E26" i="37"/>
  <c r="K91" i="37"/>
  <c r="F75" i="37"/>
  <c r="F23" i="37" s="1"/>
  <c r="L85" i="37"/>
  <c r="I90" i="37"/>
  <c r="I112" i="37"/>
  <c r="I31" i="37" s="1"/>
  <c r="H31" i="37"/>
  <c r="H37" i="37" s="1"/>
  <c r="I44" i="36"/>
  <c r="I64" i="36" s="1"/>
  <c r="E91" i="36"/>
  <c r="K91" i="36"/>
  <c r="I99" i="36"/>
  <c r="F100" i="36"/>
  <c r="F118" i="36" s="1"/>
  <c r="O100" i="36"/>
  <c r="L101" i="36"/>
  <c r="F102" i="36"/>
  <c r="I104" i="36"/>
  <c r="O105" i="36"/>
  <c r="L106" i="36"/>
  <c r="I107" i="36"/>
  <c r="F108" i="36"/>
  <c r="I109" i="36"/>
  <c r="F110" i="36"/>
  <c r="O110" i="36"/>
  <c r="L111" i="36"/>
  <c r="I112" i="36"/>
  <c r="O113" i="36"/>
  <c r="L114" i="36"/>
  <c r="I115" i="36"/>
  <c r="F116" i="36"/>
  <c r="O116" i="36"/>
  <c r="L117" i="36"/>
  <c r="F125" i="36"/>
  <c r="E172" i="36"/>
  <c r="K172" i="36"/>
  <c r="E199" i="36"/>
  <c r="F198" i="36"/>
  <c r="O192" i="36"/>
  <c r="F192" i="36"/>
  <c r="F190" i="36"/>
  <c r="L198" i="36"/>
  <c r="I74" i="37"/>
  <c r="I22" i="37" s="1"/>
  <c r="F77" i="37"/>
  <c r="F29" i="37" s="1"/>
  <c r="E29" i="37"/>
  <c r="F84" i="37"/>
  <c r="L88" i="37"/>
  <c r="E199" i="35"/>
  <c r="N199" i="35"/>
  <c r="O181" i="35"/>
  <c r="I185" i="35"/>
  <c r="I187" i="35"/>
  <c r="I189" i="35"/>
  <c r="O190" i="35"/>
  <c r="L191" i="35"/>
  <c r="I192" i="35"/>
  <c r="I194" i="35"/>
  <c r="O195" i="35"/>
  <c r="O197" i="35"/>
  <c r="E64" i="36"/>
  <c r="K64" i="36"/>
  <c r="F45" i="36"/>
  <c r="F64" i="36" s="1"/>
  <c r="L45" i="36"/>
  <c r="O46" i="36"/>
  <c r="I47" i="36"/>
  <c r="F49" i="36"/>
  <c r="L49" i="36"/>
  <c r="O50" i="36"/>
  <c r="I51" i="36"/>
  <c r="F53" i="36"/>
  <c r="L53" i="36"/>
  <c r="O54" i="36"/>
  <c r="O17" i="36" s="1"/>
  <c r="I55" i="36"/>
  <c r="F57" i="36"/>
  <c r="F18" i="36" s="1"/>
  <c r="O57" i="36"/>
  <c r="O18" i="36" s="1"/>
  <c r="I58" i="36"/>
  <c r="F60" i="36"/>
  <c r="L60" i="36"/>
  <c r="O61" i="36"/>
  <c r="O19" i="36" s="1"/>
  <c r="F71" i="36"/>
  <c r="L71" i="36"/>
  <c r="O72" i="36"/>
  <c r="I73" i="36"/>
  <c r="F75" i="36"/>
  <c r="L75" i="36"/>
  <c r="O76" i="36"/>
  <c r="I77" i="36"/>
  <c r="F79" i="36"/>
  <c r="L79" i="36"/>
  <c r="O80" i="36"/>
  <c r="I81" i="36"/>
  <c r="F83" i="36"/>
  <c r="F20" i="36" s="1"/>
  <c r="L83" i="36"/>
  <c r="L20" i="36" s="1"/>
  <c r="O84" i="36"/>
  <c r="I85" i="36"/>
  <c r="F87" i="36"/>
  <c r="L87" i="36"/>
  <c r="O88" i="36"/>
  <c r="E118" i="36"/>
  <c r="N118" i="36"/>
  <c r="L99" i="36"/>
  <c r="I100" i="36"/>
  <c r="I102" i="36"/>
  <c r="F103" i="36"/>
  <c r="O103" i="36"/>
  <c r="F105" i="36"/>
  <c r="O106" i="36"/>
  <c r="L107" i="36"/>
  <c r="I108" i="36"/>
  <c r="O108" i="36"/>
  <c r="L109" i="36"/>
  <c r="I110" i="36"/>
  <c r="O111" i="36"/>
  <c r="O114" i="36"/>
  <c r="L115" i="36"/>
  <c r="I116" i="36"/>
  <c r="H145" i="36"/>
  <c r="F126" i="36"/>
  <c r="O126" i="36"/>
  <c r="F128" i="36"/>
  <c r="L129" i="36"/>
  <c r="F130" i="36"/>
  <c r="L131" i="36"/>
  <c r="I132" i="36"/>
  <c r="F133" i="36"/>
  <c r="O134" i="36"/>
  <c r="F136" i="36"/>
  <c r="O136" i="36"/>
  <c r="F138" i="36"/>
  <c r="L139" i="36"/>
  <c r="F140" i="36"/>
  <c r="L141" i="36"/>
  <c r="I142" i="36"/>
  <c r="O143" i="36"/>
  <c r="L144" i="36"/>
  <c r="F152" i="36"/>
  <c r="L152" i="36"/>
  <c r="O153" i="36"/>
  <c r="I154" i="36"/>
  <c r="F156" i="36"/>
  <c r="L156" i="36"/>
  <c r="O157" i="36"/>
  <c r="I158" i="36"/>
  <c r="F160" i="36"/>
  <c r="F21" i="36" s="1"/>
  <c r="L160" i="36"/>
  <c r="L21" i="36" s="1"/>
  <c r="O161" i="36"/>
  <c r="I162" i="36"/>
  <c r="F164" i="36"/>
  <c r="L164" i="36"/>
  <c r="O165" i="36"/>
  <c r="I166" i="36"/>
  <c r="F168" i="36"/>
  <c r="L168" i="36"/>
  <c r="O169" i="36"/>
  <c r="F179" i="36"/>
  <c r="F199" i="36" s="1"/>
  <c r="O180" i="36"/>
  <c r="L181" i="36"/>
  <c r="I182" i="36"/>
  <c r="I184" i="36"/>
  <c r="F185" i="36"/>
  <c r="O185" i="36"/>
  <c r="F187" i="36"/>
  <c r="O188" i="36"/>
  <c r="L189" i="36"/>
  <c r="O191" i="36"/>
  <c r="I198" i="36"/>
  <c r="E23" i="37"/>
  <c r="O60" i="37"/>
  <c r="I83" i="37"/>
  <c r="O87" i="37"/>
  <c r="L100" i="37"/>
  <c r="L27" i="37" s="1"/>
  <c r="K27" i="37"/>
  <c r="H64" i="37"/>
  <c r="F45" i="37"/>
  <c r="L45" i="37"/>
  <c r="L46" i="37"/>
  <c r="I47" i="37"/>
  <c r="F48" i="37"/>
  <c r="I49" i="37"/>
  <c r="I17" i="37" s="1"/>
  <c r="O50" i="37"/>
  <c r="L51" i="37"/>
  <c r="I54" i="37"/>
  <c r="F55" i="37"/>
  <c r="O55" i="37"/>
  <c r="L56" i="37"/>
  <c r="I57" i="37"/>
  <c r="I60" i="37"/>
  <c r="I62" i="37"/>
  <c r="F63" i="37"/>
  <c r="O63" i="37"/>
  <c r="F73" i="37"/>
  <c r="I75" i="37"/>
  <c r="I23" i="37" s="1"/>
  <c r="L76" i="37"/>
  <c r="L24" i="37" s="1"/>
  <c r="I77" i="37"/>
  <c r="I29" i="37" s="1"/>
  <c r="O78" i="37"/>
  <c r="O20" i="37" s="1"/>
  <c r="O81" i="37"/>
  <c r="L83" i="37"/>
  <c r="O84" i="37"/>
  <c r="F87" i="37"/>
  <c r="F88" i="37"/>
  <c r="O88" i="37"/>
  <c r="L90" i="37"/>
  <c r="F98" i="37"/>
  <c r="N118" i="37"/>
  <c r="O100" i="37"/>
  <c r="O27" i="37" s="1"/>
  <c r="L101" i="37"/>
  <c r="F102" i="37"/>
  <c r="O102" i="37"/>
  <c r="F104" i="37"/>
  <c r="O104" i="37"/>
  <c r="L105" i="37"/>
  <c r="I106" i="37"/>
  <c r="I25" i="37" s="1"/>
  <c r="L107" i="37"/>
  <c r="F108" i="37"/>
  <c r="I110" i="37"/>
  <c r="L111" i="37"/>
  <c r="L30" i="37" s="1"/>
  <c r="L112" i="37"/>
  <c r="L31" i="37" s="1"/>
  <c r="I113" i="37"/>
  <c r="F114" i="37"/>
  <c r="O114" i="37"/>
  <c r="I116" i="37"/>
  <c r="F117" i="37"/>
  <c r="F126" i="37"/>
  <c r="F145" i="37" s="1"/>
  <c r="O126" i="37"/>
  <c r="I129" i="37"/>
  <c r="L130" i="37"/>
  <c r="F131" i="37"/>
  <c r="O131" i="37"/>
  <c r="L132" i="37"/>
  <c r="F133" i="37"/>
  <c r="L134" i="37"/>
  <c r="I135" i="37"/>
  <c r="I19" i="37" s="1"/>
  <c r="L137" i="37"/>
  <c r="I140" i="37"/>
  <c r="L141" i="37"/>
  <c r="I142" i="37"/>
  <c r="I189" i="36"/>
  <c r="I191" i="36"/>
  <c r="L193" i="36"/>
  <c r="I194" i="36"/>
  <c r="O195" i="36"/>
  <c r="L196" i="36"/>
  <c r="I197" i="36"/>
  <c r="O198" i="36"/>
  <c r="E91" i="37"/>
  <c r="F72" i="37"/>
  <c r="O73" i="37"/>
  <c r="F76" i="37"/>
  <c r="F24" i="37" s="1"/>
  <c r="F78" i="37"/>
  <c r="F20" i="37" s="1"/>
  <c r="F79" i="37"/>
  <c r="O79" i="37"/>
  <c r="F81" i="37"/>
  <c r="F82" i="37"/>
  <c r="O82" i="37"/>
  <c r="F85" i="37"/>
  <c r="I87" i="37"/>
  <c r="F89" i="37"/>
  <c r="O89" i="37"/>
  <c r="H118" i="37"/>
  <c r="F116" i="37"/>
  <c r="L115" i="37"/>
  <c r="O112" i="37"/>
  <c r="O31" i="37" s="1"/>
  <c r="F112" i="37"/>
  <c r="F31" i="37" s="1"/>
  <c r="E145" i="37"/>
  <c r="F130" i="37"/>
  <c r="I131" i="37"/>
  <c r="I133" i="37"/>
  <c r="F134" i="37"/>
  <c r="I136" i="37"/>
  <c r="F137" i="37"/>
  <c r="O137" i="37"/>
  <c r="L138" i="37"/>
  <c r="F139" i="37"/>
  <c r="O139" i="37"/>
  <c r="L140" i="37"/>
  <c r="F141" i="37"/>
  <c r="O141" i="37"/>
  <c r="I143" i="37"/>
  <c r="F144" i="37"/>
  <c r="H91" i="37"/>
  <c r="F74" i="37"/>
  <c r="F22" i="37" s="1"/>
  <c r="I78" i="37"/>
  <c r="I20" i="37" s="1"/>
  <c r="I79" i="37"/>
  <c r="F80" i="37"/>
  <c r="I81" i="37"/>
  <c r="I82" i="37"/>
  <c r="F83" i="37"/>
  <c r="I85" i="37"/>
  <c r="F86" i="37"/>
  <c r="L87" i="37"/>
  <c r="I89" i="37"/>
  <c r="F90" i="37"/>
  <c r="O143" i="37"/>
  <c r="F143" i="37"/>
  <c r="L142" i="37"/>
  <c r="F138" i="37"/>
  <c r="O136" i="37"/>
  <c r="F136" i="37"/>
  <c r="O134" i="37"/>
  <c r="L133" i="37"/>
  <c r="F129" i="37"/>
  <c r="O127" i="37"/>
  <c r="O18" i="37" s="1"/>
  <c r="F127" i="37"/>
  <c r="F18" i="37" s="1"/>
  <c r="L126" i="37"/>
  <c r="E172" i="37"/>
  <c r="F152" i="37"/>
  <c r="F172" i="37" s="1"/>
  <c r="O110" i="37"/>
  <c r="L113" i="37"/>
  <c r="I114" i="37"/>
  <c r="H145" i="37"/>
  <c r="L128" i="37"/>
  <c r="O129" i="37"/>
  <c r="I132" i="37"/>
  <c r="I134" i="37"/>
  <c r="L135" i="37"/>
  <c r="L19" i="37" s="1"/>
  <c r="I139" i="37"/>
  <c r="I141" i="37"/>
  <c r="L144" i="37"/>
  <c r="N172" i="37"/>
  <c r="E199" i="37"/>
  <c r="L179" i="37"/>
  <c r="F180" i="37"/>
  <c r="O180" i="37"/>
  <c r="L181" i="37"/>
  <c r="I182" i="37"/>
  <c r="F183" i="37"/>
  <c r="O183" i="37"/>
  <c r="F185" i="37"/>
  <c r="O186" i="37"/>
  <c r="L188" i="37"/>
  <c r="I189" i="37"/>
  <c r="F190" i="37"/>
  <c r="L191" i="37"/>
  <c r="I192" i="37"/>
  <c r="O193" i="37"/>
  <c r="I194" i="37"/>
  <c r="F195" i="37"/>
  <c r="O195" i="37"/>
  <c r="I196" i="37"/>
  <c r="O197" i="37"/>
  <c r="K31" i="38"/>
  <c r="H64" i="38"/>
  <c r="L45" i="38"/>
  <c r="L46" i="38"/>
  <c r="I47" i="38"/>
  <c r="I22" i="38" s="1"/>
  <c r="F48" i="38"/>
  <c r="O48" i="38"/>
  <c r="I50" i="38"/>
  <c r="I24" i="38" s="1"/>
  <c r="O50" i="38"/>
  <c r="O24" i="38" s="1"/>
  <c r="O52" i="38"/>
  <c r="L53" i="38"/>
  <c r="I54" i="38"/>
  <c r="F55" i="38"/>
  <c r="F17" i="38" s="1"/>
  <c r="L55" i="38"/>
  <c r="L17" i="38" s="1"/>
  <c r="I56" i="38"/>
  <c r="O57" i="38"/>
  <c r="L58" i="38"/>
  <c r="F60" i="38"/>
  <c r="L60" i="38"/>
  <c r="I62" i="38"/>
  <c r="F63" i="38"/>
  <c r="I74" i="38"/>
  <c r="F75" i="38"/>
  <c r="F30" i="38" s="1"/>
  <c r="L75" i="38"/>
  <c r="L30" i="38" s="1"/>
  <c r="I76" i="38"/>
  <c r="I31" i="38" s="1"/>
  <c r="I77" i="38"/>
  <c r="F78" i="38"/>
  <c r="O78" i="38"/>
  <c r="I80" i="38"/>
  <c r="F81" i="38"/>
  <c r="O81" i="38"/>
  <c r="L82" i="38"/>
  <c r="I83" i="38"/>
  <c r="I84" i="38"/>
  <c r="F85" i="38"/>
  <c r="F86" i="38"/>
  <c r="I87" i="38"/>
  <c r="F88" i="38"/>
  <c r="O88" i="38"/>
  <c r="F98" i="38"/>
  <c r="I99" i="38"/>
  <c r="O100" i="38"/>
  <c r="L102" i="38"/>
  <c r="I103" i="38"/>
  <c r="I105" i="38"/>
  <c r="O106" i="38"/>
  <c r="O108" i="38"/>
  <c r="O25" i="38" s="1"/>
  <c r="F110" i="38"/>
  <c r="F27" i="38" s="1"/>
  <c r="L111" i="38"/>
  <c r="I112" i="38"/>
  <c r="I28" i="38" s="1"/>
  <c r="L113" i="38"/>
  <c r="I114" i="38"/>
  <c r="F115" i="38"/>
  <c r="F29" i="38" s="1"/>
  <c r="I116" i="38"/>
  <c r="F117" i="38"/>
  <c r="O117" i="38"/>
  <c r="E172" i="38"/>
  <c r="N172" i="38"/>
  <c r="O154" i="38"/>
  <c r="F156" i="38"/>
  <c r="L157" i="38"/>
  <c r="I158" i="38"/>
  <c r="L159" i="38"/>
  <c r="F160" i="38"/>
  <c r="L161" i="38"/>
  <c r="F162" i="38"/>
  <c r="L163" i="38"/>
  <c r="I164" i="38"/>
  <c r="L165" i="38"/>
  <c r="I166" i="38"/>
  <c r="L167" i="38"/>
  <c r="I168" i="38"/>
  <c r="F169" i="38"/>
  <c r="I170" i="38"/>
  <c r="F171" i="38"/>
  <c r="F21" i="38" s="1"/>
  <c r="O171" i="38"/>
  <c r="O21" i="38" s="1"/>
  <c r="L198" i="38"/>
  <c r="L199" i="38" s="1"/>
  <c r="F179" i="37"/>
  <c r="F199" i="37" s="1"/>
  <c r="I180" i="37"/>
  <c r="O181" i="37"/>
  <c r="L182" i="37"/>
  <c r="I183" i="37"/>
  <c r="L184" i="37"/>
  <c r="I185" i="37"/>
  <c r="F186" i="37"/>
  <c r="L187" i="37"/>
  <c r="L199" i="37" s="1"/>
  <c r="F188" i="37"/>
  <c r="O188" i="37"/>
  <c r="L189" i="37"/>
  <c r="I190" i="37"/>
  <c r="F191" i="37"/>
  <c r="O191" i="37"/>
  <c r="F193" i="37"/>
  <c r="L194" i="37"/>
  <c r="L196" i="37"/>
  <c r="F197" i="37"/>
  <c r="H118" i="38"/>
  <c r="E145" i="38"/>
  <c r="E199" i="38"/>
  <c r="K199" i="38"/>
  <c r="F145" i="38"/>
  <c r="F199" i="38"/>
  <c r="E64" i="38"/>
  <c r="E91" i="38"/>
  <c r="E118" i="38"/>
  <c r="L98" i="38"/>
  <c r="F99" i="38"/>
  <c r="O99" i="38"/>
  <c r="L100" i="38"/>
  <c r="I101" i="38"/>
  <c r="O101" i="38"/>
  <c r="F103" i="38"/>
  <c r="O103" i="38"/>
  <c r="F105" i="38"/>
  <c r="O105" i="38"/>
  <c r="L106" i="38"/>
  <c r="L118" i="38" s="1"/>
  <c r="I107" i="38"/>
  <c r="O107" i="38"/>
  <c r="L108" i="38"/>
  <c r="L25" i="38" s="1"/>
  <c r="I109" i="38"/>
  <c r="O110" i="38"/>
  <c r="O27" i="38" s="1"/>
  <c r="F112" i="38"/>
  <c r="F28" i="38" s="1"/>
  <c r="O112" i="38"/>
  <c r="O28" i="38" s="1"/>
  <c r="F114" i="38"/>
  <c r="L115" i="38"/>
  <c r="L29" i="38" s="1"/>
  <c r="F116" i="38"/>
  <c r="H145" i="38"/>
  <c r="I153" i="38"/>
  <c r="O153" i="38"/>
  <c r="L154" i="38"/>
  <c r="I155" i="38"/>
  <c r="O156" i="38"/>
  <c r="F158" i="38"/>
  <c r="F172" i="38" s="1"/>
  <c r="O158" i="38"/>
  <c r="O160" i="38"/>
  <c r="O162" i="38"/>
  <c r="F164" i="38"/>
  <c r="O164" i="38"/>
  <c r="F166" i="38"/>
  <c r="O166" i="38"/>
  <c r="F168" i="38"/>
  <c r="L169" i="38"/>
  <c r="F170" i="38"/>
  <c r="H199" i="38"/>
  <c r="N199" i="38"/>
  <c r="I56" i="39"/>
  <c r="I18" i="39" s="1"/>
  <c r="I37" i="39" s="1"/>
  <c r="H18" i="39"/>
  <c r="H37" i="39" s="1"/>
  <c r="K20" i="39"/>
  <c r="K37" i="39" s="1"/>
  <c r="O98" i="39"/>
  <c r="L99" i="39"/>
  <c r="L100" i="39"/>
  <c r="L101" i="39"/>
  <c r="I102" i="39"/>
  <c r="F103" i="39"/>
  <c r="F104" i="39"/>
  <c r="F105" i="39"/>
  <c r="O105" i="39"/>
  <c r="L107" i="39"/>
  <c r="L108" i="39"/>
  <c r="I109" i="39"/>
  <c r="F110" i="39"/>
  <c r="O110" i="39"/>
  <c r="O111" i="39"/>
  <c r="L112" i="39"/>
  <c r="L113" i="39"/>
  <c r="I114" i="39"/>
  <c r="F115" i="39"/>
  <c r="F116" i="39"/>
  <c r="F117" i="39"/>
  <c r="O117" i="39"/>
  <c r="L125" i="39"/>
  <c r="I127" i="39"/>
  <c r="F128" i="39"/>
  <c r="O128" i="39"/>
  <c r="L129" i="39"/>
  <c r="L17" i="39" s="1"/>
  <c r="L37" i="39" s="1"/>
  <c r="I131" i="39"/>
  <c r="F132" i="39"/>
  <c r="O132" i="39"/>
  <c r="L133" i="39"/>
  <c r="I134" i="39"/>
  <c r="F135" i="39"/>
  <c r="O135" i="39"/>
  <c r="I137" i="39"/>
  <c r="F138" i="39"/>
  <c r="F19" i="39" s="1"/>
  <c r="F37" i="39" s="1"/>
  <c r="O138" i="39"/>
  <c r="O19" i="39" s="1"/>
  <c r="L139" i="39"/>
  <c r="I141" i="39"/>
  <c r="F142" i="39"/>
  <c r="O142" i="39"/>
  <c r="I169" i="39"/>
  <c r="F170" i="39"/>
  <c r="O170" i="39"/>
  <c r="K199" i="39"/>
  <c r="F76" i="40"/>
  <c r="I78" i="40"/>
  <c r="F79" i="40"/>
  <c r="L153" i="40"/>
  <c r="I154" i="40"/>
  <c r="I157" i="40"/>
  <c r="F158" i="40"/>
  <c r="L162" i="40"/>
  <c r="L199" i="39"/>
  <c r="L85" i="40"/>
  <c r="I83" i="40"/>
  <c r="I81" i="40"/>
  <c r="L79" i="40"/>
  <c r="I75" i="40"/>
  <c r="L72" i="40"/>
  <c r="L91" i="40" s="1"/>
  <c r="I88" i="40"/>
  <c r="I20" i="40" s="1"/>
  <c r="I37" i="40" s="1"/>
  <c r="L80" i="40"/>
  <c r="I82" i="40"/>
  <c r="L75" i="40"/>
  <c r="I74" i="40"/>
  <c r="I72" i="40"/>
  <c r="E118" i="40"/>
  <c r="F98" i="40"/>
  <c r="F118" i="40" s="1"/>
  <c r="E19" i="40"/>
  <c r="F130" i="40"/>
  <c r="F19" i="40" s="1"/>
  <c r="F169" i="40"/>
  <c r="L168" i="40"/>
  <c r="F167" i="40"/>
  <c r="F165" i="40"/>
  <c r="L161" i="40"/>
  <c r="F157" i="40"/>
  <c r="F171" i="40"/>
  <c r="I160" i="40"/>
  <c r="F159" i="40"/>
  <c r="L155" i="40"/>
  <c r="L172" i="40" s="1"/>
  <c r="F155" i="40"/>
  <c r="L154" i="40"/>
  <c r="L171" i="40"/>
  <c r="I165" i="40"/>
  <c r="L159" i="40"/>
  <c r="F153" i="40"/>
  <c r="K64" i="39"/>
  <c r="K91" i="39"/>
  <c r="K118" i="39"/>
  <c r="F100" i="39"/>
  <c r="F101" i="39"/>
  <c r="O101" i="39"/>
  <c r="O118" i="39" s="1"/>
  <c r="G3" i="39" s="1"/>
  <c r="L103" i="39"/>
  <c r="L104" i="39"/>
  <c r="L105" i="39"/>
  <c r="I106" i="39"/>
  <c r="F107" i="39"/>
  <c r="F108" i="39"/>
  <c r="F109" i="39"/>
  <c r="L110" i="39"/>
  <c r="I111" i="39"/>
  <c r="F112" i="39"/>
  <c r="F113" i="39"/>
  <c r="O113" i="39"/>
  <c r="L115" i="39"/>
  <c r="L116" i="39"/>
  <c r="L117" i="39"/>
  <c r="L152" i="39"/>
  <c r="L172" i="39" s="1"/>
  <c r="N199" i="39"/>
  <c r="L86" i="40"/>
  <c r="I87" i="40"/>
  <c r="F88" i="40"/>
  <c r="F20" i="40" s="1"/>
  <c r="E20" i="40"/>
  <c r="I155" i="40"/>
  <c r="F160" i="40"/>
  <c r="N64" i="39"/>
  <c r="N91" i="39"/>
  <c r="I99" i="39"/>
  <c r="I100" i="39"/>
  <c r="I101" i="39"/>
  <c r="F102" i="39"/>
  <c r="O102" i="39"/>
  <c r="O103" i="39"/>
  <c r="O104" i="39"/>
  <c r="L106" i="39"/>
  <c r="I107" i="39"/>
  <c r="I108" i="39"/>
  <c r="O109" i="39"/>
  <c r="L111" i="39"/>
  <c r="I112" i="39"/>
  <c r="I113" i="39"/>
  <c r="F114" i="39"/>
  <c r="O115" i="39"/>
  <c r="O116" i="39"/>
  <c r="K145" i="39"/>
  <c r="N172" i="39"/>
  <c r="L73" i="40"/>
  <c r="I80" i="40"/>
  <c r="L83" i="40"/>
  <c r="I84" i="40"/>
  <c r="F85" i="40"/>
  <c r="I169" i="40"/>
  <c r="F170" i="40"/>
  <c r="E64" i="40"/>
  <c r="N64" i="40"/>
  <c r="N91" i="40"/>
  <c r="F75" i="40"/>
  <c r="I76" i="40"/>
  <c r="F77" i="40"/>
  <c r="L78" i="40"/>
  <c r="I79" i="40"/>
  <c r="F81" i="40"/>
  <c r="F83" i="40"/>
  <c r="L84" i="40"/>
  <c r="I85" i="40"/>
  <c r="L87" i="40"/>
  <c r="L90" i="40"/>
  <c r="L152" i="40"/>
  <c r="F156" i="40"/>
  <c r="L157" i="40"/>
  <c r="I158" i="40"/>
  <c r="I161" i="40"/>
  <c r="I163" i="40"/>
  <c r="F164" i="40"/>
  <c r="F166" i="40"/>
  <c r="L167" i="40"/>
  <c r="I168" i="40"/>
  <c r="L169" i="40"/>
  <c r="I170" i="40"/>
  <c r="F44" i="40"/>
  <c r="O64" i="40"/>
  <c r="I46" i="40"/>
  <c r="F47" i="40"/>
  <c r="I48" i="40"/>
  <c r="F49" i="40"/>
  <c r="I51" i="40"/>
  <c r="L52" i="40"/>
  <c r="I53" i="40"/>
  <c r="L54" i="40"/>
  <c r="L56" i="40"/>
  <c r="I57" i="40"/>
  <c r="L58" i="40"/>
  <c r="I59" i="40"/>
  <c r="L60" i="40"/>
  <c r="I61" i="40"/>
  <c r="L63" i="40"/>
  <c r="O91" i="40"/>
  <c r="F73" i="40"/>
  <c r="L74" i="40"/>
  <c r="L76" i="40"/>
  <c r="I77" i="40"/>
  <c r="F80" i="40"/>
  <c r="L82" i="40"/>
  <c r="F86" i="40"/>
  <c r="F89" i="40"/>
  <c r="N118" i="40"/>
  <c r="E145" i="40"/>
  <c r="N172" i="40"/>
  <c r="I153" i="40"/>
  <c r="I156" i="40"/>
  <c r="L158" i="40"/>
  <c r="F162" i="40"/>
  <c r="L163" i="40"/>
  <c r="I164" i="40"/>
  <c r="L165" i="40"/>
  <c r="I166" i="40"/>
  <c r="L170" i="40"/>
  <c r="H199" i="40"/>
  <c r="F45" i="40"/>
  <c r="L46" i="40"/>
  <c r="I47" i="40"/>
  <c r="L48" i="40"/>
  <c r="L64" i="40" s="1"/>
  <c r="I49" i="40"/>
  <c r="L51" i="40"/>
  <c r="F52" i="40"/>
  <c r="L53" i="40"/>
  <c r="F54" i="40"/>
  <c r="I55" i="40"/>
  <c r="L59" i="40"/>
  <c r="F60" i="40"/>
  <c r="L61" i="40"/>
  <c r="F72" i="40"/>
  <c r="I73" i="40"/>
  <c r="F74" i="40"/>
  <c r="F78" i="40"/>
  <c r="F82" i="40"/>
  <c r="F84" i="40"/>
  <c r="I86" i="40"/>
  <c r="F87" i="40"/>
  <c r="L88" i="40"/>
  <c r="L20" i="40" s="1"/>
  <c r="I89" i="40"/>
  <c r="F90" i="40"/>
  <c r="I98" i="40"/>
  <c r="I118" i="40" s="1"/>
  <c r="O118" i="40"/>
  <c r="L99" i="40"/>
  <c r="F100" i="40"/>
  <c r="L101" i="40"/>
  <c r="F102" i="40"/>
  <c r="L103" i="40"/>
  <c r="F104" i="40"/>
  <c r="L107" i="40"/>
  <c r="F108" i="40"/>
  <c r="I110" i="40"/>
  <c r="F111" i="40"/>
  <c r="I112" i="40"/>
  <c r="L113" i="40"/>
  <c r="F114" i="40"/>
  <c r="L115" i="40"/>
  <c r="L118" i="40" s="1"/>
  <c r="G3" i="40" s="1"/>
  <c r="F116" i="40"/>
  <c r="F125" i="40"/>
  <c r="N145" i="40"/>
  <c r="E172" i="40"/>
  <c r="O172" i="40"/>
  <c r="F154" i="40"/>
  <c r="L156" i="40"/>
  <c r="I159" i="40"/>
  <c r="I162" i="40"/>
  <c r="L164" i="40"/>
  <c r="L166" i="40"/>
  <c r="I171" i="40"/>
  <c r="K91" i="40"/>
  <c r="L50" i="40"/>
  <c r="L17" i="40" s="1"/>
  <c r="K199" i="40"/>
  <c r="L199" i="40"/>
  <c r="K172" i="40"/>
  <c r="K145" i="40"/>
  <c r="L145" i="40"/>
  <c r="K118" i="40"/>
  <c r="K64" i="40"/>
  <c r="I179" i="40"/>
  <c r="H172" i="40"/>
  <c r="I152" i="40"/>
  <c r="I172" i="40" s="1"/>
  <c r="H145" i="40"/>
  <c r="I125" i="40"/>
  <c r="I145" i="40" s="1"/>
  <c r="H118" i="40"/>
  <c r="H91" i="40"/>
  <c r="I71" i="40"/>
  <c r="H64" i="40"/>
  <c r="I44" i="40"/>
  <c r="I64" i="40" s="1"/>
  <c r="H199" i="39"/>
  <c r="E199" i="39"/>
  <c r="I179" i="39"/>
  <c r="I199" i="39" s="1"/>
  <c r="F179" i="39"/>
  <c r="F199" i="39" s="1"/>
  <c r="E145" i="39"/>
  <c r="H172" i="39"/>
  <c r="I152" i="39"/>
  <c r="I172" i="39" s="1"/>
  <c r="E172" i="39"/>
  <c r="F172" i="39"/>
  <c r="H145" i="39"/>
  <c r="I125" i="39"/>
  <c r="F125" i="39"/>
  <c r="F145" i="39" s="1"/>
  <c r="H118" i="39"/>
  <c r="E118" i="39"/>
  <c r="I98" i="39"/>
  <c r="F98" i="39"/>
  <c r="F118" i="39" s="1"/>
  <c r="E91" i="39"/>
  <c r="H91" i="39"/>
  <c r="I71" i="39"/>
  <c r="I91" i="39" s="1"/>
  <c r="F71" i="39"/>
  <c r="F91" i="39" s="1"/>
  <c r="E64" i="39"/>
  <c r="H64" i="39"/>
  <c r="I44" i="39"/>
  <c r="I64" i="39" s="1"/>
  <c r="F44" i="39"/>
  <c r="F64" i="39" s="1"/>
  <c r="F199" i="40"/>
  <c r="E199" i="40"/>
  <c r="F152" i="40"/>
  <c r="F145" i="40"/>
  <c r="E91" i="40"/>
  <c r="F71" i="40"/>
  <c r="F64" i="40"/>
  <c r="O179" i="39"/>
  <c r="O199" i="39" s="1"/>
  <c r="G9" i="39" s="1"/>
  <c r="O152" i="39"/>
  <c r="O125" i="39"/>
  <c r="O145" i="39" s="1"/>
  <c r="N118" i="39"/>
  <c r="O44" i="39"/>
  <c r="O56" i="39"/>
  <c r="O18" i="39" s="1"/>
  <c r="I199" i="40"/>
  <c r="O199" i="40"/>
  <c r="K37" i="40"/>
  <c r="O37" i="40"/>
  <c r="N37" i="40"/>
  <c r="H37" i="40"/>
  <c r="L98" i="39"/>
  <c r="L71" i="39"/>
  <c r="L91" i="39" s="1"/>
  <c r="L44" i="39"/>
  <c r="L64" i="39" s="1"/>
  <c r="O179" i="38"/>
  <c r="O199" i="38" s="1"/>
  <c r="G9" i="38" s="1"/>
  <c r="O152" i="38"/>
  <c r="N145" i="38"/>
  <c r="O125" i="38"/>
  <c r="O145" i="38" s="1"/>
  <c r="O118" i="38"/>
  <c r="N118" i="38"/>
  <c r="O76" i="38"/>
  <c r="O31" i="38" s="1"/>
  <c r="N91" i="38"/>
  <c r="O71" i="38"/>
  <c r="O91" i="38" s="1"/>
  <c r="G7" i="38" s="1"/>
  <c r="N64" i="38"/>
  <c r="O44" i="38"/>
  <c r="O64" i="38" s="1"/>
  <c r="N37" i="39"/>
  <c r="E37" i="39"/>
  <c r="G7" i="39"/>
  <c r="K172" i="38"/>
  <c r="L152" i="38"/>
  <c r="L172" i="38" s="1"/>
  <c r="K145" i="38"/>
  <c r="L125" i="38"/>
  <c r="L145" i="38" s="1"/>
  <c r="K28" i="38"/>
  <c r="L104" i="38"/>
  <c r="L23" i="38" s="1"/>
  <c r="K118" i="38"/>
  <c r="K91" i="38"/>
  <c r="L91" i="38"/>
  <c r="L64" i="38"/>
  <c r="K64" i="38"/>
  <c r="I152" i="38"/>
  <c r="I125" i="38"/>
  <c r="I145" i="38" s="1"/>
  <c r="I98" i="38"/>
  <c r="I104" i="38"/>
  <c r="I23" i="38" s="1"/>
  <c r="I110" i="38"/>
  <c r="I27" i="38" s="1"/>
  <c r="I115" i="38"/>
  <c r="I29" i="38" s="1"/>
  <c r="I91" i="38"/>
  <c r="H91" i="38"/>
  <c r="I64" i="38"/>
  <c r="F71" i="38"/>
  <c r="F91" i="38" s="1"/>
  <c r="F44" i="38"/>
  <c r="F64" i="38" s="1"/>
  <c r="O199" i="37"/>
  <c r="N199" i="37"/>
  <c r="O152" i="37"/>
  <c r="O172" i="37" s="1"/>
  <c r="N145" i="37"/>
  <c r="O125" i="37"/>
  <c r="O145" i="37" s="1"/>
  <c r="O98" i="37"/>
  <c r="O106" i="37"/>
  <c r="O25" i="37" s="1"/>
  <c r="N91" i="37"/>
  <c r="G7" i="37" s="1"/>
  <c r="O71" i="37"/>
  <c r="O91" i="37" s="1"/>
  <c r="N64" i="37"/>
  <c r="O44" i="37"/>
  <c r="H37" i="38"/>
  <c r="E37" i="38"/>
  <c r="N37" i="38"/>
  <c r="G5" i="38"/>
  <c r="K199" i="37"/>
  <c r="L172" i="37"/>
  <c r="K172" i="37"/>
  <c r="L145" i="37"/>
  <c r="K145" i="37"/>
  <c r="L118" i="37"/>
  <c r="K28" i="37"/>
  <c r="K118" i="37"/>
  <c r="L71" i="37"/>
  <c r="L91" i="37" s="1"/>
  <c r="L74" i="37"/>
  <c r="L22" i="37" s="1"/>
  <c r="K24" i="37"/>
  <c r="L64" i="37"/>
  <c r="K64" i="37"/>
  <c r="I179" i="37"/>
  <c r="I152" i="37"/>
  <c r="I172" i="37" s="1"/>
  <c r="I125" i="37"/>
  <c r="I145" i="37" s="1"/>
  <c r="I98" i="37"/>
  <c r="I118" i="37" s="1"/>
  <c r="I71" i="37"/>
  <c r="I91" i="37" s="1"/>
  <c r="I44" i="37"/>
  <c r="F71" i="37"/>
  <c r="F91" i="37" s="1"/>
  <c r="F44" i="37"/>
  <c r="N199" i="36"/>
  <c r="O179" i="36"/>
  <c r="O199" i="36" s="1"/>
  <c r="O152" i="36"/>
  <c r="O172" i="36" s="1"/>
  <c r="O125" i="36"/>
  <c r="O145" i="36" s="1"/>
  <c r="O98" i="36"/>
  <c r="O118" i="36" s="1"/>
  <c r="O44" i="36"/>
  <c r="O64" i="36" s="1"/>
  <c r="G5" i="36" s="1"/>
  <c r="G9" i="37"/>
  <c r="K199" i="36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E37" i="36"/>
  <c r="O179" i="35"/>
  <c r="O199" i="35" s="1"/>
  <c r="G9" i="35" s="1"/>
  <c r="O152" i="35"/>
  <c r="O172" i="35" s="1"/>
  <c r="O125" i="35"/>
  <c r="O145" i="35" s="1"/>
  <c r="O98" i="35"/>
  <c r="O118" i="35" s="1"/>
  <c r="G3" i="35" s="1"/>
  <c r="O71" i="35"/>
  <c r="O91" i="35" s="1"/>
  <c r="N64" i="35"/>
  <c r="O64" i="35"/>
  <c r="K37" i="36"/>
  <c r="N37" i="36"/>
  <c r="G9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G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G7" i="34" s="1"/>
  <c r="N64" i="34"/>
  <c r="O44" i="34"/>
  <c r="O64" i="34" s="1"/>
  <c r="E91" i="35"/>
  <c r="F98" i="35"/>
  <c r="F118" i="35" s="1"/>
  <c r="F71" i="35"/>
  <c r="F91" i="35" s="1"/>
  <c r="F44" i="35"/>
  <c r="F64" i="35" s="1"/>
  <c r="L37" i="35"/>
  <c r="E37" i="35"/>
  <c r="L179" i="34"/>
  <c r="L199" i="34" s="1"/>
  <c r="L161" i="34"/>
  <c r="L20" i="34" s="1"/>
  <c r="L145" i="34"/>
  <c r="L98" i="34"/>
  <c r="L71" i="34"/>
  <c r="L91" i="34" s="1"/>
  <c r="K64" i="34"/>
  <c r="L44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N37" i="34"/>
  <c r="K37" i="34"/>
  <c r="E37" i="34"/>
  <c r="G5" i="34"/>
  <c r="G3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N199" i="33"/>
  <c r="K37" i="33"/>
  <c r="E37" i="33"/>
  <c r="N37" i="33"/>
  <c r="H37" i="33"/>
  <c r="G3" i="33"/>
  <c r="L179" i="32"/>
  <c r="L199" i="32" s="1"/>
  <c r="K172" i="32"/>
  <c r="L167" i="32"/>
  <c r="L21" i="32" s="1"/>
  <c r="L152" i="32"/>
  <c r="L125" i="32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G3" i="31" s="1"/>
  <c r="O91" i="31"/>
  <c r="N91" i="31"/>
  <c r="O59" i="31"/>
  <c r="O18" i="31" s="1"/>
  <c r="N64" i="31"/>
  <c r="F37" i="32"/>
  <c r="H37" i="32"/>
  <c r="E37" i="32"/>
  <c r="N37" i="32"/>
  <c r="K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N91" i="30"/>
  <c r="O44" i="30"/>
  <c r="O64" i="30" s="1"/>
  <c r="G5" i="30" s="1"/>
  <c r="G9" i="31"/>
  <c r="H37" i="31"/>
  <c r="E37" i="31"/>
  <c r="F37" i="31"/>
  <c r="N37" i="31"/>
  <c r="G7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K172" i="29"/>
  <c r="L152" i="29"/>
  <c r="L172" i="29" s="1"/>
  <c r="L145" i="29"/>
  <c r="K145" i="29"/>
  <c r="L98" i="29"/>
  <c r="L118" i="29" s="1"/>
  <c r="L91" i="29"/>
  <c r="L82" i="29"/>
  <c r="L21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G7" i="28" s="1"/>
  <c r="N64" i="28"/>
  <c r="O44" i="28"/>
  <c r="O64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N118" i="27"/>
  <c r="N91" i="27"/>
  <c r="G7" i="27" s="1"/>
  <c r="O91" i="27"/>
  <c r="O61" i="27"/>
  <c r="O18" i="27" s="1"/>
  <c r="O64" i="27"/>
  <c r="N64" i="27"/>
  <c r="K37" i="28"/>
  <c r="E37" i="28"/>
  <c r="N37" i="28"/>
  <c r="G9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G9" i="26" s="1"/>
  <c r="N172" i="26"/>
  <c r="O152" i="26"/>
  <c r="O172" i="26" s="1"/>
  <c r="O145" i="26"/>
  <c r="N145" i="26"/>
  <c r="O111" i="26"/>
  <c r="O31" i="26" s="1"/>
  <c r="N118" i="26"/>
  <c r="O118" i="26"/>
  <c r="G3" i="26" s="1"/>
  <c r="O77" i="26"/>
  <c r="O21" i="26" s="1"/>
  <c r="N91" i="26"/>
  <c r="O71" i="26"/>
  <c r="N28" i="26"/>
  <c r="N37" i="26" s="1"/>
  <c r="O44" i="26"/>
  <c r="N37" i="27"/>
  <c r="E37" i="27"/>
  <c r="I3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G9" i="25" s="1"/>
  <c r="O152" i="25"/>
  <c r="O172" i="25" s="1"/>
  <c r="O71" i="25"/>
  <c r="O91" i="25" s="1"/>
  <c r="G7" i="25" s="1"/>
  <c r="O44" i="25"/>
  <c r="O64" i="25" s="1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K37" i="25"/>
  <c r="H37" i="25"/>
  <c r="N37" i="25"/>
  <c r="E37" i="25"/>
  <c r="G5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K199" i="24"/>
  <c r="L179" i="24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52" i="24"/>
  <c r="I125" i="24"/>
  <c r="I145" i="24" s="1"/>
  <c r="I98" i="24"/>
  <c r="I118" i="24" s="1"/>
  <c r="I71" i="24"/>
  <c r="H18" i="24"/>
  <c r="H37" i="24" s="1"/>
  <c r="I44" i="24"/>
  <c r="F71" i="24"/>
  <c r="E22" i="24"/>
  <c r="E64" i="24"/>
  <c r="F44" i="24"/>
  <c r="K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K145" i="23" s="1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K118" i="23" s="1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K91" i="23" s="1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N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K64" i="23" s="1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N64" i="6" s="1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3" i="43" l="1"/>
  <c r="O91" i="42"/>
  <c r="O17" i="42"/>
  <c r="O37" i="42" s="1"/>
  <c r="G11" i="43"/>
  <c r="L91" i="42"/>
  <c r="L17" i="42"/>
  <c r="L37" i="42" s="1"/>
  <c r="L37" i="27"/>
  <c r="F37" i="25"/>
  <c r="O37" i="31"/>
  <c r="O37" i="27"/>
  <c r="I91" i="42"/>
  <c r="I17" i="42"/>
  <c r="I37" i="42" s="1"/>
  <c r="K37" i="38"/>
  <c r="L37" i="29"/>
  <c r="F37" i="34"/>
  <c r="F91" i="42"/>
  <c r="G7" i="42" s="1"/>
  <c r="F17" i="42"/>
  <c r="F37" i="42" s="1"/>
  <c r="I37" i="36"/>
  <c r="O37" i="39"/>
  <c r="G11" i="39" s="1"/>
  <c r="H37" i="36"/>
  <c r="O37" i="35"/>
  <c r="I37" i="34"/>
  <c r="I37" i="29"/>
  <c r="L37" i="33"/>
  <c r="N37" i="41"/>
  <c r="O118" i="41"/>
  <c r="O64" i="41"/>
  <c r="O17" i="41"/>
  <c r="O37" i="41" s="1"/>
  <c r="I37" i="28"/>
  <c r="L37" i="36"/>
  <c r="E37" i="24"/>
  <c r="E37" i="37"/>
  <c r="N37" i="35"/>
  <c r="L118" i="41"/>
  <c r="L91" i="41"/>
  <c r="L21" i="41"/>
  <c r="L64" i="41"/>
  <c r="L17" i="41"/>
  <c r="I37" i="35"/>
  <c r="O37" i="32"/>
  <c r="F37" i="29"/>
  <c r="I37" i="31"/>
  <c r="L37" i="31"/>
  <c r="F37" i="28"/>
  <c r="L37" i="28"/>
  <c r="F37" i="27"/>
  <c r="I37" i="25"/>
  <c r="O37" i="25"/>
  <c r="G11" i="25" s="1"/>
  <c r="L37" i="25"/>
  <c r="I118" i="41"/>
  <c r="G3" i="41" s="1"/>
  <c r="I91" i="41"/>
  <c r="G7" i="41" s="1"/>
  <c r="I21" i="41"/>
  <c r="I64" i="41"/>
  <c r="G5" i="41" s="1"/>
  <c r="I17" i="41"/>
  <c r="N37" i="24"/>
  <c r="F37" i="36"/>
  <c r="O37" i="30"/>
  <c r="O37" i="34"/>
  <c r="G11" i="34" s="1"/>
  <c r="O37" i="36"/>
  <c r="G11" i="36" s="1"/>
  <c r="L37" i="34"/>
  <c r="K37" i="35"/>
  <c r="F37" i="38"/>
  <c r="G9" i="40"/>
  <c r="L37" i="40"/>
  <c r="G7" i="40"/>
  <c r="G5" i="40"/>
  <c r="F37" i="40"/>
  <c r="L37" i="37"/>
  <c r="L37" i="38"/>
  <c r="O37" i="38"/>
  <c r="G11" i="38" s="1"/>
  <c r="E37" i="40"/>
  <c r="O91" i="24"/>
  <c r="F199" i="24"/>
  <c r="G3" i="27"/>
  <c r="G5" i="28"/>
  <c r="L91" i="30"/>
  <c r="L145" i="32"/>
  <c r="F91" i="40"/>
  <c r="F172" i="40"/>
  <c r="I118" i="39"/>
  <c r="I145" i="39"/>
  <c r="L145" i="39"/>
  <c r="F145" i="36"/>
  <c r="F118" i="34"/>
  <c r="F145" i="35"/>
  <c r="F172" i="33"/>
  <c r="F145" i="33"/>
  <c r="F199" i="30"/>
  <c r="F172" i="30"/>
  <c r="L118" i="25"/>
  <c r="F145" i="25"/>
  <c r="O118" i="25"/>
  <c r="G3" i="25" s="1"/>
  <c r="K64" i="6"/>
  <c r="E64" i="6"/>
  <c r="F172" i="24"/>
  <c r="L118" i="26"/>
  <c r="L172" i="32"/>
  <c r="G3" i="36"/>
  <c r="O118" i="37"/>
  <c r="G3" i="37" s="1"/>
  <c r="I172" i="38"/>
  <c r="O64" i="39"/>
  <c r="G5" i="39" s="1"/>
  <c r="O172" i="39"/>
  <c r="I91" i="40"/>
  <c r="F118" i="38"/>
  <c r="L172" i="36"/>
  <c r="L91" i="36"/>
  <c r="I172" i="35"/>
  <c r="L145" i="35"/>
  <c r="F91" i="31"/>
  <c r="F64" i="28"/>
  <c r="F172" i="27"/>
  <c r="F199" i="28"/>
  <c r="F91" i="26"/>
  <c r="L199" i="26"/>
  <c r="O64" i="6"/>
  <c r="I64" i="6"/>
  <c r="G7" i="23"/>
  <c r="I199" i="24"/>
  <c r="L199" i="24"/>
  <c r="G9" i="24" s="1"/>
  <c r="G5" i="32"/>
  <c r="I199" i="37"/>
  <c r="O172" i="38"/>
  <c r="L118" i="39"/>
  <c r="F172" i="36"/>
  <c r="F91" i="36"/>
  <c r="I145" i="35"/>
  <c r="L118" i="33"/>
  <c r="F64" i="33"/>
  <c r="F23" i="33"/>
  <c r="F37" i="33" s="1"/>
  <c r="I91" i="33"/>
  <c r="F199" i="31"/>
  <c r="F145" i="26"/>
  <c r="F118" i="26"/>
  <c r="F199" i="26"/>
  <c r="L91" i="25"/>
  <c r="F118" i="6"/>
  <c r="F118" i="37"/>
  <c r="I172" i="36"/>
  <c r="I91" i="36"/>
  <c r="I91" i="34"/>
  <c r="O91" i="36"/>
  <c r="G7" i="36" s="1"/>
  <c r="I118" i="33"/>
  <c r="F118" i="33"/>
  <c r="F91" i="28"/>
  <c r="O145" i="25"/>
  <c r="F199" i="25"/>
  <c r="F172" i="25"/>
  <c r="K37" i="37"/>
  <c r="G11" i="40"/>
  <c r="I37" i="38"/>
  <c r="I118" i="38"/>
  <c r="G3" i="38" s="1"/>
  <c r="O64" i="37"/>
  <c r="O26" i="37"/>
  <c r="O37" i="37" s="1"/>
  <c r="I64" i="37"/>
  <c r="I26" i="37"/>
  <c r="I37" i="37" s="1"/>
  <c r="F64" i="37"/>
  <c r="F26" i="37"/>
  <c r="F37" i="37" s="1"/>
  <c r="G5" i="35"/>
  <c r="L172" i="34"/>
  <c r="O64" i="33"/>
  <c r="O23" i="33"/>
  <c r="O37" i="33" s="1"/>
  <c r="I64" i="33"/>
  <c r="G5" i="33" s="1"/>
  <c r="I23" i="33"/>
  <c r="I37" i="33" s="1"/>
  <c r="L37" i="32"/>
  <c r="G3" i="32"/>
  <c r="O64" i="31"/>
  <c r="G5" i="31" s="1"/>
  <c r="N37" i="30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F28" i="26"/>
  <c r="F37" i="26" s="1"/>
  <c r="O37" i="24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5" l="1"/>
  <c r="G11" i="42"/>
  <c r="L37" i="41"/>
  <c r="G11" i="32"/>
  <c r="I37" i="41"/>
  <c r="G5" i="26"/>
  <c r="G5" i="37"/>
  <c r="G11" i="37"/>
  <c r="G11" i="33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41" l="1"/>
  <c r="G9" i="6"/>
  <c r="G11" i="6"/>
  <c r="G5" i="6" l="1"/>
  <c r="N253" i="9"/>
  <c r="I277" i="9"/>
  <c r="H212" i="9"/>
  <c r="E267" i="9"/>
  <c r="L215" i="9"/>
  <c r="K224" i="9"/>
  <c r="H146" i="9"/>
  <c r="H151" i="9"/>
  <c r="O253" i="9"/>
  <c r="H258" i="9"/>
  <c r="N41" i="9"/>
  <c r="F121" i="9"/>
  <c r="F68" i="9"/>
  <c r="K266" i="9"/>
  <c r="E115" i="9"/>
  <c r="I71" i="9"/>
  <c r="C237" i="9"/>
  <c r="I90" i="9"/>
  <c r="K14" i="5"/>
  <c r="K65" i="3"/>
  <c r="C34" i="9"/>
  <c r="K262" i="9"/>
  <c r="F272" i="9"/>
  <c r="N180" i="9"/>
  <c r="K228" i="9"/>
  <c r="C274" i="9"/>
  <c r="E122" i="9"/>
  <c r="O75" i="9"/>
  <c r="E33" i="9"/>
  <c r="C162" i="9"/>
  <c r="L221" i="9"/>
  <c r="F238" i="9"/>
  <c r="N151" i="9"/>
  <c r="E232" i="9"/>
  <c r="L31" i="9"/>
  <c r="O126" i="9"/>
  <c r="K21" i="5"/>
  <c r="E85" i="9"/>
  <c r="I64" i="9"/>
  <c r="F161" i="9"/>
  <c r="H186" i="9"/>
  <c r="E42" i="9"/>
  <c r="I192" i="9"/>
  <c r="G70" i="3"/>
  <c r="C215" i="9"/>
  <c r="N242" i="9"/>
  <c r="O189" i="9"/>
  <c r="F271" i="9"/>
  <c r="N89" i="9"/>
  <c r="E73" i="9"/>
  <c r="H23" i="9"/>
  <c r="K68" i="9"/>
  <c r="E137" i="9"/>
  <c r="O29" i="9"/>
  <c r="G40" i="3"/>
  <c r="E262" i="9"/>
  <c r="E193" i="9"/>
  <c r="N100" i="9"/>
  <c r="N191" i="9"/>
  <c r="E236" i="9"/>
  <c r="C74" i="9"/>
  <c r="K150" i="9"/>
  <c r="L60" i="9"/>
  <c r="H110" i="9"/>
  <c r="O266" i="9"/>
  <c r="L230" i="9"/>
  <c r="H231" i="9"/>
  <c r="F62" i="9"/>
  <c r="I212" i="9"/>
  <c r="E252" i="9"/>
  <c r="F79" i="9"/>
  <c r="K79" i="9"/>
  <c r="L147" i="9"/>
  <c r="O42" i="3"/>
  <c r="L276" i="9"/>
  <c r="E181" i="9"/>
  <c r="E214" i="9"/>
  <c r="N112" i="9"/>
  <c r="E99" i="9"/>
  <c r="C84" i="9"/>
  <c r="F241" i="9"/>
  <c r="N137" i="9"/>
  <c r="F183" i="9"/>
  <c r="E217" i="9"/>
  <c r="F219" i="9"/>
  <c r="N254" i="9"/>
  <c r="H256" i="9"/>
  <c r="I88" i="9"/>
  <c r="L30" i="9"/>
  <c r="N158" i="9"/>
  <c r="C178" i="9"/>
  <c r="I115" i="9"/>
  <c r="L66" i="9"/>
  <c r="H80" i="9"/>
  <c r="E45" i="9"/>
  <c r="O40" i="9"/>
  <c r="L162" i="9"/>
  <c r="I235" i="9"/>
  <c r="H178" i="9"/>
  <c r="K215" i="9"/>
  <c r="F51" i="9"/>
  <c r="N44" i="9"/>
  <c r="H183" i="9"/>
  <c r="N178" i="9"/>
  <c r="L198" i="9"/>
  <c r="K50" i="3"/>
  <c r="K259" i="9"/>
  <c r="O78" i="9"/>
  <c r="H126" i="9"/>
  <c r="K186" i="9"/>
  <c r="I37" i="9"/>
  <c r="H187" i="9"/>
  <c r="H150" i="9"/>
  <c r="F201" i="9"/>
  <c r="K100" i="9"/>
  <c r="O128" i="9"/>
  <c r="E83" i="9"/>
  <c r="H233" i="9"/>
  <c r="H204" i="9"/>
  <c r="O223" i="9"/>
  <c r="O63" i="3"/>
  <c r="E274" i="9"/>
  <c r="O34" i="3"/>
  <c r="O151" i="9"/>
  <c r="O116" i="9"/>
  <c r="K14" i="3"/>
  <c r="C150" i="9"/>
  <c r="N82" i="9"/>
  <c r="K68" i="3"/>
  <c r="C68" i="9"/>
  <c r="K253" i="9"/>
  <c r="C62" i="9"/>
  <c r="I113" i="9"/>
  <c r="N264" i="9"/>
  <c r="C182" i="9"/>
  <c r="N194" i="9"/>
  <c r="F27" i="9"/>
  <c r="I142" i="9"/>
  <c r="H86" i="9"/>
  <c r="I272" i="9"/>
  <c r="H60" i="9"/>
  <c r="F81" i="9"/>
  <c r="O41" i="9"/>
  <c r="L99" i="9"/>
  <c r="E225" i="9"/>
  <c r="N106" i="9"/>
  <c r="O148" i="9"/>
  <c r="N116" i="9"/>
  <c r="K123" i="9"/>
  <c r="L48" i="9"/>
  <c r="C229" i="9"/>
  <c r="C260" i="9"/>
  <c r="C63" i="9"/>
  <c r="H61" i="9"/>
  <c r="L80" i="9"/>
  <c r="F69" i="9"/>
  <c r="O73" i="3"/>
  <c r="N79" i="9"/>
  <c r="C232" i="9"/>
  <c r="E79" i="9"/>
  <c r="K76" i="9"/>
  <c r="K6" i="5"/>
  <c r="I121" i="9"/>
  <c r="E127" i="9"/>
  <c r="K230" i="9"/>
  <c r="E90" i="9"/>
  <c r="F29" i="9"/>
  <c r="C190" i="9"/>
  <c r="O152" i="9"/>
  <c r="N63" i="9"/>
  <c r="I36" i="9"/>
  <c r="K24" i="5"/>
  <c r="L195" i="9"/>
  <c r="O48" i="3"/>
  <c r="K49" i="3"/>
  <c r="I202" i="9"/>
  <c r="F98" i="9"/>
  <c r="H34" i="9"/>
  <c r="N278" i="9"/>
  <c r="K159" i="9"/>
  <c r="K88" i="9"/>
  <c r="C90" i="9"/>
  <c r="F122" i="9"/>
  <c r="C23" i="9"/>
  <c r="O64" i="3"/>
  <c r="C222" i="9"/>
  <c r="L255" i="9"/>
  <c r="K234" i="9"/>
  <c r="E44" i="9"/>
  <c r="I128" i="9"/>
  <c r="L251" i="9"/>
  <c r="N187" i="9"/>
  <c r="L254" i="9"/>
  <c r="O202" i="9"/>
  <c r="F181" i="9"/>
  <c r="O56" i="3"/>
  <c r="K73" i="9"/>
  <c r="H181" i="9"/>
  <c r="H279" i="9"/>
  <c r="L114" i="9"/>
  <c r="I193" i="9"/>
  <c r="E49" i="9"/>
  <c r="I143" i="9"/>
  <c r="C41" i="9"/>
  <c r="H192" i="9"/>
  <c r="F226" i="9"/>
  <c r="I236" i="9"/>
  <c r="K261" i="9"/>
  <c r="L196" i="9"/>
  <c r="O117" i="9"/>
  <c r="L119" i="9"/>
  <c r="L115" i="9"/>
  <c r="O82" i="9"/>
  <c r="K21" i="3"/>
  <c r="K102" i="9"/>
  <c r="L178" i="9"/>
  <c r="I180" i="9"/>
  <c r="G72" i="3"/>
  <c r="H85" i="9"/>
  <c r="F26" i="9"/>
  <c r="F145" i="9"/>
  <c r="F154" i="9"/>
  <c r="L45" i="9"/>
  <c r="I40" i="9"/>
  <c r="H116" i="9"/>
  <c r="F262" i="9"/>
  <c r="K187" i="9"/>
  <c r="K223" i="9"/>
  <c r="I177" i="9"/>
  <c r="H84" i="9"/>
  <c r="L197" i="9"/>
  <c r="K227" i="9"/>
  <c r="F192" i="9"/>
  <c r="E162" i="9"/>
  <c r="I42" i="9"/>
  <c r="K87" i="9"/>
  <c r="H228" i="9"/>
  <c r="H189" i="9"/>
  <c r="F104" i="9"/>
  <c r="L146" i="9"/>
  <c r="O217" i="9"/>
  <c r="H179" i="9"/>
  <c r="O100" i="9"/>
  <c r="L140" i="9"/>
  <c r="I110" i="9"/>
  <c r="N42" i="9"/>
  <c r="I274" i="9"/>
  <c r="K154" i="9"/>
  <c r="F215" i="9"/>
  <c r="L70" i="9"/>
  <c r="E106" i="9"/>
  <c r="H36" i="9"/>
  <c r="L150" i="9"/>
  <c r="I253" i="9"/>
  <c r="K250" i="9"/>
  <c r="O212" i="9"/>
  <c r="G62" i="3"/>
  <c r="L78" i="9"/>
  <c r="C174" i="9"/>
  <c r="O34" i="9"/>
  <c r="G44" i="3"/>
  <c r="E51" i="9"/>
  <c r="O90" i="9"/>
  <c r="C88" i="9"/>
  <c r="N84" i="9"/>
  <c r="L273" i="9"/>
  <c r="L102" i="9"/>
  <c r="O58" i="3"/>
  <c r="I27" i="9"/>
  <c r="L180" i="9"/>
  <c r="I109" i="9"/>
  <c r="I68" i="9"/>
  <c r="F75" i="9"/>
  <c r="E31" i="9"/>
  <c r="K204" i="9"/>
  <c r="I76" i="9"/>
  <c r="E150" i="9"/>
  <c r="K81" i="9"/>
  <c r="O44" i="3"/>
  <c r="F193" i="9"/>
  <c r="E278" i="9"/>
  <c r="C201" i="9"/>
  <c r="G59" i="3"/>
  <c r="L46" i="9"/>
  <c r="N265" i="9"/>
  <c r="N231" i="9"/>
  <c r="H158" i="9"/>
  <c r="K63" i="3"/>
  <c r="E111" i="9"/>
  <c r="O74" i="9"/>
  <c r="K275" i="9"/>
  <c r="K105" i="9"/>
  <c r="L217" i="9"/>
  <c r="L191" i="9"/>
  <c r="F264" i="9"/>
  <c r="F148" i="9"/>
  <c r="F85" i="9"/>
  <c r="K151" i="9"/>
  <c r="K20" i="5"/>
  <c r="N195" i="9"/>
  <c r="G57" i="3"/>
  <c r="L67" i="9"/>
  <c r="E196" i="9"/>
  <c r="F166" i="9"/>
  <c r="H43" i="9"/>
  <c r="K267" i="9"/>
  <c r="K29" i="9"/>
  <c r="O46" i="9"/>
  <c r="I276" i="9"/>
  <c r="K17" i="3"/>
  <c r="N220" i="9"/>
  <c r="L166" i="9"/>
  <c r="N266" i="9"/>
  <c r="N279" i="9"/>
  <c r="E118" i="9"/>
  <c r="L262" i="9"/>
  <c r="K43" i="9"/>
  <c r="E251" i="9"/>
  <c r="L228" i="9"/>
  <c r="K11" i="5"/>
  <c r="F90" i="9"/>
  <c r="L161" i="9"/>
  <c r="E70" i="9"/>
  <c r="L62" i="9"/>
  <c r="C46" i="9"/>
  <c r="O263" i="9"/>
  <c r="H119" i="9"/>
  <c r="K185" i="9"/>
  <c r="K112" i="9"/>
  <c r="E154" i="9"/>
  <c r="C35" i="9"/>
  <c r="C80" i="9"/>
  <c r="H123" i="9"/>
  <c r="N32" i="9"/>
  <c r="O49" i="3"/>
  <c r="I85" i="9"/>
  <c r="H190" i="9"/>
  <c r="E215" i="9"/>
  <c r="N270" i="9"/>
  <c r="I278" i="9"/>
  <c r="K231" i="9"/>
  <c r="K189" i="9"/>
  <c r="K122" i="9"/>
  <c r="N215" i="9"/>
  <c r="O203" i="9"/>
  <c r="H87" i="9"/>
  <c r="F115" i="9"/>
  <c r="L174" i="9"/>
  <c r="I221" i="9"/>
  <c r="C110" i="9"/>
  <c r="L123" i="9"/>
  <c r="E276" i="9"/>
  <c r="O121" i="9"/>
  <c r="L40" i="9"/>
  <c r="E114" i="9"/>
  <c r="C158" i="9"/>
  <c r="N230" i="9"/>
  <c r="O77" i="9"/>
  <c r="N166" i="9"/>
  <c r="L73" i="9"/>
  <c r="N259" i="9"/>
  <c r="E110" i="9"/>
  <c r="C50" i="9"/>
  <c r="F40" i="9"/>
  <c r="F195" i="9"/>
  <c r="C275" i="9"/>
  <c r="O43" i="3"/>
  <c r="O154" i="9"/>
  <c r="L144" i="9"/>
  <c r="N107" i="9"/>
  <c r="N148" i="9"/>
  <c r="F128" i="9"/>
  <c r="K28" i="9"/>
  <c r="I107" i="9"/>
  <c r="C139" i="9"/>
  <c r="O109" i="9"/>
  <c r="I153" i="9"/>
  <c r="O161" i="9"/>
  <c r="C140" i="9"/>
  <c r="H82" i="9"/>
  <c r="C199" i="9"/>
  <c r="O139" i="9"/>
  <c r="K33" i="9"/>
  <c r="L105" i="9"/>
  <c r="L222" i="9"/>
  <c r="K41" i="9"/>
  <c r="I269" i="9"/>
  <c r="O215" i="9"/>
  <c r="I157" i="9"/>
  <c r="O75" i="3"/>
  <c r="C225" i="9"/>
  <c r="L120" i="9"/>
  <c r="F176" i="9"/>
  <c r="L164" i="9"/>
  <c r="H122" i="9"/>
  <c r="O267" i="9"/>
  <c r="F137" i="9"/>
  <c r="K198" i="9"/>
  <c r="O47" i="3"/>
  <c r="E142" i="9"/>
  <c r="K25" i="5"/>
  <c r="O39" i="9"/>
  <c r="L23" i="9"/>
  <c r="O76" i="9"/>
  <c r="H25" i="9"/>
  <c r="N99" i="9"/>
  <c r="I126" i="9"/>
  <c r="I50" i="9"/>
  <c r="K179" i="9"/>
  <c r="K61" i="9"/>
  <c r="O124" i="9"/>
  <c r="K25" i="9"/>
  <c r="K11" i="3"/>
  <c r="N67" i="9"/>
  <c r="H79" i="9"/>
  <c r="F163" i="9"/>
  <c r="I231" i="9"/>
  <c r="K161" i="9"/>
  <c r="H137" i="9"/>
  <c r="N83" i="9"/>
  <c r="L260" i="9"/>
  <c r="O153" i="9"/>
  <c r="L42" i="9"/>
  <c r="O84" i="9"/>
  <c r="K17" i="5"/>
  <c r="L259" i="9"/>
  <c r="L154" i="9"/>
  <c r="E35" i="9"/>
  <c r="L43" i="9"/>
  <c r="O73" i="9"/>
  <c r="F142" i="9"/>
  <c r="K175" i="9"/>
  <c r="L35" i="9"/>
  <c r="I69" i="9"/>
  <c r="I227" i="9"/>
  <c r="N70" i="9"/>
  <c r="H90" i="9"/>
  <c r="E107" i="9"/>
  <c r="O214" i="9"/>
  <c r="N139" i="9"/>
  <c r="K40" i="3"/>
  <c r="F113" i="9"/>
  <c r="H42" i="9"/>
  <c r="N192" i="9"/>
  <c r="N22" i="9"/>
  <c r="O115" i="9"/>
  <c r="K12" i="5"/>
  <c r="H22" i="9"/>
  <c r="H164" i="9"/>
  <c r="I178" i="9"/>
  <c r="C226" i="9"/>
  <c r="I123" i="9"/>
  <c r="L185" i="9"/>
  <c r="E80" i="9"/>
  <c r="O278" i="9"/>
  <c r="L158" i="9"/>
  <c r="K109" i="9"/>
  <c r="O69" i="3"/>
  <c r="I29" i="9"/>
  <c r="F66" i="9"/>
  <c r="O155" i="9"/>
  <c r="I196" i="9"/>
  <c r="C155" i="9"/>
  <c r="K47" i="9"/>
  <c r="L220" i="9"/>
  <c r="F234" i="9"/>
  <c r="I47" i="9"/>
  <c r="G32" i="3"/>
  <c r="F202" i="9"/>
  <c r="K78" i="9"/>
  <c r="C33" i="9"/>
  <c r="C146" i="9"/>
  <c r="L142" i="9"/>
  <c r="N31" i="9"/>
  <c r="E234" i="9"/>
  <c r="F265" i="9"/>
  <c r="L278" i="9"/>
  <c r="L236" i="9"/>
  <c r="K101" i="9"/>
  <c r="I175" i="9"/>
  <c r="L124" i="9"/>
  <c r="N88" i="9"/>
  <c r="K213" i="9"/>
  <c r="I78" i="9"/>
  <c r="F50" i="9"/>
  <c r="C137" i="9"/>
  <c r="N237" i="9"/>
  <c r="I75" i="9"/>
  <c r="K70" i="3"/>
  <c r="G41" i="3"/>
  <c r="F48" i="9"/>
  <c r="C161" i="9"/>
  <c r="N271" i="9"/>
  <c r="O142" i="9"/>
  <c r="K12" i="3"/>
  <c r="L85" i="9"/>
  <c r="O37" i="3"/>
  <c r="H176" i="9"/>
  <c r="I201" i="9"/>
  <c r="F228" i="9"/>
  <c r="N200" i="9"/>
  <c r="O177" i="9"/>
  <c r="C224" i="9"/>
  <c r="N52" i="9"/>
  <c r="K64" i="9"/>
  <c r="O111" i="9"/>
  <c r="H215" i="9"/>
  <c r="I260" i="9"/>
  <c r="K45" i="9"/>
  <c r="G46" i="3"/>
  <c r="K44" i="9"/>
  <c r="E151" i="9"/>
  <c r="I147" i="9"/>
  <c r="F61" i="9"/>
  <c r="K65" i="9"/>
  <c r="O67" i="9"/>
  <c r="C180" i="9"/>
  <c r="K137" i="9"/>
  <c r="H118" i="9"/>
  <c r="K118" i="9"/>
  <c r="C277" i="9"/>
  <c r="N199" i="9"/>
  <c r="F149" i="9"/>
  <c r="H250" i="9"/>
  <c r="I111" i="9"/>
  <c r="C73" i="9"/>
  <c r="E178" i="9"/>
  <c r="N276" i="9"/>
  <c r="H127" i="9"/>
  <c r="C82" i="9"/>
  <c r="F119" i="9"/>
  <c r="F159" i="9"/>
  <c r="I118" i="9"/>
  <c r="L234" i="9"/>
  <c r="L192" i="9"/>
  <c r="C49" i="9"/>
  <c r="C241" i="9"/>
  <c r="K7" i="3"/>
  <c r="N189" i="9"/>
  <c r="N224" i="9"/>
  <c r="F23" i="9"/>
  <c r="F216" i="9"/>
  <c r="C265" i="9"/>
  <c r="E221" i="9"/>
  <c r="I259" i="9"/>
  <c r="C152" i="9"/>
  <c r="F118" i="9"/>
  <c r="O260" i="9"/>
  <c r="O276" i="9"/>
  <c r="L193" i="9"/>
  <c r="C121" i="9"/>
  <c r="K268" i="9"/>
  <c r="N75" i="9"/>
  <c r="L235" i="9"/>
  <c r="E43" i="9"/>
  <c r="N160" i="9"/>
  <c r="E108" i="9"/>
  <c r="O191" i="9"/>
  <c r="O68" i="3"/>
  <c r="L223" i="9"/>
  <c r="C37" i="9"/>
  <c r="F63" i="9"/>
  <c r="K177" i="9"/>
  <c r="O88" i="9"/>
  <c r="F82" i="9"/>
  <c r="N196" i="9"/>
  <c r="C27" i="9"/>
  <c r="L75" i="9"/>
  <c r="C114" i="9"/>
  <c r="O45" i="9"/>
  <c r="O102" i="9"/>
  <c r="E189" i="9"/>
  <c r="C212" i="9"/>
  <c r="I233" i="9"/>
  <c r="C228" i="9"/>
  <c r="F269" i="9"/>
  <c r="H265" i="9"/>
  <c r="O261" i="9"/>
  <c r="F196" i="9"/>
  <c r="O165" i="9"/>
  <c r="F222" i="9"/>
  <c r="I28" i="9"/>
  <c r="H67" i="9"/>
  <c r="K273" i="9"/>
  <c r="I24" i="9"/>
  <c r="L261" i="9"/>
  <c r="K191" i="9"/>
  <c r="O192" i="9"/>
  <c r="K182" i="9"/>
  <c r="H51" i="9"/>
  <c r="F99" i="9"/>
  <c r="L145" i="9"/>
  <c r="F138" i="9"/>
  <c r="F164" i="9"/>
  <c r="H152" i="9"/>
  <c r="L61" i="9"/>
  <c r="C112" i="9"/>
  <c r="K23" i="5"/>
  <c r="K38" i="3"/>
  <c r="I25" i="9"/>
  <c r="K265" i="9"/>
  <c r="N122" i="9"/>
  <c r="E231" i="9"/>
  <c r="H213" i="9"/>
  <c r="H224" i="9"/>
  <c r="L270" i="9"/>
  <c r="K22" i="9"/>
  <c r="I65" i="9"/>
  <c r="I217" i="9"/>
  <c r="O138" i="9"/>
  <c r="H103" i="9"/>
  <c r="I158" i="9"/>
  <c r="G63" i="3"/>
  <c r="K181" i="9"/>
  <c r="L280" i="9"/>
  <c r="C28" i="9"/>
  <c r="G65" i="3"/>
  <c r="O119" i="9"/>
  <c r="I219" i="9"/>
  <c r="O50" i="9"/>
  <c r="K203" i="9"/>
  <c r="L237" i="9"/>
  <c r="N98" i="9"/>
  <c r="L110" i="9"/>
  <c r="K56" i="3"/>
  <c r="K264" i="9"/>
  <c r="F37" i="9"/>
  <c r="L149" i="9"/>
  <c r="L159" i="9"/>
  <c r="H177" i="9"/>
  <c r="L25" i="9"/>
  <c r="H69" i="9"/>
  <c r="O233" i="9"/>
  <c r="K232" i="9"/>
  <c r="C153" i="9"/>
  <c r="K36" i="9"/>
  <c r="K15" i="5"/>
  <c r="H155" i="9"/>
  <c r="F143" i="9"/>
  <c r="O219" i="9"/>
  <c r="I99" i="9"/>
  <c r="O254" i="9"/>
  <c r="E260" i="9"/>
  <c r="L279" i="9"/>
  <c r="L224" i="9"/>
  <c r="E160" i="9"/>
  <c r="K48" i="3"/>
  <c r="C119" i="9"/>
  <c r="E143" i="9"/>
  <c r="H138" i="9"/>
  <c r="K90" i="9"/>
  <c r="E202" i="9"/>
  <c r="H52" i="9"/>
  <c r="L103" i="9"/>
  <c r="L22" i="9"/>
  <c r="E218" i="9"/>
  <c r="H98" i="9"/>
  <c r="O62" i="9"/>
  <c r="C78" i="9"/>
  <c r="I46" i="9"/>
  <c r="E61" i="9"/>
  <c r="F199" i="9"/>
  <c r="N183" i="9"/>
  <c r="K38" i="9"/>
  <c r="F88" i="9"/>
  <c r="K23" i="9"/>
  <c r="F179" i="9"/>
  <c r="N263" i="9"/>
  <c r="E104" i="9"/>
  <c r="H217" i="9"/>
  <c r="L179" i="9"/>
  <c r="N51" i="9"/>
  <c r="K6" i="3"/>
  <c r="K58" i="3"/>
  <c r="G39" i="3"/>
  <c r="I61" i="9"/>
  <c r="I224" i="9"/>
  <c r="C39" i="9"/>
  <c r="O99" i="9"/>
  <c r="K86" i="9"/>
  <c r="E117" i="9"/>
  <c r="F177" i="9"/>
  <c r="K222" i="9"/>
  <c r="E60" i="9"/>
  <c r="F102" i="9"/>
  <c r="O227" i="9"/>
  <c r="L88" i="9"/>
  <c r="O120" i="9"/>
  <c r="O213" i="9"/>
  <c r="C235" i="9"/>
  <c r="F187" i="9"/>
  <c r="N176" i="9"/>
  <c r="I194" i="9"/>
  <c r="O72" i="9"/>
  <c r="F67" i="9"/>
  <c r="L64" i="9"/>
  <c r="N156" i="9"/>
  <c r="F218" i="9"/>
  <c r="K46" i="9"/>
  <c r="L184" i="9"/>
  <c r="K42" i="3"/>
  <c r="E265" i="9"/>
  <c r="F275" i="9"/>
  <c r="L37" i="9"/>
  <c r="O104" i="9"/>
  <c r="I240" i="9"/>
  <c r="K15" i="3"/>
  <c r="N40" i="9"/>
  <c r="L111" i="9"/>
  <c r="O228" i="9"/>
  <c r="O23" i="9"/>
  <c r="C261" i="9"/>
  <c r="G49" i="3"/>
  <c r="K16" i="3"/>
  <c r="O36" i="9"/>
  <c r="O110" i="9"/>
  <c r="K47" i="3"/>
  <c r="F151" i="9"/>
  <c r="C75" i="9"/>
  <c r="E112" i="9"/>
  <c r="F83" i="9"/>
  <c r="I160" i="9"/>
  <c r="O87" i="9"/>
  <c r="I136" i="9"/>
  <c r="H232" i="9"/>
  <c r="O198" i="9"/>
  <c r="O68" i="9"/>
  <c r="H114" i="9"/>
  <c r="O180" i="9"/>
  <c r="C147" i="9"/>
  <c r="C22" i="9"/>
  <c r="E155" i="9"/>
  <c r="L87" i="9"/>
  <c r="K149" i="9"/>
  <c r="H182" i="9"/>
  <c r="L127" i="9"/>
  <c r="C272" i="9"/>
  <c r="L65" i="9"/>
  <c r="C263" i="9"/>
  <c r="H149" i="9"/>
  <c r="F260" i="9"/>
  <c r="H141" i="9"/>
  <c r="K239" i="9"/>
  <c r="I106" i="9"/>
  <c r="I73" i="9"/>
  <c r="K260" i="9"/>
  <c r="O176" i="9"/>
  <c r="K119" i="9"/>
  <c r="F190" i="9"/>
  <c r="L267" i="9"/>
  <c r="O27" i="9"/>
  <c r="H270" i="9"/>
  <c r="N218" i="9"/>
  <c r="K254" i="9"/>
  <c r="C77" i="9"/>
  <c r="G58" i="3"/>
  <c r="C69" i="9"/>
  <c r="N77" i="9"/>
  <c r="K121" i="9"/>
  <c r="I164" i="9"/>
  <c r="C250" i="9"/>
  <c r="C258" i="9"/>
  <c r="K200" i="9"/>
  <c r="H28" i="9"/>
  <c r="E164" i="9"/>
  <c r="I80" i="9"/>
  <c r="N146" i="9"/>
  <c r="C262" i="9"/>
  <c r="F124" i="9"/>
  <c r="K13" i="5"/>
  <c r="L274" i="9"/>
  <c r="K279" i="9"/>
  <c r="E146" i="9"/>
  <c r="K140" i="9"/>
  <c r="I145" i="9"/>
  <c r="K143" i="9"/>
  <c r="E185" i="9"/>
  <c r="O140" i="9"/>
  <c r="N161" i="9"/>
  <c r="L36" i="9"/>
  <c r="E78" i="9"/>
  <c r="I154" i="9"/>
  <c r="F41" i="9"/>
  <c r="C217" i="9"/>
  <c r="N267" i="9"/>
  <c r="L271" i="9"/>
  <c r="H223" i="9"/>
  <c r="K163" i="9"/>
  <c r="L163" i="9"/>
  <c r="O231" i="9"/>
  <c r="F112" i="9"/>
  <c r="E36" i="9"/>
  <c r="E228" i="9"/>
  <c r="H175" i="9"/>
  <c r="E239" i="9"/>
  <c r="L28" i="9"/>
  <c r="C240" i="9"/>
  <c r="E152" i="9"/>
  <c r="C98" i="9"/>
  <c r="O145" i="9"/>
  <c r="H139" i="9"/>
  <c r="C238" i="9"/>
  <c r="F227" i="9"/>
  <c r="E145" i="9"/>
  <c r="N138" i="9"/>
  <c r="O162" i="9"/>
  <c r="N26" i="9"/>
  <c r="I63" i="9"/>
  <c r="K37" i="3"/>
  <c r="G75" i="3"/>
  <c r="L227" i="9"/>
  <c r="O39" i="3"/>
  <c r="H267" i="9"/>
  <c r="F225" i="9"/>
  <c r="C204" i="9"/>
  <c r="H239" i="9"/>
  <c r="C231" i="9"/>
  <c r="K152" i="9"/>
  <c r="G37" i="3"/>
  <c r="H266" i="9"/>
  <c r="C254" i="9"/>
  <c r="O38" i="3"/>
  <c r="E261" i="9"/>
  <c r="O47" i="9"/>
  <c r="L32" i="9"/>
  <c r="K59" i="3"/>
  <c r="N214" i="9"/>
  <c r="C72" i="9"/>
  <c r="O164" i="9"/>
  <c r="C51" i="9"/>
  <c r="H24" i="9"/>
  <c r="F73" i="9"/>
  <c r="H197" i="9"/>
  <c r="N61" i="9"/>
  <c r="N45" i="9"/>
  <c r="C159" i="9"/>
  <c r="K278" i="9"/>
  <c r="L138" i="9"/>
  <c r="F80" i="9"/>
  <c r="F127" i="9"/>
  <c r="F273" i="9"/>
  <c r="F165" i="9"/>
  <c r="I119" i="9"/>
  <c r="I116" i="9"/>
  <c r="E87" i="9"/>
  <c r="H72" i="9"/>
  <c r="K69" i="9"/>
  <c r="C151" i="9"/>
  <c r="K66" i="3"/>
  <c r="I138" i="9"/>
  <c r="I262" i="9"/>
  <c r="F64" i="9"/>
  <c r="O122" i="9"/>
  <c r="E89" i="9"/>
  <c r="I141" i="9"/>
  <c r="L181" i="9"/>
  <c r="O65" i="3"/>
  <c r="I265" i="9"/>
  <c r="O146" i="9"/>
  <c r="C122" i="9"/>
  <c r="I270" i="9"/>
  <c r="C117" i="9"/>
  <c r="L122" i="9"/>
  <c r="K72" i="9"/>
  <c r="N29" i="9"/>
  <c r="N232" i="9"/>
  <c r="H191" i="9"/>
  <c r="I241" i="9"/>
  <c r="H253" i="9"/>
  <c r="L152" i="9"/>
  <c r="K74" i="9"/>
  <c r="L225" i="9"/>
  <c r="K32" i="9"/>
  <c r="K233" i="9"/>
  <c r="O156" i="9"/>
  <c r="L33" i="9"/>
  <c r="K252" i="9"/>
  <c r="G67" i="3"/>
  <c r="O141" i="9"/>
  <c r="E263" i="9"/>
  <c r="O32" i="3"/>
  <c r="C221" i="9"/>
  <c r="K141" i="9"/>
  <c r="F235" i="9"/>
  <c r="L194" i="9"/>
  <c r="H238" i="9"/>
  <c r="E166" i="9"/>
  <c r="I174" i="9"/>
  <c r="K16" i="5"/>
  <c r="H99" i="9"/>
  <c r="I137" i="9"/>
  <c r="C89" i="9"/>
  <c r="H242" i="9"/>
  <c r="G61" i="3"/>
  <c r="E230" i="9"/>
  <c r="N261" i="9"/>
  <c r="K216" i="9"/>
  <c r="E255" i="9"/>
  <c r="H240" i="9"/>
  <c r="L199" i="9"/>
  <c r="O159" i="9"/>
  <c r="K25" i="3"/>
  <c r="K37" i="9"/>
  <c r="C154" i="9"/>
  <c r="F198" i="9"/>
  <c r="C223" i="9"/>
  <c r="E39" i="9"/>
  <c r="N39" i="9"/>
  <c r="E88" i="9"/>
  <c r="I183" i="9"/>
  <c r="L201" i="9"/>
  <c r="O24" i="9"/>
  <c r="I159" i="9"/>
  <c r="E204" i="9"/>
  <c r="L190" i="9"/>
  <c r="N150" i="9"/>
  <c r="E124" i="9"/>
  <c r="K24" i="9"/>
  <c r="I176" i="9"/>
  <c r="C123" i="9"/>
  <c r="O35" i="9"/>
  <c r="F101" i="9"/>
  <c r="N110" i="9"/>
  <c r="C38" i="9"/>
  <c r="H275" i="9"/>
  <c r="L212" i="9"/>
  <c r="H124" i="9"/>
  <c r="N149" i="9"/>
  <c r="C219" i="9"/>
  <c r="L160" i="9"/>
  <c r="O222" i="9"/>
  <c r="F186" i="9"/>
  <c r="E128" i="9"/>
  <c r="F188" i="9"/>
  <c r="O33" i="9"/>
  <c r="C29" i="9"/>
  <c r="E77" i="9"/>
  <c r="L82" i="9"/>
  <c r="K183" i="9"/>
  <c r="C230" i="9"/>
  <c r="N216" i="9"/>
  <c r="L50" i="9"/>
  <c r="O45" i="3"/>
  <c r="N76" i="9"/>
  <c r="K39" i="3"/>
  <c r="H272" i="9"/>
  <c r="O112" i="9"/>
  <c r="K46" i="3"/>
  <c r="H113" i="9"/>
  <c r="E30" i="9"/>
  <c r="I182" i="9"/>
  <c r="O252" i="9"/>
  <c r="E29" i="9"/>
  <c r="F38" i="9"/>
  <c r="H148" i="9"/>
  <c r="I66" i="9"/>
  <c r="N68" i="9"/>
  <c r="K89" i="9"/>
  <c r="F277" i="9"/>
  <c r="C188" i="9"/>
  <c r="E180" i="9"/>
  <c r="H31" i="9"/>
  <c r="L176" i="9"/>
  <c r="N104" i="9"/>
  <c r="H47" i="9"/>
  <c r="E126" i="9"/>
  <c r="C177" i="9"/>
  <c r="I258" i="9"/>
  <c r="F267" i="9"/>
  <c r="L238" i="9"/>
  <c r="K142" i="9"/>
  <c r="C83" i="9"/>
  <c r="E136" i="9"/>
  <c r="K26" i="9"/>
  <c r="H230" i="9"/>
  <c r="K240" i="9"/>
  <c r="E153" i="9"/>
  <c r="H89" i="9"/>
  <c r="N80" i="9"/>
  <c r="I228" i="9"/>
  <c r="O67" i="3"/>
  <c r="E24" i="9"/>
  <c r="O81" i="9"/>
  <c r="H268" i="9"/>
  <c r="E64" i="9"/>
  <c r="L240" i="9"/>
  <c r="N47" i="9"/>
  <c r="H188" i="9"/>
  <c r="H145" i="9"/>
  <c r="N164" i="9"/>
  <c r="O89" i="9"/>
  <c r="E65" i="9"/>
  <c r="I139" i="9"/>
  <c r="G34" i="3"/>
  <c r="E23" i="9"/>
  <c r="K127" i="9"/>
  <c r="H70" i="9"/>
  <c r="I250" i="9"/>
  <c r="F139" i="9"/>
  <c r="N125" i="9"/>
  <c r="I112" i="9"/>
  <c r="K77" i="9"/>
  <c r="H49" i="9"/>
  <c r="K39" i="9"/>
  <c r="C193" i="9"/>
  <c r="G45" i="3"/>
  <c r="N219" i="9"/>
  <c r="I165" i="9"/>
  <c r="H136" i="9"/>
  <c r="E40" i="9"/>
  <c r="I280" i="9"/>
  <c r="H194" i="9"/>
  <c r="C70" i="9"/>
  <c r="E26" i="9"/>
  <c r="E191" i="9"/>
  <c r="C36" i="9"/>
  <c r="I161" i="9"/>
  <c r="H218" i="9"/>
  <c r="L104" i="9"/>
  <c r="N235" i="9"/>
  <c r="C67" i="9"/>
  <c r="O150" i="9"/>
  <c r="C256" i="9"/>
  <c r="O272" i="9"/>
  <c r="N115" i="9"/>
  <c r="K115" i="9"/>
  <c r="K99" i="9"/>
  <c r="O123" i="9"/>
  <c r="L101" i="9"/>
  <c r="L29" i="9"/>
  <c r="O105" i="9"/>
  <c r="E257" i="9"/>
  <c r="I151" i="9"/>
  <c r="N108" i="9"/>
  <c r="L214" i="9"/>
  <c r="O71" i="3"/>
  <c r="E264" i="9"/>
  <c r="E149" i="9"/>
  <c r="O61" i="9"/>
  <c r="O30" i="9"/>
  <c r="E48" i="9"/>
  <c r="L71" i="9"/>
  <c r="F76" i="9"/>
  <c r="K60" i="3"/>
  <c r="H65" i="9"/>
  <c r="L268" i="9"/>
  <c r="I74" i="9"/>
  <c r="I124" i="9"/>
  <c r="O195" i="9"/>
  <c r="F223" i="9"/>
  <c r="N197" i="9"/>
  <c r="C216" i="9"/>
  <c r="H166" i="9"/>
  <c r="I35" i="9"/>
  <c r="E254" i="9"/>
  <c r="G38" i="3"/>
  <c r="E148" i="9"/>
  <c r="O188" i="9"/>
  <c r="C136" i="9"/>
  <c r="O106" i="9"/>
  <c r="E34" i="9"/>
  <c r="E270" i="9"/>
  <c r="G60" i="3"/>
  <c r="I279" i="9"/>
  <c r="H74" i="9"/>
  <c r="I62" i="9"/>
  <c r="F212" i="9"/>
  <c r="F120" i="9"/>
  <c r="F110" i="9"/>
  <c r="K24" i="3"/>
  <c r="I162" i="9"/>
  <c r="I226" i="9"/>
  <c r="I67" i="9"/>
  <c r="N78" i="9"/>
  <c r="H160" i="9"/>
  <c r="H38" i="9"/>
  <c r="K18" i="3"/>
  <c r="I273" i="9"/>
  <c r="L125" i="9"/>
  <c r="K20" i="3"/>
  <c r="F254" i="9"/>
  <c r="I100" i="9"/>
  <c r="E68" i="9"/>
  <c r="I220" i="9"/>
  <c r="K157" i="9"/>
  <c r="H107" i="9"/>
  <c r="K126" i="9"/>
  <c r="C109" i="9"/>
  <c r="O185" i="9"/>
  <c r="F230" i="9"/>
  <c r="K7" i="5"/>
  <c r="C267" i="9"/>
  <c r="O174" i="9"/>
  <c r="I149" i="9"/>
  <c r="N34" i="9"/>
  <c r="H263" i="9"/>
  <c r="F252" i="9"/>
  <c r="I271" i="9"/>
  <c r="C138" i="9"/>
  <c r="N142" i="9"/>
  <c r="I222" i="9"/>
  <c r="F146" i="9"/>
  <c r="F191" i="9"/>
  <c r="I23" i="9"/>
  <c r="O257" i="9"/>
  <c r="C227" i="9"/>
  <c r="K51" i="9"/>
  <c r="H44" i="9"/>
  <c r="O236" i="9"/>
  <c r="H120" i="9"/>
  <c r="C31" i="9"/>
  <c r="I218" i="9"/>
  <c r="O144" i="9"/>
  <c r="E188" i="9"/>
  <c r="F278" i="9"/>
  <c r="K22" i="3"/>
  <c r="K66" i="9"/>
  <c r="N62" i="9"/>
  <c r="E241" i="9"/>
  <c r="H216" i="9"/>
  <c r="E203" i="9"/>
  <c r="I163" i="9"/>
  <c r="N144" i="9"/>
  <c r="C276" i="9"/>
  <c r="I103" i="9"/>
  <c r="H143" i="9"/>
  <c r="N43" i="9"/>
  <c r="C213" i="9"/>
  <c r="C164" i="9"/>
  <c r="G36" i="3"/>
  <c r="N193" i="9"/>
  <c r="N128" i="9"/>
  <c r="C185" i="9"/>
  <c r="H200" i="9"/>
  <c r="O178" i="9"/>
  <c r="F116" i="9"/>
  <c r="I232" i="9"/>
  <c r="N198" i="9"/>
  <c r="L200" i="9"/>
  <c r="K184" i="9"/>
  <c r="I120" i="9"/>
  <c r="F259" i="9"/>
  <c r="I223" i="9"/>
  <c r="E63" i="9"/>
  <c r="E140" i="9"/>
  <c r="O255" i="9"/>
  <c r="I215" i="9"/>
  <c r="F266" i="9"/>
  <c r="K197" i="9"/>
  <c r="H162" i="9"/>
  <c r="N227" i="9"/>
  <c r="K71" i="9"/>
  <c r="O35" i="3"/>
  <c r="L218" i="9"/>
  <c r="G33" i="3"/>
  <c r="O193" i="9"/>
  <c r="K103" i="9"/>
  <c r="L49" i="9"/>
  <c r="N123" i="9"/>
  <c r="C266" i="9"/>
  <c r="K192" i="9"/>
  <c r="O224" i="9"/>
  <c r="H157" i="9"/>
  <c r="O225" i="9"/>
  <c r="C279" i="9"/>
  <c r="N268" i="9"/>
  <c r="O26" i="9"/>
  <c r="K125" i="9"/>
  <c r="G73" i="3"/>
  <c r="L81" i="9"/>
  <c r="O31" i="3"/>
  <c r="L239" i="9"/>
  <c r="K31" i="9"/>
  <c r="K219" i="9"/>
  <c r="C194" i="9"/>
  <c r="C270" i="9"/>
  <c r="I34" i="9"/>
  <c r="N140" i="9"/>
  <c r="E269" i="9"/>
  <c r="N143" i="9"/>
  <c r="K69" i="3"/>
  <c r="O179" i="9"/>
  <c r="K111" i="9"/>
  <c r="O196" i="9"/>
  <c r="L136" i="9"/>
  <c r="E229" i="9"/>
  <c r="E156" i="9"/>
  <c r="H274" i="9"/>
  <c r="H39" i="9"/>
  <c r="N153" i="9"/>
  <c r="K148" i="9"/>
  <c r="K221" i="9"/>
  <c r="L213" i="9"/>
  <c r="N60" i="9"/>
  <c r="F43" i="9"/>
  <c r="E22" i="9"/>
  <c r="K158" i="9"/>
  <c r="I38" i="9"/>
  <c r="H278" i="9"/>
  <c r="K85" i="9"/>
  <c r="F229" i="9"/>
  <c r="I77" i="9"/>
  <c r="L175" i="9"/>
  <c r="C233" i="9"/>
  <c r="I140" i="9"/>
  <c r="E76" i="9"/>
  <c r="C87" i="9"/>
  <c r="I251" i="9"/>
  <c r="L128" i="9"/>
  <c r="O127" i="9"/>
  <c r="F270" i="9"/>
  <c r="I52" i="9"/>
  <c r="G35" i="3"/>
  <c r="K202" i="9"/>
  <c r="E52" i="9"/>
  <c r="N33" i="9"/>
  <c r="K138" i="9"/>
  <c r="H257" i="9"/>
  <c r="H185" i="9"/>
  <c r="G31" i="3"/>
  <c r="F25" i="9"/>
  <c r="E69" i="9"/>
  <c r="H193" i="9"/>
  <c r="L257" i="9"/>
  <c r="H112" i="9"/>
  <c r="F123" i="9"/>
  <c r="E195" i="9"/>
  <c r="N163" i="9"/>
  <c r="N38" i="9"/>
  <c r="O274" i="9"/>
  <c r="L27" i="9"/>
  <c r="H227" i="9"/>
  <c r="L231" i="9"/>
  <c r="C106" i="9"/>
  <c r="O269" i="9"/>
  <c r="N30" i="9"/>
  <c r="H195" i="9"/>
  <c r="N182" i="9"/>
  <c r="H174" i="9"/>
  <c r="L232" i="9"/>
  <c r="O250" i="9"/>
  <c r="N136" i="9"/>
  <c r="C264" i="9"/>
  <c r="K63" i="9"/>
  <c r="C269" i="9"/>
  <c r="O38" i="9"/>
  <c r="N221" i="9"/>
  <c r="C280" i="9"/>
  <c r="C32" i="9"/>
  <c r="C85" i="9"/>
  <c r="E81" i="9"/>
  <c r="K75" i="9"/>
  <c r="H88" i="9"/>
  <c r="K72" i="3"/>
  <c r="C202" i="9"/>
  <c r="O79" i="9"/>
  <c r="E50" i="9"/>
  <c r="F197" i="9"/>
  <c r="C252" i="9"/>
  <c r="K136" i="9"/>
  <c r="L265" i="9"/>
  <c r="F78" i="9"/>
  <c r="O136" i="9"/>
  <c r="I108" i="9"/>
  <c r="H219" i="9"/>
  <c r="L177" i="9"/>
  <c r="C47" i="9"/>
  <c r="C197" i="9"/>
  <c r="E165" i="9"/>
  <c r="L155" i="9"/>
  <c r="O265" i="9"/>
  <c r="L151" i="9"/>
  <c r="K45" i="3"/>
  <c r="N35" i="9"/>
  <c r="C26" i="9"/>
  <c r="K178" i="9"/>
  <c r="I117" i="9"/>
  <c r="N250" i="9"/>
  <c r="O101" i="9"/>
  <c r="N234" i="9"/>
  <c r="I83" i="9"/>
  <c r="N225" i="9"/>
  <c r="O200" i="9"/>
  <c r="I101" i="9"/>
  <c r="F175" i="9"/>
  <c r="C253" i="9"/>
  <c r="K225" i="9"/>
  <c r="L189" i="9"/>
  <c r="F240" i="9"/>
  <c r="O70" i="9"/>
  <c r="N275" i="9"/>
  <c r="E25" i="9"/>
  <c r="I256" i="9"/>
  <c r="C259" i="9"/>
  <c r="K147" i="9"/>
  <c r="O166" i="9"/>
  <c r="O22" i="9"/>
  <c r="H277" i="9"/>
  <c r="O48" i="9"/>
  <c r="F231" i="9"/>
  <c r="O194" i="9"/>
  <c r="E250" i="9"/>
  <c r="K64" i="3"/>
  <c r="L250" i="9"/>
  <c r="E242" i="9"/>
  <c r="L188" i="9"/>
  <c r="E194" i="9"/>
  <c r="O230" i="9"/>
  <c r="K212" i="9"/>
  <c r="C71" i="9"/>
  <c r="F224" i="9"/>
  <c r="K269" i="9"/>
  <c r="E116" i="9"/>
  <c r="N118" i="9"/>
  <c r="K113" i="9"/>
  <c r="L186" i="9"/>
  <c r="L83" i="9"/>
  <c r="I89" i="9"/>
  <c r="K128" i="9"/>
  <c r="L241" i="9"/>
  <c r="F87" i="9"/>
  <c r="F44" i="9"/>
  <c r="O270" i="9"/>
  <c r="I31" i="9"/>
  <c r="E119" i="9"/>
  <c r="O190" i="9"/>
  <c r="O251" i="9"/>
  <c r="O25" i="9"/>
  <c r="F221" i="9"/>
  <c r="C189" i="9"/>
  <c r="K27" i="9"/>
  <c r="L77" i="9"/>
  <c r="N105" i="9"/>
  <c r="F156" i="9"/>
  <c r="C120" i="9"/>
  <c r="I82" i="9"/>
  <c r="H203" i="9"/>
  <c r="N25" i="9"/>
  <c r="H142" i="9"/>
  <c r="G68" i="3"/>
  <c r="L266" i="9"/>
  <c r="O242" i="9"/>
  <c r="C181" i="9"/>
  <c r="E216" i="9"/>
  <c r="H196" i="9"/>
  <c r="N85" i="9"/>
  <c r="K214" i="9"/>
  <c r="O183" i="9"/>
  <c r="E266" i="9"/>
  <c r="E158" i="9"/>
  <c r="E224" i="9"/>
  <c r="F258" i="9"/>
  <c r="I150" i="9"/>
  <c r="C113" i="9"/>
  <c r="I203" i="9"/>
  <c r="O235" i="9"/>
  <c r="F276" i="9"/>
  <c r="F33" i="9"/>
  <c r="E46" i="9"/>
  <c r="I44" i="9"/>
  <c r="C203" i="9"/>
  <c r="O40" i="3"/>
  <c r="F103" i="9"/>
  <c r="C160" i="9"/>
  <c r="N103" i="9"/>
  <c r="H35" i="9"/>
  <c r="G74" i="3"/>
  <c r="N233" i="9"/>
  <c r="G48" i="3"/>
  <c r="E38" i="9"/>
  <c r="H273" i="9"/>
  <c r="F185" i="9"/>
  <c r="L89" i="9"/>
  <c r="O229" i="9"/>
  <c r="N28" i="9"/>
  <c r="I267" i="9"/>
  <c r="L219" i="9"/>
  <c r="C179" i="9"/>
  <c r="H252" i="9"/>
  <c r="E259" i="9"/>
  <c r="N102" i="9"/>
  <c r="O107" i="9"/>
  <c r="K194" i="9"/>
  <c r="I122" i="9"/>
  <c r="O182" i="9"/>
  <c r="O125" i="9"/>
  <c r="E187" i="9"/>
  <c r="O264" i="9"/>
  <c r="F52" i="9"/>
  <c r="K196" i="9"/>
  <c r="H125" i="9"/>
  <c r="K276" i="9"/>
  <c r="I185" i="9"/>
  <c r="E98" i="9"/>
  <c r="E139" i="9"/>
  <c r="L117" i="9"/>
  <c r="K217" i="9"/>
  <c r="F274" i="9"/>
  <c r="N114" i="9"/>
  <c r="H165" i="9"/>
  <c r="E84" i="9"/>
  <c r="O268" i="9"/>
  <c r="N46" i="9"/>
  <c r="C103" i="9"/>
  <c r="K104" i="9"/>
  <c r="O158" i="9"/>
  <c r="I213" i="9"/>
  <c r="E227" i="9"/>
  <c r="K57" i="3"/>
  <c r="N165" i="9"/>
  <c r="K190" i="9"/>
  <c r="L229" i="9"/>
  <c r="N201" i="9"/>
  <c r="I166" i="9"/>
  <c r="N188" i="9"/>
  <c r="C143" i="9"/>
  <c r="E147" i="9"/>
  <c r="F126" i="9"/>
  <c r="O37" i="9"/>
  <c r="F24" i="9"/>
  <c r="I225" i="9"/>
  <c r="O63" i="9"/>
  <c r="O74" i="3"/>
  <c r="F36" i="9"/>
  <c r="F60" i="9"/>
  <c r="K35" i="9"/>
  <c r="I60" i="9"/>
  <c r="K61" i="3"/>
  <c r="N147" i="9"/>
  <c r="H48" i="9"/>
  <c r="E175" i="9"/>
  <c r="L69" i="9"/>
  <c r="E100" i="9"/>
  <c r="C148" i="9"/>
  <c r="I186" i="9"/>
  <c r="K31" i="3"/>
  <c r="H156" i="9"/>
  <c r="E27" i="9"/>
  <c r="C198" i="9"/>
  <c r="L165" i="9"/>
  <c r="O239" i="9"/>
  <c r="H202" i="9"/>
  <c r="O237" i="9"/>
  <c r="E237" i="9"/>
  <c r="I188" i="9"/>
  <c r="O42" i="9"/>
  <c r="O85" i="9"/>
  <c r="O108" i="9"/>
  <c r="C124" i="9"/>
  <c r="F39" i="9"/>
  <c r="N241" i="9"/>
  <c r="C271" i="9"/>
  <c r="N257" i="9"/>
  <c r="C278" i="9"/>
  <c r="L44" i="9"/>
  <c r="I189" i="9"/>
  <c r="N113" i="9"/>
  <c r="O57" i="3"/>
  <c r="N229" i="9"/>
  <c r="L141" i="9"/>
  <c r="F157" i="9"/>
  <c r="K9" i="3"/>
  <c r="K257" i="9"/>
  <c r="I264" i="9"/>
  <c r="C273" i="9"/>
  <c r="E222" i="9"/>
  <c r="F236" i="9"/>
  <c r="H66" i="9"/>
  <c r="H198" i="9"/>
  <c r="K8" i="3"/>
  <c r="I230" i="9"/>
  <c r="N269" i="9"/>
  <c r="K195" i="9"/>
  <c r="F255" i="9"/>
  <c r="K238" i="9"/>
  <c r="K71" i="3"/>
  <c r="K199" i="9"/>
  <c r="C128" i="9"/>
  <c r="N36" i="9"/>
  <c r="H62" i="9"/>
  <c r="I200" i="9"/>
  <c r="K74" i="3"/>
  <c r="G64" i="3"/>
  <c r="L269" i="9"/>
  <c r="E190" i="9"/>
  <c r="C165" i="9"/>
  <c r="C61" i="9"/>
  <c r="E113" i="9"/>
  <c r="H259" i="9"/>
  <c r="E219" i="9"/>
  <c r="H106" i="9"/>
  <c r="I216" i="9"/>
  <c r="I191" i="9"/>
  <c r="K193" i="9"/>
  <c r="F174" i="9"/>
  <c r="N181" i="9"/>
  <c r="I268" i="9"/>
  <c r="E233" i="9"/>
  <c r="L109" i="9"/>
  <c r="O220" i="9"/>
  <c r="L107" i="9"/>
  <c r="H237" i="9"/>
  <c r="L156" i="9"/>
  <c r="E186" i="9"/>
  <c r="F256" i="9"/>
  <c r="H75" i="9"/>
  <c r="I254" i="9"/>
  <c r="O160" i="9"/>
  <c r="C200" i="9"/>
  <c r="K34" i="9"/>
  <c r="N240" i="9"/>
  <c r="F233" i="9"/>
  <c r="O204" i="9"/>
  <c r="H77" i="9"/>
  <c r="F100" i="9"/>
  <c r="I257" i="9"/>
  <c r="F22" i="9"/>
  <c r="F31" i="9"/>
  <c r="I146" i="9"/>
  <c r="L112" i="9"/>
  <c r="H50" i="9"/>
  <c r="N175" i="9"/>
  <c r="H78" i="9"/>
  <c r="F42" i="9"/>
  <c r="K49" i="9"/>
  <c r="H276" i="9"/>
  <c r="H26" i="9"/>
  <c r="L216" i="9"/>
  <c r="F34" i="9"/>
  <c r="L90" i="9"/>
  <c r="L86" i="9"/>
  <c r="E120" i="9"/>
  <c r="N177" i="9"/>
  <c r="F72" i="9"/>
  <c r="F89" i="9"/>
  <c r="L41" i="9"/>
  <c r="F253" i="9"/>
  <c r="N23" i="9"/>
  <c r="I87" i="9"/>
  <c r="N119" i="9"/>
  <c r="I266" i="9"/>
  <c r="N73" i="9"/>
  <c r="I190" i="9"/>
  <c r="N262" i="9"/>
  <c r="E121" i="9"/>
  <c r="O259" i="9"/>
  <c r="N184" i="9"/>
  <c r="O62" i="3"/>
  <c r="K274" i="9"/>
  <c r="O32" i="9"/>
  <c r="N109" i="9"/>
  <c r="F160" i="9"/>
  <c r="E144" i="9"/>
  <c r="K83" i="9"/>
  <c r="H154" i="9"/>
  <c r="L126" i="9"/>
  <c r="O52" i="9"/>
  <c r="K75" i="3"/>
  <c r="H37" i="9"/>
  <c r="I86" i="9"/>
  <c r="K33" i="3"/>
  <c r="O147" i="9"/>
  <c r="L52" i="9"/>
  <c r="I148" i="9"/>
  <c r="F180" i="9"/>
  <c r="C142" i="9"/>
  <c r="H81" i="9"/>
  <c r="I275" i="9"/>
  <c r="K98" i="9"/>
  <c r="N127" i="9"/>
  <c r="C102" i="9"/>
  <c r="G50" i="3"/>
  <c r="K36" i="3"/>
  <c r="C24" i="9"/>
  <c r="H280" i="9"/>
  <c r="I184" i="9"/>
  <c r="L38" i="9"/>
  <c r="H261" i="9"/>
  <c r="C257" i="9"/>
  <c r="H104" i="9"/>
  <c r="N155" i="9"/>
  <c r="O33" i="3"/>
  <c r="K156" i="9"/>
  <c r="C242" i="9"/>
  <c r="E71" i="9"/>
  <c r="H222" i="9"/>
  <c r="K10" i="3"/>
  <c r="H101" i="9"/>
  <c r="K226" i="9"/>
  <c r="H102" i="9"/>
  <c r="C220" i="9"/>
  <c r="C99" i="9"/>
  <c r="K41" i="3"/>
  <c r="H260" i="9"/>
  <c r="K8" i="5"/>
  <c r="F105" i="9"/>
  <c r="H262" i="9"/>
  <c r="K235" i="9"/>
  <c r="N111" i="9"/>
  <c r="I43" i="9"/>
  <c r="N145" i="9"/>
  <c r="O114" i="9"/>
  <c r="O216" i="9"/>
  <c r="O256" i="9"/>
  <c r="E277" i="9"/>
  <c r="C126" i="9"/>
  <c r="H226" i="9"/>
  <c r="F65" i="9"/>
  <c r="L79" i="9"/>
  <c r="E256" i="9"/>
  <c r="E253" i="9"/>
  <c r="C186" i="9"/>
  <c r="L51" i="9"/>
  <c r="N126" i="9"/>
  <c r="F200" i="9"/>
  <c r="K162" i="9"/>
  <c r="F203" i="9"/>
  <c r="N217" i="9"/>
  <c r="H76" i="9"/>
  <c r="F184" i="9"/>
  <c r="C175" i="9"/>
  <c r="E235" i="9"/>
  <c r="E182" i="9"/>
  <c r="C43" i="9"/>
  <c r="E82" i="9"/>
  <c r="O163" i="9"/>
  <c r="O103" i="9"/>
  <c r="F263" i="9"/>
  <c r="L226" i="9"/>
  <c r="E199" i="9"/>
  <c r="N277" i="9"/>
  <c r="O279" i="9"/>
  <c r="F153" i="9"/>
  <c r="E223" i="9"/>
  <c r="K174" i="9"/>
  <c r="F28" i="9"/>
  <c r="O59" i="3"/>
  <c r="F213" i="9"/>
  <c r="L118" i="9"/>
  <c r="I105" i="9"/>
  <c r="F194" i="9"/>
  <c r="C127" i="9"/>
  <c r="C191" i="9"/>
  <c r="F204" i="9"/>
  <c r="I181" i="9"/>
  <c r="L157" i="9"/>
  <c r="E163" i="9"/>
  <c r="O83" i="9"/>
  <c r="I26" i="9"/>
  <c r="K50" i="9"/>
  <c r="H255" i="9"/>
  <c r="K120" i="9"/>
  <c r="F47" i="9"/>
  <c r="C30" i="9"/>
  <c r="N212" i="9"/>
  <c r="O181" i="9"/>
  <c r="E275" i="9"/>
  <c r="K117" i="9"/>
  <c r="F32" i="9"/>
  <c r="K106" i="9"/>
  <c r="O44" i="9"/>
  <c r="H71" i="9"/>
  <c r="O187" i="9"/>
  <c r="K9" i="5"/>
  <c r="H30" i="9"/>
  <c r="I72" i="9"/>
  <c r="E86" i="9"/>
  <c r="I144" i="9"/>
  <c r="C52" i="9"/>
  <c r="F182" i="9"/>
  <c r="K60" i="9"/>
  <c r="K229" i="9"/>
  <c r="O238" i="9"/>
  <c r="H63" i="9"/>
  <c r="N252" i="9"/>
  <c r="I81" i="9"/>
  <c r="I234" i="9"/>
  <c r="I49" i="9"/>
  <c r="H33" i="9"/>
  <c r="I229" i="9"/>
  <c r="F239" i="9"/>
  <c r="N87" i="9"/>
  <c r="K272" i="9"/>
  <c r="E179" i="9"/>
  <c r="I48" i="9"/>
  <c r="L204" i="9"/>
  <c r="K144" i="9"/>
  <c r="O36" i="3"/>
  <c r="H184" i="9"/>
  <c r="N117" i="9"/>
  <c r="O262" i="9"/>
  <c r="I199" i="9"/>
  <c r="O240" i="9"/>
  <c r="K201" i="9"/>
  <c r="H254" i="9"/>
  <c r="E212" i="9"/>
  <c r="C40" i="9"/>
  <c r="K44" i="3"/>
  <c r="I84" i="9"/>
  <c r="N179" i="9"/>
  <c r="H117" i="9"/>
  <c r="K271" i="9"/>
  <c r="L116" i="9"/>
  <c r="O51" i="9"/>
  <c r="E220" i="9"/>
  <c r="L183" i="9"/>
  <c r="I45" i="9"/>
  <c r="K18" i="5"/>
  <c r="H73" i="9"/>
  <c r="I114" i="9"/>
  <c r="H229" i="9"/>
  <c r="H163" i="9"/>
  <c r="K251" i="9"/>
  <c r="L252" i="9"/>
  <c r="K153" i="9"/>
  <c r="F150" i="9"/>
  <c r="N274" i="9"/>
  <c r="I30" i="9"/>
  <c r="K145" i="9"/>
  <c r="N251" i="9"/>
  <c r="K107" i="9"/>
  <c r="N141" i="9"/>
  <c r="C268" i="9"/>
  <c r="F220" i="9"/>
  <c r="N185" i="9"/>
  <c r="H40" i="9"/>
  <c r="I51" i="9"/>
  <c r="H271" i="9"/>
  <c r="N121" i="9"/>
  <c r="F162" i="9"/>
  <c r="K42" i="9"/>
  <c r="I104" i="9"/>
  <c r="N50" i="9"/>
  <c r="I214" i="9"/>
  <c r="L137" i="9"/>
  <c r="H241" i="9"/>
  <c r="K84" i="9"/>
  <c r="C66" i="9"/>
  <c r="K13" i="3"/>
  <c r="N66" i="9"/>
  <c r="K35" i="3"/>
  <c r="F125" i="9"/>
  <c r="O175" i="9"/>
  <c r="H45" i="9"/>
  <c r="I102" i="9"/>
  <c r="K70" i="9"/>
  <c r="K73" i="3"/>
  <c r="O31" i="9"/>
  <c r="L153" i="9"/>
  <c r="F106" i="9"/>
  <c r="C81" i="9"/>
  <c r="N65" i="9"/>
  <c r="H32" i="9"/>
  <c r="F35" i="9"/>
  <c r="O221" i="9"/>
  <c r="O70" i="3"/>
  <c r="F158" i="9"/>
  <c r="H29" i="9"/>
  <c r="E192" i="9"/>
  <c r="F71" i="9"/>
  <c r="F109" i="9"/>
  <c r="N272" i="9"/>
  <c r="E125" i="9"/>
  <c r="G43" i="3"/>
  <c r="I263" i="9"/>
  <c r="I22" i="9"/>
  <c r="N280" i="9"/>
  <c r="L34" i="9"/>
  <c r="I198" i="9"/>
  <c r="L47" i="9"/>
  <c r="I237" i="9"/>
  <c r="H147" i="9"/>
  <c r="N159" i="9"/>
  <c r="E123" i="9"/>
  <c r="N152" i="9"/>
  <c r="I98" i="9"/>
  <c r="F144" i="9"/>
  <c r="N228" i="9"/>
  <c r="N48" i="9"/>
  <c r="H27" i="9"/>
  <c r="H214" i="9"/>
  <c r="E280" i="9"/>
  <c r="C196" i="9"/>
  <c r="L113" i="9"/>
  <c r="C45" i="9"/>
  <c r="N226" i="9"/>
  <c r="O197" i="9"/>
  <c r="F279" i="9"/>
  <c r="C25" i="9"/>
  <c r="I125" i="9"/>
  <c r="N273" i="9"/>
  <c r="N236" i="9"/>
  <c r="K32" i="3"/>
  <c r="H41" i="9"/>
  <c r="I255" i="9"/>
  <c r="F141" i="9"/>
  <c r="F251" i="9"/>
  <c r="O66" i="3"/>
  <c r="K280" i="9"/>
  <c r="C187" i="9"/>
  <c r="K236" i="9"/>
  <c r="C157" i="9"/>
  <c r="E238" i="9"/>
  <c r="C60" i="9"/>
  <c r="C79" i="9"/>
  <c r="F117" i="9"/>
  <c r="O65" i="9"/>
  <c r="N223" i="9"/>
  <c r="L202" i="9"/>
  <c r="K256" i="9"/>
  <c r="F114" i="9"/>
  <c r="C176" i="9"/>
  <c r="E67" i="9"/>
  <c r="H264" i="9"/>
  <c r="F232" i="9"/>
  <c r="N174" i="9"/>
  <c r="H64" i="9"/>
  <c r="K82" i="9"/>
  <c r="E161" i="9"/>
  <c r="N190" i="9"/>
  <c r="N157" i="9"/>
  <c r="N24" i="9"/>
  <c r="L233" i="9"/>
  <c r="H83" i="9"/>
  <c r="H235" i="9"/>
  <c r="C234" i="9"/>
  <c r="K263" i="9"/>
  <c r="C44" i="9"/>
  <c r="H111" i="9"/>
  <c r="F261" i="9"/>
  <c r="N204" i="9"/>
  <c r="E103" i="9"/>
  <c r="L98" i="9"/>
  <c r="O234" i="9"/>
  <c r="N203" i="9"/>
  <c r="K22" i="5"/>
  <c r="L263" i="9"/>
  <c r="C149" i="9"/>
  <c r="H144" i="9"/>
  <c r="E66" i="9"/>
  <c r="F30" i="9"/>
  <c r="L203" i="9"/>
  <c r="K277" i="9"/>
  <c r="K255" i="9"/>
  <c r="L148" i="9"/>
  <c r="I32" i="9"/>
  <c r="K52" i="9"/>
  <c r="O218" i="9"/>
  <c r="H109" i="9"/>
  <c r="I70" i="9"/>
  <c r="E28" i="9"/>
  <c r="O277" i="9"/>
  <c r="N74" i="9"/>
  <c r="E279" i="9"/>
  <c r="L106" i="9"/>
  <c r="L182" i="9"/>
  <c r="K220" i="9"/>
  <c r="I127" i="9"/>
  <c r="L143" i="9"/>
  <c r="F242" i="9"/>
  <c r="F108" i="9"/>
  <c r="F107" i="9"/>
  <c r="C141" i="9"/>
  <c r="H220" i="9"/>
  <c r="F147" i="9"/>
  <c r="L275" i="9"/>
  <c r="O72" i="3"/>
  <c r="K146" i="9"/>
  <c r="O28" i="9"/>
  <c r="F155" i="9"/>
  <c r="E273" i="9"/>
  <c r="C144" i="9"/>
  <c r="K139" i="9"/>
  <c r="E32" i="9"/>
  <c r="C156" i="9"/>
  <c r="K237" i="9"/>
  <c r="I155" i="9"/>
  <c r="K114" i="9"/>
  <c r="E157" i="9"/>
  <c r="C101" i="9"/>
  <c r="C192" i="9"/>
  <c r="H251" i="9"/>
  <c r="O71" i="9"/>
  <c r="L121" i="9"/>
  <c r="G47" i="3"/>
  <c r="I204" i="9"/>
  <c r="C100" i="9"/>
  <c r="E176" i="9"/>
  <c r="H121" i="9"/>
  <c r="N154" i="9"/>
  <c r="O50" i="3"/>
  <c r="C236" i="9"/>
  <c r="H100" i="9"/>
  <c r="F45" i="9"/>
  <c r="L84" i="9"/>
  <c r="F178" i="9"/>
  <c r="C183" i="9"/>
  <c r="O49" i="9"/>
  <c r="C251" i="9"/>
  <c r="K23" i="3"/>
  <c r="L39" i="9"/>
  <c r="K19" i="5"/>
  <c r="C107" i="9"/>
  <c r="E141" i="9"/>
  <c r="E41" i="9"/>
  <c r="C195" i="9"/>
  <c r="N27" i="9"/>
  <c r="N49" i="9"/>
  <c r="O199" i="9"/>
  <c r="N162" i="9"/>
  <c r="E109" i="9"/>
  <c r="F74" i="9"/>
  <c r="L277" i="9"/>
  <c r="C118" i="9"/>
  <c r="E105" i="9"/>
  <c r="K258" i="9"/>
  <c r="K30" i="9"/>
  <c r="H269" i="9"/>
  <c r="N256" i="9"/>
  <c r="I252" i="9"/>
  <c r="F214" i="9"/>
  <c r="C76" i="9"/>
  <c r="K124" i="9"/>
  <c r="I197" i="9"/>
  <c r="F136" i="9"/>
  <c r="H199" i="9"/>
  <c r="L74" i="9"/>
  <c r="H221" i="9"/>
  <c r="C48" i="9"/>
  <c r="G69" i="3"/>
  <c r="K155" i="9"/>
  <c r="O273" i="9"/>
  <c r="O43" i="9"/>
  <c r="O66" i="9"/>
  <c r="E271" i="9"/>
  <c r="K19" i="3"/>
  <c r="O157" i="9"/>
  <c r="K176" i="9"/>
  <c r="N258" i="9"/>
  <c r="O69" i="9"/>
  <c r="F250" i="9"/>
  <c r="F86" i="9"/>
  <c r="N120" i="9"/>
  <c r="H108" i="9"/>
  <c r="L63" i="9"/>
  <c r="C115" i="9"/>
  <c r="K62" i="3"/>
  <c r="I156" i="9"/>
  <c r="K180" i="9"/>
  <c r="O184" i="9"/>
  <c r="C166" i="9"/>
  <c r="F217" i="9"/>
  <c r="N213" i="9"/>
  <c r="O80" i="9"/>
  <c r="C255" i="9"/>
  <c r="E75" i="9"/>
  <c r="C239" i="9"/>
  <c r="L100" i="9"/>
  <c r="E201" i="9"/>
  <c r="L26" i="9"/>
  <c r="K110" i="9"/>
  <c r="K67" i="3"/>
  <c r="F77" i="9"/>
  <c r="H46" i="9"/>
  <c r="C218" i="9"/>
  <c r="E184" i="9"/>
  <c r="K116" i="9"/>
  <c r="F257" i="9"/>
  <c r="F237" i="9"/>
  <c r="I79" i="9"/>
  <c r="I242" i="9"/>
  <c r="E174" i="9"/>
  <c r="E226" i="9"/>
  <c r="O186" i="9"/>
  <c r="K43" i="3"/>
  <c r="E101" i="9"/>
  <c r="L187" i="9"/>
  <c r="H128" i="9"/>
  <c r="L139" i="9"/>
  <c r="L72" i="9"/>
  <c r="O275" i="9"/>
  <c r="N72" i="9"/>
  <c r="C145" i="9"/>
  <c r="I179" i="9"/>
  <c r="C104" i="9"/>
  <c r="O60" i="9"/>
  <c r="K40" i="9"/>
  <c r="F140" i="9"/>
  <c r="L264" i="9"/>
  <c r="F49" i="9"/>
  <c r="O149" i="9"/>
  <c r="H159" i="9"/>
  <c r="I41" i="9"/>
  <c r="N239" i="9"/>
  <c r="E102" i="9"/>
  <c r="O86" i="9"/>
  <c r="K166" i="9"/>
  <c r="L76" i="9"/>
  <c r="L258" i="9"/>
  <c r="C116" i="9"/>
  <c r="N101" i="9"/>
  <c r="C108" i="9"/>
  <c r="K160" i="9"/>
  <c r="F189" i="9"/>
  <c r="I261" i="9"/>
  <c r="I187" i="9"/>
  <c r="E159" i="9"/>
  <c r="N37" i="9"/>
  <c r="O64" i="9"/>
  <c r="N202" i="9"/>
  <c r="N64" i="9"/>
  <c r="E258" i="9"/>
  <c r="H140" i="9"/>
  <c r="O118" i="9"/>
  <c r="E177" i="9"/>
  <c r="I39" i="9"/>
  <c r="G56" i="3"/>
  <c r="L253" i="9"/>
  <c r="I195" i="9"/>
  <c r="O232" i="9"/>
  <c r="K48" i="9"/>
  <c r="H234" i="9"/>
  <c r="E272" i="9"/>
  <c r="K164" i="9"/>
  <c r="K188" i="9"/>
  <c r="I239" i="9"/>
  <c r="C163" i="9"/>
  <c r="E200" i="9"/>
  <c r="I152" i="9"/>
  <c r="L24" i="9"/>
  <c r="H225" i="9"/>
  <c r="H201" i="9"/>
  <c r="N255" i="9"/>
  <c r="G66" i="3"/>
  <c r="K165" i="9"/>
  <c r="N238" i="9"/>
  <c r="N124" i="9"/>
  <c r="C111" i="9"/>
  <c r="C42" i="9"/>
  <c r="E268" i="9"/>
  <c r="K241" i="9"/>
  <c r="G42" i="3"/>
  <c r="E74" i="9"/>
  <c r="O137" i="9"/>
  <c r="C86" i="9"/>
  <c r="E183" i="9"/>
  <c r="F268" i="9"/>
  <c r="K34" i="3"/>
  <c r="C125" i="9"/>
  <c r="O201" i="9"/>
  <c r="F152" i="9"/>
  <c r="N71" i="9"/>
  <c r="H105" i="9"/>
  <c r="E62" i="9"/>
  <c r="O241" i="9"/>
  <c r="F84" i="9"/>
  <c r="G71" i="3"/>
  <c r="L242" i="9"/>
  <c r="O143" i="9"/>
  <c r="O60" i="3"/>
  <c r="K62" i="9"/>
  <c r="F280" i="9"/>
  <c r="L68" i="9"/>
  <c r="O41" i="3"/>
  <c r="H236" i="9"/>
  <c r="I33" i="9"/>
  <c r="K270" i="9"/>
  <c r="L256" i="9"/>
  <c r="K218" i="9"/>
  <c r="C105" i="9"/>
  <c r="O98" i="9"/>
  <c r="O61" i="3"/>
  <c r="K108" i="9"/>
  <c r="C184" i="9"/>
  <c r="E213" i="9"/>
  <c r="C64" i="9"/>
  <c r="K67" i="9"/>
  <c r="L272" i="9"/>
  <c r="E240" i="9"/>
  <c r="E198" i="9"/>
  <c r="F46" i="9"/>
  <c r="K10" i="5"/>
  <c r="O226" i="9"/>
  <c r="O113" i="9"/>
  <c r="N81" i="9"/>
  <c r="N222" i="9"/>
  <c r="N186" i="9"/>
  <c r="H161" i="9"/>
  <c r="I238" i="9"/>
  <c r="E37" i="9"/>
  <c r="E47" i="9"/>
  <c r="N90" i="9"/>
  <c r="N69" i="9"/>
  <c r="F70" i="9"/>
  <c r="E72" i="9"/>
  <c r="K80" i="9"/>
  <c r="E138" i="9"/>
  <c r="N86" i="9"/>
  <c r="O280" i="9"/>
  <c r="K242" i="9"/>
  <c r="H153" i="9"/>
  <c r="O271" i="9"/>
  <c r="N260" i="9"/>
  <c r="H68" i="9"/>
  <c r="L108" i="9"/>
  <c r="H180" i="9"/>
  <c r="E197" i="9"/>
  <c r="F111" i="9"/>
  <c r="C214" i="9"/>
  <c r="H115" i="9"/>
  <c r="C65" i="9"/>
  <c r="O258" i="9"/>
  <c r="O46" i="3"/>
  <c r="P46" i="3" l="1"/>
  <c r="R46" i="3"/>
  <c r="Q46" i="3"/>
  <c r="G65" i="9"/>
  <c r="M65" i="9"/>
  <c r="J65" i="9"/>
  <c r="D65" i="9"/>
  <c r="D214" i="9"/>
  <c r="M214" i="9"/>
  <c r="J214" i="9"/>
  <c r="G214" i="9"/>
  <c r="N10" i="5"/>
  <c r="L10" i="5"/>
  <c r="M10" i="5"/>
  <c r="G64" i="9"/>
  <c r="M64" i="9"/>
  <c r="J64" i="9"/>
  <c r="D64" i="9"/>
  <c r="D184" i="9"/>
  <c r="G184" i="9"/>
  <c r="M184" i="9"/>
  <c r="J184" i="9"/>
  <c r="R61" i="3"/>
  <c r="P61" i="3"/>
  <c r="Q61" i="3"/>
  <c r="O130" i="9"/>
  <c r="N130" i="9" s="1"/>
  <c r="M6" i="9" s="1"/>
  <c r="D105" i="9"/>
  <c r="G105" i="9"/>
  <c r="J105" i="9"/>
  <c r="M105" i="9"/>
  <c r="R41" i="3"/>
  <c r="P41" i="3"/>
  <c r="Q41" i="3"/>
  <c r="R60" i="3"/>
  <c r="Q60" i="3"/>
  <c r="P60" i="3"/>
  <c r="J71" i="3"/>
  <c r="H71" i="3"/>
  <c r="I71" i="3"/>
  <c r="M125" i="9"/>
  <c r="D125" i="9"/>
  <c r="J125" i="9"/>
  <c r="G125" i="9"/>
  <c r="N34" i="3"/>
  <c r="L34" i="3"/>
  <c r="M34" i="3"/>
  <c r="D86" i="9"/>
  <c r="M86" i="9"/>
  <c r="G86" i="9"/>
  <c r="J86" i="9"/>
  <c r="I42" i="3"/>
  <c r="H42" i="3"/>
  <c r="J42" i="3"/>
  <c r="M42" i="9"/>
  <c r="G42" i="9"/>
  <c r="D42" i="9"/>
  <c r="J42" i="9"/>
  <c r="M111" i="9"/>
  <c r="G111" i="9"/>
  <c r="D111" i="9"/>
  <c r="J111" i="9"/>
  <c r="J66" i="3"/>
  <c r="I66" i="3"/>
  <c r="H66" i="3"/>
  <c r="G163" i="9"/>
  <c r="J163" i="9"/>
  <c r="M163" i="9"/>
  <c r="D163" i="9"/>
  <c r="J56" i="3"/>
  <c r="I56" i="3"/>
  <c r="H56" i="3"/>
  <c r="G108" i="9"/>
  <c r="D108" i="9"/>
  <c r="M108" i="9"/>
  <c r="J108" i="9"/>
  <c r="D116" i="9"/>
  <c r="G116" i="9"/>
  <c r="J116" i="9"/>
  <c r="M116" i="9"/>
  <c r="O92" i="9"/>
  <c r="N92" i="9" s="1"/>
  <c r="M4" i="9" s="1"/>
  <c r="J104" i="9"/>
  <c r="M104" i="9"/>
  <c r="D104" i="9"/>
  <c r="G104" i="9"/>
  <c r="J145" i="9"/>
  <c r="D145" i="9"/>
  <c r="M145" i="9"/>
  <c r="G145" i="9"/>
  <c r="M43" i="3"/>
  <c r="L43" i="3"/>
  <c r="N43" i="3"/>
  <c r="M218" i="9"/>
  <c r="G218" i="9"/>
  <c r="D218" i="9"/>
  <c r="J218" i="9"/>
  <c r="N67" i="3"/>
  <c r="M67" i="3"/>
  <c r="L67" i="3"/>
  <c r="G239" i="9"/>
  <c r="D239" i="9"/>
  <c r="M239" i="9"/>
  <c r="J239" i="9"/>
  <c r="M255" i="9"/>
  <c r="D255" i="9"/>
  <c r="J255" i="9"/>
  <c r="G255" i="9"/>
  <c r="G166" i="9"/>
  <c r="D166" i="9"/>
  <c r="M166" i="9"/>
  <c r="J166" i="9"/>
  <c r="M62" i="3"/>
  <c r="L62" i="3"/>
  <c r="N62" i="3"/>
  <c r="D115" i="9"/>
  <c r="M115" i="9"/>
  <c r="G115" i="9"/>
  <c r="J115" i="9"/>
  <c r="F282" i="9"/>
  <c r="E282" i="9" s="1"/>
  <c r="D14" i="9" s="1"/>
  <c r="M19" i="3"/>
  <c r="N19" i="3"/>
  <c r="L19" i="3"/>
  <c r="J69" i="3"/>
  <c r="H69" i="3"/>
  <c r="I69" i="3"/>
  <c r="J48" i="9"/>
  <c r="M48" i="9"/>
  <c r="D48" i="9"/>
  <c r="G48" i="9"/>
  <c r="F168" i="9"/>
  <c r="E168" i="9" s="1"/>
  <c r="D12" i="9" s="1"/>
  <c r="D76" i="9"/>
  <c r="G76" i="9"/>
  <c r="M76" i="9"/>
  <c r="J76" i="9"/>
  <c r="G118" i="9"/>
  <c r="M118" i="9"/>
  <c r="D118" i="9"/>
  <c r="J118" i="9"/>
  <c r="M195" i="9"/>
  <c r="G195" i="9"/>
  <c r="D195" i="9"/>
  <c r="J195" i="9"/>
  <c r="G107" i="9"/>
  <c r="J107" i="9"/>
  <c r="D107" i="9"/>
  <c r="M107" i="9"/>
  <c r="N19" i="5"/>
  <c r="L19" i="5"/>
  <c r="M19" i="5"/>
  <c r="N23" i="3"/>
  <c r="M23" i="3"/>
  <c r="L23" i="3"/>
  <c r="J251" i="9"/>
  <c r="G251" i="9"/>
  <c r="M251" i="9"/>
  <c r="D251" i="9"/>
  <c r="G183" i="9"/>
  <c r="M183" i="9"/>
  <c r="D183" i="9"/>
  <c r="J183" i="9"/>
  <c r="D236" i="9"/>
  <c r="M236" i="9"/>
  <c r="J236" i="9"/>
  <c r="G236" i="9"/>
  <c r="P50" i="3"/>
  <c r="R50" i="3"/>
  <c r="Q50" i="3"/>
  <c r="D100" i="9"/>
  <c r="M100" i="9"/>
  <c r="J100" i="9"/>
  <c r="G100" i="9"/>
  <c r="I47" i="3"/>
  <c r="J47" i="3"/>
  <c r="H47" i="3"/>
  <c r="D192" i="9"/>
  <c r="M192" i="9"/>
  <c r="G192" i="9"/>
  <c r="J192" i="9"/>
  <c r="M101" i="9"/>
  <c r="J101" i="9"/>
  <c r="D101" i="9"/>
  <c r="G101" i="9"/>
  <c r="D156" i="9"/>
  <c r="M156" i="9"/>
  <c r="J156" i="9"/>
  <c r="G156" i="9"/>
  <c r="M144" i="9"/>
  <c r="G144" i="9"/>
  <c r="J144" i="9"/>
  <c r="D144" i="9"/>
  <c r="P72" i="3"/>
  <c r="R72" i="3"/>
  <c r="Q72" i="3"/>
  <c r="D141" i="9"/>
  <c r="M141" i="9"/>
  <c r="J141" i="9"/>
  <c r="G141" i="9"/>
  <c r="M149" i="9"/>
  <c r="J149" i="9"/>
  <c r="D149" i="9"/>
  <c r="G149" i="9"/>
  <c r="N22" i="5"/>
  <c r="L22" i="5"/>
  <c r="M22" i="5"/>
  <c r="L130" i="9"/>
  <c r="K130" i="9" s="1"/>
  <c r="J6" i="9" s="1"/>
  <c r="J44" i="9"/>
  <c r="D44" i="9"/>
  <c r="G44" i="9"/>
  <c r="M44" i="9"/>
  <c r="D234" i="9"/>
  <c r="G234" i="9"/>
  <c r="J234" i="9"/>
  <c r="M234" i="9"/>
  <c r="G176" i="9"/>
  <c r="M176" i="9"/>
  <c r="D176" i="9"/>
  <c r="J176" i="9"/>
  <c r="M79" i="9"/>
  <c r="J79" i="9"/>
  <c r="G79" i="9"/>
  <c r="D79" i="9"/>
  <c r="J60" i="9"/>
  <c r="G60" i="9"/>
  <c r="C92" i="9"/>
  <c r="D60" i="9"/>
  <c r="M60" i="9"/>
  <c r="G157" i="9"/>
  <c r="D157" i="9"/>
  <c r="J157" i="9"/>
  <c r="M157" i="9"/>
  <c r="J187" i="9"/>
  <c r="D187" i="9"/>
  <c r="G187" i="9"/>
  <c r="M187" i="9"/>
  <c r="P66" i="3"/>
  <c r="Q66" i="3"/>
  <c r="R66" i="3"/>
  <c r="L32" i="3"/>
  <c r="N32" i="3"/>
  <c r="M32" i="3"/>
  <c r="M25" i="9"/>
  <c r="J25" i="9"/>
  <c r="D25" i="9"/>
  <c r="G25" i="9"/>
  <c r="D45" i="9"/>
  <c r="M45" i="9"/>
  <c r="G45" i="9"/>
  <c r="J45" i="9"/>
  <c r="J196" i="9"/>
  <c r="G196" i="9"/>
  <c r="M196" i="9"/>
  <c r="D196" i="9"/>
  <c r="I130" i="9"/>
  <c r="H130" i="9" s="1"/>
  <c r="G6" i="9" s="1"/>
  <c r="I54" i="9"/>
  <c r="H54" i="9" s="1"/>
  <c r="G16" i="9" s="1"/>
  <c r="J43" i="3"/>
  <c r="H43" i="3"/>
  <c r="I43" i="3"/>
  <c r="P70" i="3"/>
  <c r="R70" i="3"/>
  <c r="Q70" i="3"/>
  <c r="D81" i="9"/>
  <c r="M81" i="9"/>
  <c r="J81" i="9"/>
  <c r="G81" i="9"/>
  <c r="N73" i="3"/>
  <c r="M73" i="3"/>
  <c r="L73" i="3"/>
  <c r="N35" i="3"/>
  <c r="M35" i="3"/>
  <c r="L35" i="3"/>
  <c r="M13" i="3"/>
  <c r="L13" i="3"/>
  <c r="N13" i="3"/>
  <c r="D66" i="9"/>
  <c r="J66" i="9"/>
  <c r="M66" i="9"/>
  <c r="G66" i="9"/>
  <c r="M268" i="9"/>
  <c r="G268" i="9"/>
  <c r="D268" i="9"/>
  <c r="J268" i="9"/>
  <c r="N18" i="5"/>
  <c r="L18" i="5"/>
  <c r="M18" i="5"/>
  <c r="M44" i="3"/>
  <c r="L44" i="3"/>
  <c r="N44" i="3"/>
  <c r="D40" i="9"/>
  <c r="G40" i="9"/>
  <c r="J40" i="9"/>
  <c r="M40" i="9"/>
  <c r="R36" i="3"/>
  <c r="P36" i="3"/>
  <c r="Q36" i="3"/>
  <c r="D52" i="9"/>
  <c r="G52" i="9"/>
  <c r="J52" i="9"/>
  <c r="M52" i="9"/>
  <c r="M9" i="5"/>
  <c r="N9" i="5"/>
  <c r="L9" i="5"/>
  <c r="G30" i="9"/>
  <c r="D30" i="9"/>
  <c r="J30" i="9"/>
  <c r="M30" i="9"/>
  <c r="G191" i="9"/>
  <c r="J191" i="9"/>
  <c r="M191" i="9"/>
  <c r="D191" i="9"/>
  <c r="D127" i="9"/>
  <c r="M127" i="9"/>
  <c r="G127" i="9"/>
  <c r="J127" i="9"/>
  <c r="R59" i="3"/>
  <c r="P59" i="3"/>
  <c r="Q59" i="3"/>
  <c r="M43" i="9"/>
  <c r="G43" i="9"/>
  <c r="J43" i="9"/>
  <c r="D43" i="9"/>
  <c r="M175" i="9"/>
  <c r="J175" i="9"/>
  <c r="D175" i="9"/>
  <c r="G175" i="9"/>
  <c r="G186" i="9"/>
  <c r="J186" i="9"/>
  <c r="M186" i="9"/>
  <c r="D186" i="9"/>
  <c r="D126" i="9"/>
  <c r="M126" i="9"/>
  <c r="J126" i="9"/>
  <c r="G126" i="9"/>
  <c r="L8" i="5"/>
  <c r="N8" i="5"/>
  <c r="M8" i="5"/>
  <c r="L41" i="3"/>
  <c r="M41" i="3"/>
  <c r="N41" i="3"/>
  <c r="J99" i="9"/>
  <c r="M99" i="9"/>
  <c r="G99" i="9"/>
  <c r="D99" i="9"/>
  <c r="D220" i="9"/>
  <c r="M220" i="9"/>
  <c r="J220" i="9"/>
  <c r="G220" i="9"/>
  <c r="M10" i="3"/>
  <c r="L10" i="3"/>
  <c r="N10" i="3"/>
  <c r="D242" i="9"/>
  <c r="G242" i="9"/>
  <c r="J242" i="9"/>
  <c r="M242" i="9"/>
  <c r="Q33" i="3"/>
  <c r="P33" i="3"/>
  <c r="R33" i="3"/>
  <c r="D257" i="9"/>
  <c r="J257" i="9"/>
  <c r="M257" i="9"/>
  <c r="G257" i="9"/>
  <c r="J24" i="9"/>
  <c r="D24" i="9"/>
  <c r="G24" i="9"/>
  <c r="M24" i="9"/>
  <c r="M36" i="3"/>
  <c r="N36" i="3"/>
  <c r="L36" i="3"/>
  <c r="J50" i="3"/>
  <c r="H50" i="3"/>
  <c r="I50" i="3"/>
  <c r="G102" i="9"/>
  <c r="D102" i="9"/>
  <c r="M102" i="9"/>
  <c r="J102" i="9"/>
  <c r="G142" i="9"/>
  <c r="D142" i="9"/>
  <c r="M142" i="9"/>
  <c r="J142" i="9"/>
  <c r="N33" i="3"/>
  <c r="M33" i="3"/>
  <c r="L33" i="3"/>
  <c r="N75" i="3"/>
  <c r="L75" i="3"/>
  <c r="M75" i="3"/>
  <c r="Q62" i="3"/>
  <c r="P62" i="3"/>
  <c r="R62" i="3"/>
  <c r="F54" i="9"/>
  <c r="G200" i="9"/>
  <c r="D200" i="9"/>
  <c r="J200" i="9"/>
  <c r="M200" i="9"/>
  <c r="F206" i="9"/>
  <c r="E206" i="9" s="1"/>
  <c r="D8" i="9" s="1"/>
  <c r="G61" i="9"/>
  <c r="M61" i="9"/>
  <c r="J61" i="9"/>
  <c r="D61" i="9"/>
  <c r="G165" i="9"/>
  <c r="M165" i="9"/>
  <c r="D165" i="9"/>
  <c r="J165" i="9"/>
  <c r="J64" i="3"/>
  <c r="H64" i="3"/>
  <c r="I64" i="3"/>
  <c r="N74" i="3"/>
  <c r="L74" i="3"/>
  <c r="M74" i="3"/>
  <c r="J128" i="9"/>
  <c r="M128" i="9"/>
  <c r="D128" i="9"/>
  <c r="G128" i="9"/>
  <c r="M71" i="3"/>
  <c r="L71" i="3"/>
  <c r="N71" i="3"/>
  <c r="M8" i="3"/>
  <c r="L8" i="3"/>
  <c r="N8" i="3"/>
  <c r="D273" i="9"/>
  <c r="M273" i="9"/>
  <c r="J273" i="9"/>
  <c r="G273" i="9"/>
  <c r="N9" i="3"/>
  <c r="L9" i="3"/>
  <c r="M9" i="3"/>
  <c r="R57" i="3"/>
  <c r="P57" i="3"/>
  <c r="Q57" i="3"/>
  <c r="M278" i="9"/>
  <c r="D278" i="9"/>
  <c r="G278" i="9"/>
  <c r="J278" i="9"/>
  <c r="M271" i="9"/>
  <c r="J271" i="9"/>
  <c r="D271" i="9"/>
  <c r="G271" i="9"/>
  <c r="M124" i="9"/>
  <c r="G124" i="9"/>
  <c r="D124" i="9"/>
  <c r="J124" i="9"/>
  <c r="G198" i="9"/>
  <c r="M198" i="9"/>
  <c r="J198" i="9"/>
  <c r="D198" i="9"/>
  <c r="M31" i="3"/>
  <c r="N31" i="3"/>
  <c r="L31" i="3"/>
  <c r="D148" i="9"/>
  <c r="G148" i="9"/>
  <c r="J148" i="9"/>
  <c r="M148" i="9"/>
  <c r="L61" i="3"/>
  <c r="N61" i="3"/>
  <c r="M61" i="3"/>
  <c r="I92" i="9"/>
  <c r="H92" i="9" s="1"/>
  <c r="G4" i="9" s="1"/>
  <c r="F92" i="9"/>
  <c r="E92" i="9" s="1"/>
  <c r="D4" i="9" s="1"/>
  <c r="P74" i="3"/>
  <c r="R74" i="3"/>
  <c r="Q74" i="3"/>
  <c r="G143" i="9"/>
  <c r="D143" i="9"/>
  <c r="J143" i="9"/>
  <c r="M143" i="9"/>
  <c r="L57" i="3"/>
  <c r="M57" i="3"/>
  <c r="N57" i="3"/>
  <c r="M103" i="9"/>
  <c r="D103" i="9"/>
  <c r="J103" i="9"/>
  <c r="G103" i="9"/>
  <c r="D179" i="9"/>
  <c r="M179" i="9"/>
  <c r="G179" i="9"/>
  <c r="J179" i="9"/>
  <c r="H48" i="3"/>
  <c r="J48" i="3"/>
  <c r="I48" i="3"/>
  <c r="H74" i="3"/>
  <c r="I74" i="3"/>
  <c r="J74" i="3"/>
  <c r="G160" i="9"/>
  <c r="M160" i="9"/>
  <c r="D160" i="9"/>
  <c r="J160" i="9"/>
  <c r="Q40" i="3"/>
  <c r="R40" i="3"/>
  <c r="P40" i="3"/>
  <c r="J203" i="9"/>
  <c r="M203" i="9"/>
  <c r="D203" i="9"/>
  <c r="G203" i="9"/>
  <c r="M113" i="9"/>
  <c r="J113" i="9"/>
  <c r="G113" i="9"/>
  <c r="D113" i="9"/>
  <c r="M181" i="9"/>
  <c r="D181" i="9"/>
  <c r="G181" i="9"/>
  <c r="J181" i="9"/>
  <c r="H68" i="3"/>
  <c r="I68" i="3"/>
  <c r="J68" i="3"/>
  <c r="D120" i="9"/>
  <c r="J120" i="9"/>
  <c r="G120" i="9"/>
  <c r="M120" i="9"/>
  <c r="G189" i="9"/>
  <c r="D189" i="9"/>
  <c r="M189" i="9"/>
  <c r="J189" i="9"/>
  <c r="G71" i="9"/>
  <c r="M71" i="9"/>
  <c r="J71" i="9"/>
  <c r="D71" i="9"/>
  <c r="L282" i="9"/>
  <c r="K282" i="9" s="1"/>
  <c r="J14" i="9" s="1"/>
  <c r="L64" i="3"/>
  <c r="N64" i="3"/>
  <c r="M64" i="3"/>
  <c r="O54" i="9"/>
  <c r="N54" i="9" s="1"/>
  <c r="M16" i="9" s="1"/>
  <c r="M259" i="9"/>
  <c r="J259" i="9"/>
  <c r="G259" i="9"/>
  <c r="D259" i="9"/>
  <c r="J253" i="9"/>
  <c r="D253" i="9"/>
  <c r="M253" i="9"/>
  <c r="G253" i="9"/>
  <c r="D26" i="9"/>
  <c r="M26" i="9"/>
  <c r="J26" i="9"/>
  <c r="G26" i="9"/>
  <c r="L45" i="3"/>
  <c r="N45" i="3"/>
  <c r="M45" i="3"/>
  <c r="G197" i="9"/>
  <c r="J197" i="9"/>
  <c r="D197" i="9"/>
  <c r="M197" i="9"/>
  <c r="G47" i="9"/>
  <c r="M47" i="9"/>
  <c r="J47" i="9"/>
  <c r="D47" i="9"/>
  <c r="O168" i="9"/>
  <c r="N168" i="9" s="1"/>
  <c r="M12" i="9" s="1"/>
  <c r="D252" i="9"/>
  <c r="G252" i="9"/>
  <c r="J252" i="9"/>
  <c r="M252" i="9"/>
  <c r="J202" i="9"/>
  <c r="G202" i="9"/>
  <c r="D202" i="9"/>
  <c r="M202" i="9"/>
  <c r="L72" i="3"/>
  <c r="M72" i="3"/>
  <c r="N72" i="3"/>
  <c r="D85" i="9"/>
  <c r="M85" i="9"/>
  <c r="J85" i="9"/>
  <c r="G85" i="9"/>
  <c r="G32" i="9"/>
  <c r="J32" i="9"/>
  <c r="M32" i="9"/>
  <c r="D32" i="9"/>
  <c r="M280" i="9"/>
  <c r="G280" i="9"/>
  <c r="D280" i="9"/>
  <c r="J280" i="9"/>
  <c r="M269" i="9"/>
  <c r="G269" i="9"/>
  <c r="D269" i="9"/>
  <c r="J269" i="9"/>
  <c r="J264" i="9"/>
  <c r="G264" i="9"/>
  <c r="M264" i="9"/>
  <c r="D264" i="9"/>
  <c r="O282" i="9"/>
  <c r="N282" i="9" s="1"/>
  <c r="M14" i="9" s="1"/>
  <c r="J106" i="9"/>
  <c r="D106" i="9"/>
  <c r="G106" i="9"/>
  <c r="M106" i="9"/>
  <c r="I31" i="3"/>
  <c r="H31" i="3"/>
  <c r="J31" i="3"/>
  <c r="I35" i="3"/>
  <c r="H35" i="3"/>
  <c r="J35" i="3"/>
  <c r="J87" i="9"/>
  <c r="G87" i="9"/>
  <c r="D87" i="9"/>
  <c r="M87" i="9"/>
  <c r="J233" i="9"/>
  <c r="M233" i="9"/>
  <c r="D233" i="9"/>
  <c r="G233" i="9"/>
  <c r="L168" i="9"/>
  <c r="K168" i="9" s="1"/>
  <c r="J12" i="9" s="1"/>
  <c r="N69" i="3"/>
  <c r="L69" i="3"/>
  <c r="M69" i="3"/>
  <c r="D270" i="9"/>
  <c r="J270" i="9"/>
  <c r="M270" i="9"/>
  <c r="G270" i="9"/>
  <c r="D194" i="9"/>
  <c r="G194" i="9"/>
  <c r="J194" i="9"/>
  <c r="M194" i="9"/>
  <c r="R31" i="3"/>
  <c r="P31" i="3"/>
  <c r="Q31" i="3"/>
  <c r="I73" i="3"/>
  <c r="J73" i="3"/>
  <c r="H73" i="3"/>
  <c r="D279" i="9"/>
  <c r="J279" i="9"/>
  <c r="M279" i="9"/>
  <c r="G279" i="9"/>
  <c r="M266" i="9"/>
  <c r="J266" i="9"/>
  <c r="D266" i="9"/>
  <c r="G266" i="9"/>
  <c r="H33" i="3"/>
  <c r="J33" i="3"/>
  <c r="I33" i="3"/>
  <c r="Q35" i="3"/>
  <c r="P35" i="3"/>
  <c r="R35" i="3"/>
  <c r="G185" i="9"/>
  <c r="M185" i="9"/>
  <c r="J185" i="9"/>
  <c r="D185" i="9"/>
  <c r="H36" i="3"/>
  <c r="I36" i="3"/>
  <c r="J36" i="3"/>
  <c r="D164" i="9"/>
  <c r="J164" i="9"/>
  <c r="M164" i="9"/>
  <c r="G164" i="9"/>
  <c r="D213" i="9"/>
  <c r="J213" i="9"/>
  <c r="M213" i="9"/>
  <c r="G213" i="9"/>
  <c r="J276" i="9"/>
  <c r="M276" i="9"/>
  <c r="G276" i="9"/>
  <c r="D276" i="9"/>
  <c r="L22" i="3"/>
  <c r="M22" i="3"/>
  <c r="N22" i="3"/>
  <c r="M31" i="9"/>
  <c r="G31" i="9"/>
  <c r="J31" i="9"/>
  <c r="D31" i="9"/>
  <c r="J227" i="9"/>
  <c r="G227" i="9"/>
  <c r="M227" i="9"/>
  <c r="D227" i="9"/>
  <c r="J138" i="9"/>
  <c r="G138" i="9"/>
  <c r="M138" i="9"/>
  <c r="D138" i="9"/>
  <c r="O206" i="9"/>
  <c r="N206" i="9" s="1"/>
  <c r="M8" i="9" s="1"/>
  <c r="D267" i="9"/>
  <c r="M267" i="9"/>
  <c r="G267" i="9"/>
  <c r="J267" i="9"/>
  <c r="L7" i="5"/>
  <c r="N7" i="5"/>
  <c r="M7" i="5"/>
  <c r="G109" i="9"/>
  <c r="M109" i="9"/>
  <c r="J109" i="9"/>
  <c r="D109" i="9"/>
  <c r="N20" i="3"/>
  <c r="L20" i="3"/>
  <c r="M20" i="3"/>
  <c r="L18" i="3"/>
  <c r="M18" i="3"/>
  <c r="N18" i="3"/>
  <c r="M24" i="3"/>
  <c r="N24" i="3"/>
  <c r="L24" i="3"/>
  <c r="F244" i="9"/>
  <c r="E244" i="9" s="1"/>
  <c r="D10" i="9" s="1"/>
  <c r="J60" i="3"/>
  <c r="H60" i="3"/>
  <c r="I60" i="3"/>
  <c r="J136" i="9"/>
  <c r="M136" i="9"/>
  <c r="C168" i="9"/>
  <c r="D136" i="9"/>
  <c r="G136" i="9"/>
  <c r="I38" i="3"/>
  <c r="J38" i="3"/>
  <c r="H38" i="3"/>
  <c r="D216" i="9"/>
  <c r="J216" i="9"/>
  <c r="G216" i="9"/>
  <c r="M216" i="9"/>
  <c r="L60" i="3"/>
  <c r="M60" i="3"/>
  <c r="N60" i="3"/>
  <c r="R71" i="3"/>
  <c r="P71" i="3"/>
  <c r="Q71" i="3"/>
  <c r="G256" i="9"/>
  <c r="M256" i="9"/>
  <c r="J256" i="9"/>
  <c r="D256" i="9"/>
  <c r="J67" i="9"/>
  <c r="G67" i="9"/>
  <c r="D67" i="9"/>
  <c r="M67" i="9"/>
  <c r="D36" i="9"/>
  <c r="M36" i="9"/>
  <c r="G36" i="9"/>
  <c r="J36" i="9"/>
  <c r="D70" i="9"/>
  <c r="J70" i="9"/>
  <c r="G70" i="9"/>
  <c r="M70" i="9"/>
  <c r="I45" i="3"/>
  <c r="H45" i="3"/>
  <c r="J45" i="3"/>
  <c r="D193" i="9"/>
  <c r="J193" i="9"/>
  <c r="G193" i="9"/>
  <c r="M193" i="9"/>
  <c r="I282" i="9"/>
  <c r="H282" i="9" s="1"/>
  <c r="G14" i="9" s="1"/>
  <c r="H34" i="3"/>
  <c r="J34" i="3"/>
  <c r="I34" i="3"/>
  <c r="P67" i="3"/>
  <c r="Q67" i="3"/>
  <c r="R67" i="3"/>
  <c r="M83" i="9"/>
  <c r="D83" i="9"/>
  <c r="G83" i="9"/>
  <c r="J83" i="9"/>
  <c r="G177" i="9"/>
  <c r="M177" i="9"/>
  <c r="D177" i="9"/>
  <c r="J177" i="9"/>
  <c r="M188" i="9"/>
  <c r="D188" i="9"/>
  <c r="G188" i="9"/>
  <c r="J188" i="9"/>
  <c r="N46" i="3"/>
  <c r="M46" i="3"/>
  <c r="L46" i="3"/>
  <c r="N39" i="3"/>
  <c r="M39" i="3"/>
  <c r="L39" i="3"/>
  <c r="Q45" i="3"/>
  <c r="R45" i="3"/>
  <c r="P45" i="3"/>
  <c r="D230" i="9"/>
  <c r="J230" i="9"/>
  <c r="M230" i="9"/>
  <c r="G230" i="9"/>
  <c r="G29" i="9"/>
  <c r="J29" i="9"/>
  <c r="M29" i="9"/>
  <c r="D29" i="9"/>
  <c r="D219" i="9"/>
  <c r="M219" i="9"/>
  <c r="J219" i="9"/>
  <c r="G219" i="9"/>
  <c r="L244" i="9"/>
  <c r="K244" i="9" s="1"/>
  <c r="J10" i="9" s="1"/>
  <c r="G38" i="9"/>
  <c r="M38" i="9"/>
  <c r="D38" i="9"/>
  <c r="J38" i="9"/>
  <c r="D123" i="9"/>
  <c r="G123" i="9"/>
  <c r="M123" i="9"/>
  <c r="J123" i="9"/>
  <c r="D223" i="9"/>
  <c r="G223" i="9"/>
  <c r="J223" i="9"/>
  <c r="M223" i="9"/>
  <c r="G154" i="9"/>
  <c r="M154" i="9"/>
  <c r="D154" i="9"/>
  <c r="J154" i="9"/>
  <c r="M25" i="3"/>
  <c r="L25" i="3"/>
  <c r="N25" i="3"/>
  <c r="H61" i="3"/>
  <c r="I61" i="3"/>
  <c r="J61" i="3"/>
  <c r="G89" i="9"/>
  <c r="M89" i="9"/>
  <c r="D89" i="9"/>
  <c r="J89" i="9"/>
  <c r="N16" i="5"/>
  <c r="L16" i="5"/>
  <c r="M16" i="5"/>
  <c r="I206" i="9"/>
  <c r="H206" i="9" s="1"/>
  <c r="G8" i="9" s="1"/>
  <c r="M221" i="9"/>
  <c r="G221" i="9"/>
  <c r="D221" i="9"/>
  <c r="J221" i="9"/>
  <c r="P32" i="3"/>
  <c r="Q32" i="3"/>
  <c r="R32" i="3"/>
  <c r="I67" i="3"/>
  <c r="H67" i="3"/>
  <c r="J67" i="3"/>
  <c r="D117" i="9"/>
  <c r="J117" i="9"/>
  <c r="G117" i="9"/>
  <c r="M117" i="9"/>
  <c r="M122" i="9"/>
  <c r="D122" i="9"/>
  <c r="G122" i="9"/>
  <c r="J122" i="9"/>
  <c r="Q65" i="3"/>
  <c r="R65" i="3"/>
  <c r="P65" i="3"/>
  <c r="M66" i="3"/>
  <c r="L66" i="3"/>
  <c r="N66" i="3"/>
  <c r="D151" i="9"/>
  <c r="J151" i="9"/>
  <c r="G151" i="9"/>
  <c r="M151" i="9"/>
  <c r="G159" i="9"/>
  <c r="D159" i="9"/>
  <c r="J159" i="9"/>
  <c r="M159" i="9"/>
  <c r="D51" i="9"/>
  <c r="J51" i="9"/>
  <c r="G51" i="9"/>
  <c r="M51" i="9"/>
  <c r="M72" i="9"/>
  <c r="D72" i="9"/>
  <c r="J72" i="9"/>
  <c r="G72" i="9"/>
  <c r="N59" i="3"/>
  <c r="M59" i="3"/>
  <c r="L59" i="3"/>
  <c r="Q38" i="3"/>
  <c r="R38" i="3"/>
  <c r="P38" i="3"/>
  <c r="M254" i="9"/>
  <c r="D254" i="9"/>
  <c r="J254" i="9"/>
  <c r="G254" i="9"/>
  <c r="J37" i="3"/>
  <c r="I37" i="3"/>
  <c r="H37" i="3"/>
  <c r="J231" i="9"/>
  <c r="D231" i="9"/>
  <c r="G231" i="9"/>
  <c r="M231" i="9"/>
  <c r="J204" i="9"/>
  <c r="D204" i="9"/>
  <c r="M204" i="9"/>
  <c r="G204" i="9"/>
  <c r="Q39" i="3"/>
  <c r="R39" i="3"/>
  <c r="P39" i="3"/>
  <c r="J75" i="3"/>
  <c r="I75" i="3"/>
  <c r="H75" i="3"/>
  <c r="N37" i="3"/>
  <c r="L37" i="3"/>
  <c r="M37" i="3"/>
  <c r="G238" i="9"/>
  <c r="M238" i="9"/>
  <c r="D238" i="9"/>
  <c r="J238" i="9"/>
  <c r="G98" i="9"/>
  <c r="D98" i="9"/>
  <c r="M98" i="9"/>
  <c r="J98" i="9"/>
  <c r="C130" i="9"/>
  <c r="J240" i="9"/>
  <c r="M240" i="9"/>
  <c r="G240" i="9"/>
  <c r="D240" i="9"/>
  <c r="J217" i="9"/>
  <c r="G217" i="9"/>
  <c r="D217" i="9"/>
  <c r="M217" i="9"/>
  <c r="N13" i="5"/>
  <c r="M13" i="5"/>
  <c r="L13" i="5"/>
  <c r="G262" i="9"/>
  <c r="D262" i="9"/>
  <c r="J262" i="9"/>
  <c r="M262" i="9"/>
  <c r="M258" i="9"/>
  <c r="D258" i="9"/>
  <c r="J258" i="9"/>
  <c r="G258" i="9"/>
  <c r="J250" i="9"/>
  <c r="D250" i="9"/>
  <c r="G250" i="9"/>
  <c r="M250" i="9"/>
  <c r="C282" i="9"/>
  <c r="J69" i="9"/>
  <c r="M69" i="9"/>
  <c r="G69" i="9"/>
  <c r="D69" i="9"/>
  <c r="H58" i="3"/>
  <c r="J58" i="3"/>
  <c r="I58" i="3"/>
  <c r="M77" i="9"/>
  <c r="J77" i="9"/>
  <c r="D77" i="9"/>
  <c r="G77" i="9"/>
  <c r="J263" i="9"/>
  <c r="M263" i="9"/>
  <c r="D263" i="9"/>
  <c r="G263" i="9"/>
  <c r="G272" i="9"/>
  <c r="J272" i="9"/>
  <c r="D272" i="9"/>
  <c r="M272" i="9"/>
  <c r="C54" i="9"/>
  <c r="D22" i="9"/>
  <c r="J22" i="9"/>
  <c r="G22" i="9"/>
  <c r="M22" i="9"/>
  <c r="J147" i="9"/>
  <c r="D147" i="9"/>
  <c r="M147" i="9"/>
  <c r="G147" i="9"/>
  <c r="I168" i="9"/>
  <c r="H168" i="9" s="1"/>
  <c r="G12" i="9" s="1"/>
  <c r="J75" i="9"/>
  <c r="D75" i="9"/>
  <c r="G75" i="9"/>
  <c r="M75" i="9"/>
  <c r="N47" i="3"/>
  <c r="M47" i="3"/>
  <c r="L47" i="3"/>
  <c r="L16" i="3"/>
  <c r="N16" i="3"/>
  <c r="M16" i="3"/>
  <c r="J49" i="3"/>
  <c r="I49" i="3"/>
  <c r="H49" i="3"/>
  <c r="G261" i="9"/>
  <c r="M261" i="9"/>
  <c r="D261" i="9"/>
  <c r="J261" i="9"/>
  <c r="M15" i="3"/>
  <c r="L15" i="3"/>
  <c r="N15" i="3"/>
  <c r="L42" i="3"/>
  <c r="N42" i="3"/>
  <c r="M42" i="3"/>
  <c r="G235" i="9"/>
  <c r="D235" i="9"/>
  <c r="M235" i="9"/>
  <c r="J235" i="9"/>
  <c r="J39" i="9"/>
  <c r="D39" i="9"/>
  <c r="M39" i="9"/>
  <c r="G39" i="9"/>
  <c r="H39" i="3"/>
  <c r="J39" i="3"/>
  <c r="I39" i="3"/>
  <c r="M58" i="3"/>
  <c r="L58" i="3"/>
  <c r="N58" i="3"/>
  <c r="M6" i="3"/>
  <c r="L6" i="3"/>
  <c r="N6" i="3"/>
  <c r="G78" i="9"/>
  <c r="D78" i="9"/>
  <c r="M78" i="9"/>
  <c r="J78" i="9"/>
  <c r="L54" i="9"/>
  <c r="K54" i="9" s="1"/>
  <c r="J16" i="9" s="1"/>
  <c r="G119" i="9"/>
  <c r="J119" i="9"/>
  <c r="M119" i="9"/>
  <c r="D119" i="9"/>
  <c r="N48" i="3"/>
  <c r="L48" i="3"/>
  <c r="M48" i="3"/>
  <c r="N15" i="5"/>
  <c r="M15" i="5"/>
  <c r="L15" i="5"/>
  <c r="D153" i="9"/>
  <c r="G153" i="9"/>
  <c r="J153" i="9"/>
  <c r="M153" i="9"/>
  <c r="N56" i="3"/>
  <c r="L56" i="3"/>
  <c r="M56" i="3"/>
  <c r="H65" i="3"/>
  <c r="J65" i="3"/>
  <c r="I65" i="3"/>
  <c r="G28" i="9"/>
  <c r="D28" i="9"/>
  <c r="J28" i="9"/>
  <c r="M28" i="9"/>
  <c r="J63" i="3"/>
  <c r="H63" i="3"/>
  <c r="I63" i="3"/>
  <c r="M38" i="3"/>
  <c r="N38" i="3"/>
  <c r="L38" i="3"/>
  <c r="N23" i="5"/>
  <c r="M23" i="5"/>
  <c r="L23" i="5"/>
  <c r="M112" i="9"/>
  <c r="D112" i="9"/>
  <c r="G112" i="9"/>
  <c r="J112" i="9"/>
  <c r="J228" i="9"/>
  <c r="M228" i="9"/>
  <c r="G228" i="9"/>
  <c r="D228" i="9"/>
  <c r="C244" i="9"/>
  <c r="D212" i="9"/>
  <c r="M212" i="9"/>
  <c r="J212" i="9"/>
  <c r="G212" i="9"/>
  <c r="M114" i="9"/>
  <c r="G114" i="9"/>
  <c r="D114" i="9"/>
  <c r="J114" i="9"/>
  <c r="D27" i="9"/>
  <c r="J27" i="9"/>
  <c r="G27" i="9"/>
  <c r="M27" i="9"/>
  <c r="J37" i="9"/>
  <c r="G37" i="9"/>
  <c r="D37" i="9"/>
  <c r="M37" i="9"/>
  <c r="R68" i="3"/>
  <c r="Q68" i="3"/>
  <c r="P68" i="3"/>
  <c r="M121" i="9"/>
  <c r="D121" i="9"/>
  <c r="G121" i="9"/>
  <c r="J121" i="9"/>
  <c r="D152" i="9"/>
  <c r="G152" i="9"/>
  <c r="M152" i="9"/>
  <c r="J152" i="9"/>
  <c r="G265" i="9"/>
  <c r="M265" i="9"/>
  <c r="J265" i="9"/>
  <c r="D265" i="9"/>
  <c r="L7" i="3"/>
  <c r="N7" i="3"/>
  <c r="M7" i="3"/>
  <c r="J241" i="9"/>
  <c r="M241" i="9"/>
  <c r="G241" i="9"/>
  <c r="D241" i="9"/>
  <c r="M49" i="9"/>
  <c r="D49" i="9"/>
  <c r="J49" i="9"/>
  <c r="G49" i="9"/>
  <c r="G82" i="9"/>
  <c r="M82" i="9"/>
  <c r="J82" i="9"/>
  <c r="D82" i="9"/>
  <c r="D73" i="9"/>
  <c r="M73" i="9"/>
  <c r="G73" i="9"/>
  <c r="J73" i="9"/>
  <c r="M277" i="9"/>
  <c r="G277" i="9"/>
  <c r="J277" i="9"/>
  <c r="D277" i="9"/>
  <c r="J180" i="9"/>
  <c r="M180" i="9"/>
  <c r="D180" i="9"/>
  <c r="G180" i="9"/>
  <c r="I46" i="3"/>
  <c r="H46" i="3"/>
  <c r="J46" i="3"/>
  <c r="J224" i="9"/>
  <c r="D224" i="9"/>
  <c r="G224" i="9"/>
  <c r="M224" i="9"/>
  <c r="R37" i="3"/>
  <c r="Q37" i="3"/>
  <c r="P37" i="3"/>
  <c r="N12" i="3"/>
  <c r="L12" i="3"/>
  <c r="M12" i="3"/>
  <c r="D161" i="9"/>
  <c r="G161" i="9"/>
  <c r="J161" i="9"/>
  <c r="M161" i="9"/>
  <c r="J41" i="3"/>
  <c r="H41" i="3"/>
  <c r="I41" i="3"/>
  <c r="N70" i="3"/>
  <c r="M70" i="3"/>
  <c r="L70" i="3"/>
  <c r="M137" i="9"/>
  <c r="G137" i="9"/>
  <c r="J137" i="9"/>
  <c r="D137" i="9"/>
  <c r="G146" i="9"/>
  <c r="M146" i="9"/>
  <c r="D146" i="9"/>
  <c r="J146" i="9"/>
  <c r="D33" i="9"/>
  <c r="G33" i="9"/>
  <c r="J33" i="9"/>
  <c r="M33" i="9"/>
  <c r="H32" i="3"/>
  <c r="I32" i="3"/>
  <c r="J32" i="3"/>
  <c r="G155" i="9"/>
  <c r="M155" i="9"/>
  <c r="J155" i="9"/>
  <c r="D155" i="9"/>
  <c r="Q69" i="3"/>
  <c r="R69" i="3"/>
  <c r="P69" i="3"/>
  <c r="M226" i="9"/>
  <c r="D226" i="9"/>
  <c r="G226" i="9"/>
  <c r="J226" i="9"/>
  <c r="M12" i="5"/>
  <c r="L12" i="5"/>
  <c r="N12" i="5"/>
  <c r="L40" i="3"/>
  <c r="M40" i="3"/>
  <c r="N40" i="3"/>
  <c r="M17" i="5"/>
  <c r="L17" i="5"/>
  <c r="N17" i="5"/>
  <c r="M11" i="3"/>
  <c r="L11" i="3"/>
  <c r="N11" i="3"/>
  <c r="M25" i="5"/>
  <c r="N25" i="5"/>
  <c r="L25" i="5"/>
  <c r="P47" i="3"/>
  <c r="Q47" i="3"/>
  <c r="R47" i="3"/>
  <c r="J225" i="9"/>
  <c r="M225" i="9"/>
  <c r="D225" i="9"/>
  <c r="G225" i="9"/>
  <c r="R75" i="3"/>
  <c r="P75" i="3"/>
  <c r="Q75" i="3"/>
  <c r="D199" i="9"/>
  <c r="M199" i="9"/>
  <c r="G199" i="9"/>
  <c r="J199" i="9"/>
  <c r="M140" i="9"/>
  <c r="J140" i="9"/>
  <c r="G140" i="9"/>
  <c r="D140" i="9"/>
  <c r="D139" i="9"/>
  <c r="J139" i="9"/>
  <c r="M139" i="9"/>
  <c r="G139" i="9"/>
  <c r="R43" i="3"/>
  <c r="P43" i="3"/>
  <c r="Q43" i="3"/>
  <c r="G275" i="9"/>
  <c r="D275" i="9"/>
  <c r="J275" i="9"/>
  <c r="M275" i="9"/>
  <c r="M50" i="9"/>
  <c r="J50" i="9"/>
  <c r="G50" i="9"/>
  <c r="D50" i="9"/>
  <c r="G158" i="9"/>
  <c r="J158" i="9"/>
  <c r="D158" i="9"/>
  <c r="M158" i="9"/>
  <c r="M110" i="9"/>
  <c r="D110" i="9"/>
  <c r="J110" i="9"/>
  <c r="G110" i="9"/>
  <c r="L206" i="9"/>
  <c r="K206" i="9" s="1"/>
  <c r="J8" i="9" s="1"/>
  <c r="Q49" i="3"/>
  <c r="P49" i="3"/>
  <c r="R49" i="3"/>
  <c r="M80" i="9"/>
  <c r="G80" i="9"/>
  <c r="J80" i="9"/>
  <c r="D80" i="9"/>
  <c r="M35" i="9"/>
  <c r="G35" i="9"/>
  <c r="D35" i="9"/>
  <c r="J35" i="9"/>
  <c r="M46" i="9"/>
  <c r="G46" i="9"/>
  <c r="D46" i="9"/>
  <c r="J46" i="9"/>
  <c r="M11" i="5"/>
  <c r="N11" i="5"/>
  <c r="L11" i="5"/>
  <c r="N17" i="3"/>
  <c r="L17" i="3"/>
  <c r="M17" i="3"/>
  <c r="H57" i="3"/>
  <c r="J57" i="3"/>
  <c r="I57" i="3"/>
  <c r="L20" i="5"/>
  <c r="N20" i="5"/>
  <c r="M20" i="5"/>
  <c r="M63" i="3"/>
  <c r="N63" i="3"/>
  <c r="L63" i="3"/>
  <c r="I59" i="3"/>
  <c r="H59" i="3"/>
  <c r="J59" i="3"/>
  <c r="D201" i="9"/>
  <c r="J201" i="9"/>
  <c r="G201" i="9"/>
  <c r="M201" i="9"/>
  <c r="R44" i="3"/>
  <c r="P44" i="3"/>
  <c r="Q44" i="3"/>
  <c r="R58" i="3"/>
  <c r="Q58" i="3"/>
  <c r="P58" i="3"/>
  <c r="G88" i="9"/>
  <c r="J88" i="9"/>
  <c r="M88" i="9"/>
  <c r="D88" i="9"/>
  <c r="J44" i="3"/>
  <c r="H44" i="3"/>
  <c r="I44" i="3"/>
  <c r="G174" i="9"/>
  <c r="J174" i="9"/>
  <c r="D174" i="9"/>
  <c r="M174" i="9"/>
  <c r="C206" i="9"/>
  <c r="J62" i="3"/>
  <c r="H62" i="3"/>
  <c r="I62" i="3"/>
  <c r="O244" i="9"/>
  <c r="N244" i="9" s="1"/>
  <c r="M10" i="9" s="1"/>
  <c r="I72" i="3"/>
  <c r="J72" i="3"/>
  <c r="H72" i="3"/>
  <c r="N21" i="3"/>
  <c r="M21" i="3"/>
  <c r="L21" i="3"/>
  <c r="G41" i="9"/>
  <c r="J41" i="9"/>
  <c r="M41" i="9"/>
  <c r="D41" i="9"/>
  <c r="R56" i="3"/>
  <c r="Q56" i="3"/>
  <c r="P56" i="3"/>
  <c r="G222" i="9"/>
  <c r="J222" i="9"/>
  <c r="M222" i="9"/>
  <c r="D222" i="9"/>
  <c r="P64" i="3"/>
  <c r="Q64" i="3"/>
  <c r="R64" i="3"/>
  <c r="J23" i="9"/>
  <c r="G23" i="9"/>
  <c r="D23" i="9"/>
  <c r="M23" i="9"/>
  <c r="J90" i="9"/>
  <c r="M90" i="9"/>
  <c r="G90" i="9"/>
  <c r="D90" i="9"/>
  <c r="F130" i="9"/>
  <c r="E130" i="9" s="1"/>
  <c r="D6" i="9" s="1"/>
  <c r="L49" i="3"/>
  <c r="M49" i="3"/>
  <c r="N49" i="3"/>
  <c r="P48" i="3"/>
  <c r="R48" i="3"/>
  <c r="Q48" i="3"/>
  <c r="N24" i="5"/>
  <c r="M24" i="5"/>
  <c r="L24" i="5"/>
  <c r="J190" i="9"/>
  <c r="D190" i="9"/>
  <c r="M190" i="9"/>
  <c r="G190" i="9"/>
  <c r="L6" i="5"/>
  <c r="M6" i="5"/>
  <c r="N6" i="5"/>
  <c r="J232" i="9"/>
  <c r="M232" i="9"/>
  <c r="D232" i="9"/>
  <c r="G232" i="9"/>
  <c r="Q73" i="3"/>
  <c r="P73" i="3"/>
  <c r="R73" i="3"/>
  <c r="G63" i="9"/>
  <c r="D63" i="9"/>
  <c r="J63" i="9"/>
  <c r="M63" i="9"/>
  <c r="G260" i="9"/>
  <c r="J260" i="9"/>
  <c r="M260" i="9"/>
  <c r="D260" i="9"/>
  <c r="M229" i="9"/>
  <c r="J229" i="9"/>
  <c r="D229" i="9"/>
  <c r="G229" i="9"/>
  <c r="G182" i="9"/>
  <c r="M182" i="9"/>
  <c r="D182" i="9"/>
  <c r="J182" i="9"/>
  <c r="G62" i="9"/>
  <c r="J62" i="9"/>
  <c r="D62" i="9"/>
  <c r="M62" i="9"/>
  <c r="D68" i="9"/>
  <c r="M68" i="9"/>
  <c r="J68" i="9"/>
  <c r="G68" i="9"/>
  <c r="N68" i="3"/>
  <c r="L68" i="3"/>
  <c r="M68" i="3"/>
  <c r="G150" i="9"/>
  <c r="M150" i="9"/>
  <c r="J150" i="9"/>
  <c r="D150" i="9"/>
  <c r="N14" i="3"/>
  <c r="L14" i="3"/>
  <c r="M14" i="3"/>
  <c r="Q34" i="3"/>
  <c r="R34" i="3"/>
  <c r="P34" i="3"/>
  <c r="Q63" i="3"/>
  <c r="P63" i="3"/>
  <c r="R63" i="3"/>
  <c r="L50" i="3"/>
  <c r="M50" i="3"/>
  <c r="N50" i="3"/>
  <c r="M178" i="9"/>
  <c r="D178" i="9"/>
  <c r="J178" i="9"/>
  <c r="G178" i="9"/>
  <c r="D84" i="9"/>
  <c r="J84" i="9"/>
  <c r="M84" i="9"/>
  <c r="G84" i="9"/>
  <c r="P42" i="3"/>
  <c r="R42" i="3"/>
  <c r="Q42" i="3"/>
  <c r="I244" i="9"/>
  <c r="H244" i="9" s="1"/>
  <c r="G10" i="9" s="1"/>
  <c r="L92" i="9"/>
  <c r="K92" i="9" s="1"/>
  <c r="J4" i="9" s="1"/>
  <c r="G74" i="9"/>
  <c r="J74" i="9"/>
  <c r="M74" i="9"/>
  <c r="D74" i="9"/>
  <c r="I40" i="3"/>
  <c r="H40" i="3"/>
  <c r="J40" i="3"/>
  <c r="D215" i="9"/>
  <c r="J215" i="9"/>
  <c r="G215" i="9"/>
  <c r="M215" i="9"/>
  <c r="H70" i="3"/>
  <c r="I70" i="3"/>
  <c r="J70" i="3"/>
  <c r="N21" i="5"/>
  <c r="M21" i="5"/>
  <c r="L21" i="5"/>
  <c r="M162" i="9"/>
  <c r="J162" i="9"/>
  <c r="D162" i="9"/>
  <c r="G162" i="9"/>
  <c r="J274" i="9"/>
  <c r="G274" i="9"/>
  <c r="D274" i="9"/>
  <c r="M274" i="9"/>
  <c r="G34" i="9"/>
  <c r="D34" i="9"/>
  <c r="M34" i="9"/>
  <c r="J34" i="9"/>
  <c r="M65" i="3"/>
  <c r="L65" i="3"/>
  <c r="N65" i="3"/>
  <c r="N14" i="5"/>
  <c r="M14" i="5"/>
  <c r="L14" i="5"/>
  <c r="J237" i="9"/>
  <c r="G237" i="9"/>
  <c r="M237" i="9"/>
  <c r="D237" i="9"/>
  <c r="G206" i="9" l="1"/>
  <c r="J244" i="9"/>
  <c r="G54" i="9"/>
  <c r="M282" i="9"/>
  <c r="J130" i="9"/>
  <c r="M168" i="9"/>
  <c r="D92" i="9"/>
  <c r="M206" i="9"/>
  <c r="M244" i="9"/>
  <c r="J54" i="9"/>
  <c r="G282" i="9"/>
  <c r="M130" i="9"/>
  <c r="G168" i="9"/>
  <c r="J168" i="9"/>
  <c r="E54" i="9"/>
  <c r="D16" i="9" s="1"/>
  <c r="B12" i="9" s="1"/>
  <c r="B13" i="9"/>
  <c r="B14" i="9"/>
  <c r="B3" i="9"/>
  <c r="B6" i="9"/>
  <c r="B5" i="9"/>
  <c r="B4" i="9"/>
  <c r="B15" i="9"/>
  <c r="B16" i="9"/>
  <c r="B10" i="9"/>
  <c r="B9" i="9"/>
  <c r="B11" i="9"/>
  <c r="D206" i="9"/>
  <c r="D244" i="9"/>
  <c r="D54" i="9"/>
  <c r="D282" i="9"/>
  <c r="D130" i="9"/>
  <c r="D168" i="9"/>
  <c r="G92" i="9"/>
  <c r="J206" i="9"/>
  <c r="G244" i="9"/>
  <c r="M54" i="9"/>
  <c r="J282" i="9"/>
  <c r="G130" i="9"/>
  <c r="M92" i="9"/>
  <c r="J92" i="9"/>
  <c r="B7" i="9" l="1"/>
  <c r="B8" i="9"/>
</calcChain>
</file>

<file path=xl/sharedStrings.xml><?xml version="1.0" encoding="utf-8"?>
<sst xmlns="http://schemas.openxmlformats.org/spreadsheetml/2006/main" count="8501" uniqueCount="364">
  <si>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</si>
  <si>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</si>
  <si>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</si>
  <si>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</si>
  <si>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</si>
  <si>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</si>
  <si>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</si>
  <si>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</si>
  <si>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</si>
  <si>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</si>
  <si>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</si>
  <si>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</si>
  <si>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</si>
  <si>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</si>
  <si>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</si>
  <si>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</si>
  <si>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</si>
  <si>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</si>
  <si>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</si>
  <si>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</si>
  <si>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</si>
  <si>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</si>
  <si>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</si>
  <si>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</si>
  <si>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</si>
  <si>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</si>
  <si>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</si>
  <si>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</si>
  <si>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</si>
  <si>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</si>
  <si>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</si>
  <si>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</si>
  <si>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</si>
  <si>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</si>
  <si>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</si>
  <si>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</si>
  <si>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</si>
  <si>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</si>
  <si>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</si>
  <si>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</si>
  <si>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</si>
  <si>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</si>
  <si>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</si>
  <si>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</si>
  <si>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</si>
  <si>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</si>
  <si>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</si>
  <si>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</si>
  <si>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</si>
  <si>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</si>
  <si>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</si>
  <si>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</si>
  <si>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</si>
  <si>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</si>
  <si>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</si>
  <si>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</si>
  <si>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</si>
  <si>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</si>
  <si>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</si>
  <si>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</si>
  <si>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</si>
  <si>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</si>
  <si>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</si>
  <si>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</si>
  <si>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</si>
  <si>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</si>
  <si>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</si>
  <si>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</si>
  <si>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</si>
  <si>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</si>
  <si>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</si>
  <si>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</si>
  <si>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</si>
  <si>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</si>
  <si>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</si>
  <si>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</si>
  <si>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</si>
  <si>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</si>
  <si>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</si>
  <si>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</si>
  <si>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</si>
  <si>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</si>
  <si>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</si>
  <si>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</si>
  <si>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</si>
  <si>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</si>
  <si>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</si>
  <si>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</si>
  <si>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</si>
  <si>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</si>
  <si>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</si>
  <si>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</si>
  <si>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</si>
  <si>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</si>
  <si>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</si>
  <si>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</si>
  <si>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</si>
  <si>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</si>
  <si>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</si>
  <si>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</si>
  <si>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</si>
  <si>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</si>
  <si>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</si>
  <si>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</si>
  <si>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</si>
  <si>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</si>
  <si>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</si>
  <si>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</si>
  <si>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</si>
  <si>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</si>
  <si>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</si>
  <si>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</si>
  <si>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</si>
  <si>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</si>
  <si>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</si>
  <si>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</si>
  <si>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</si>
  <si>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</si>
  <si>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</si>
  <si>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</si>
  <si>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</si>
  <si>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</si>
  <si>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</si>
  <si>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</si>
  <si>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</si>
  <si>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</si>
  <si>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</si>
  <si>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</si>
  <si>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</si>
  <si>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</si>
  <si>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</si>
  <si>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</si>
  <si>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</si>
  <si>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</si>
  <si>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</si>
  <si>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</si>
  <si>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</si>
  <si>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</si>
  <si>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</si>
  <si>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</si>
  <si>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</si>
  <si>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</si>
  <si>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</si>
  <si>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</si>
  <si>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</si>
  <si>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</si>
  <si>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</si>
  <si>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</si>
  <si>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</si>
  <si>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</si>
  <si>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</si>
  <si>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</si>
  <si>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</si>
  <si>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</si>
  <si>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</si>
  <si>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</si>
  <si>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</si>
  <si>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</si>
  <si>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</si>
  <si>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</si>
  <si>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</si>
  <si>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</si>
  <si>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</si>
  <si>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</si>
  <si>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</si>
  <si>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</si>
  <si>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</si>
  <si>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</si>
  <si>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</si>
  <si>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</si>
  <si>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</si>
  <si>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</si>
  <si>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</si>
  <si>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</si>
  <si>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</si>
  <si>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</si>
  <si>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</si>
  <si>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</si>
  <si>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</si>
  <si>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</si>
  <si>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</si>
  <si>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</si>
  <si>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</si>
  <si>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</si>
  <si>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</si>
  <si>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</si>
  <si>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</si>
  <si>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</si>
  <si>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</si>
  <si>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</si>
  <si>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</si>
  <si>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</si>
  <si>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</si>
  <si>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</si>
  <si>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</si>
  <si>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</si>
  <si>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</si>
  <si>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</si>
  <si>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</si>
  <si>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</si>
  <si>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</si>
  <si>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</si>
  <si>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</si>
  <si>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</si>
  <si>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</si>
  <si>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</si>
  <si>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</si>
  <si>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</si>
  <si>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</si>
  <si>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</si>
  <si>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</si>
  <si>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</si>
  <si>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</si>
  <si>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</si>
  <si>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</si>
  <si>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</si>
  <si>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</si>
  <si>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</si>
  <si>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</si>
  <si>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</si>
  <si>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</si>
  <si>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</si>
  <si>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</si>
  <si>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</si>
  <si>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</si>
  <si>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</si>
  <si>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</si>
  <si>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</si>
  <si>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</si>
  <si>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</si>
  <si>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</si>
  <si>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</si>
  <si>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</si>
  <si>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</si>
  <si>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</si>
  <si>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</si>
  <si>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</si>
  <si>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</si>
  <si>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</si>
  <si>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</si>
  <si>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</si>
  <si>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</si>
  <si>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</si>
  <si>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</si>
  <si>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</si>
  <si>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</si>
  <si>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</si>
  <si>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</si>
  <si>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</si>
  <si>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</si>
  <si>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</si>
  <si>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</si>
  <si>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</si>
  <si>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</si>
  <si>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</si>
  <si>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</si>
  <si>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</si>
  <si>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</si>
  <si>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</si>
  <si>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</si>
  <si>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</si>
  <si>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</si>
  <si>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</si>
  <si>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</si>
  <si>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</si>
  <si>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</si>
  <si>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</si>
  <si>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</si>
  <si>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</si>
  <si>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</si>
  <si>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</si>
  <si>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</si>
  <si>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</si>
  <si>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</si>
  <si>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</si>
  <si>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</si>
  <si>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</si>
  <si>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</si>
  <si>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</si>
  <si>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</si>
  <si>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</si>
  <si>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</si>
  <si>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</si>
  <si>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</si>
  <si>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</si>
  <si>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</si>
  <si>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</si>
  <si>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</si>
  <si>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</si>
  <si>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</si>
  <si>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</si>
  <si>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</si>
  <si>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</si>
  <si>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</si>
  <si>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</si>
  <si>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</si>
  <si>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</si>
  <si>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</si>
  <si>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</si>
  <si>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</si>
  <si>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</si>
  <si>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</si>
  <si>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</si>
  <si>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</si>
  <si>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</si>
  <si>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</si>
  <si>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</si>
  <si>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</si>
  <si>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</si>
  <si>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</si>
  <si>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</si>
  <si>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</si>
  <si>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</si>
  <si>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</si>
  <si>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</si>
  <si>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</si>
  <si>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</si>
  <si>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</si>
  <si>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</si>
  <si>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</si>
  <si>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</si>
  <si>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</si>
  <si>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</si>
  <si>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</si>
  <si>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</si>
  <si>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</si>
  <si>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</si>
  <si>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</si>
  <si>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</si>
  <si>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</si>
  <si>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</si>
  <si>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</si>
  <si>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</si>
  <si>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</si>
  <si>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</si>
  <si>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</si>
  <si>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</si>
  <si>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</si>
  <si>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</si>
  <si>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</si>
  <si>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</si>
  <si>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</si>
  <si>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</si>
  <si>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</si>
  <si>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</si>
  <si>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</si>
  <si>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</si>
  <si>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</si>
  <si>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</si>
  <si>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</si>
  <si>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</si>
  <si>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</si>
  <si>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</si>
  <si>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</si>
  <si>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</si>
  <si>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</si>
  <si>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</si>
  <si>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</si>
  <si>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</si>
  <si>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</si>
  <si>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엔진코인</t>
    <phoneticPr fontId="1" type="noConversion"/>
  </si>
  <si>
    <t>아크</t>
    <phoneticPr fontId="1" type="noConversion"/>
  </si>
  <si>
    <t/>
  </si>
  <si>
    <t>2021.06.20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</si>
</sst>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22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18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2" t="s">
        <v>0</v>
      </c>
      <c r="B1" s="263"/>
      <c r="C1" s="263"/>
      <c r="D1" s="263"/>
      <c r="E1" s="263"/>
      <c r="F1" s="264"/>
      <c r="G1" s="293">
        <v>44287</v>
      </c>
      <c r="H1" s="294"/>
      <c r="I1" s="295"/>
      <c r="J1" s="262" t="s">
        <v>1</v>
      </c>
      <c r="K1" s="263"/>
      <c r="L1" s="263"/>
      <c r="M1" s="263"/>
      <c r="N1" s="263"/>
      <c r="O1" s="264"/>
      <c r="Q1" s="262" t="s">
        <v>2</v>
      </c>
      <c r="R1" s="264"/>
    </row>
    <row r="2" spans="1:19" ht="17.25" customHeight="1">
      <c r="A2" s="1" t="s">
        <v>3</v>
      </c>
      <c r="B2" s="296" t="s">
        <v>4</v>
      </c>
      <c r="C2" s="297"/>
      <c r="D2" s="297"/>
      <c r="E2" s="297"/>
      <c r="F2" s="298"/>
      <c r="G2" s="290" t="s">
        <v>46</v>
      </c>
      <c r="H2" s="291"/>
      <c r="I2" s="292"/>
      <c r="J2" s="1" t="s">
        <v>3</v>
      </c>
      <c r="K2" s="296" t="s">
        <v>5</v>
      </c>
      <c r="L2" s="297"/>
      <c r="M2" s="297"/>
      <c r="N2" s="297"/>
      <c r="O2" s="298"/>
      <c r="Q2" s="2" t="s">
        <v>6</v>
      </c>
      <c r="R2" s="3">
        <v>0.375</v>
      </c>
    </row>
    <row r="3" spans="1:19" ht="17.25" customHeight="1" thickBot="1">
      <c r="A3" s="4" t="s">
        <v>7</v>
      </c>
      <c r="B3" s="287" t="s">
        <v>8</v>
      </c>
      <c r="C3" s="288"/>
      <c r="D3" s="288"/>
      <c r="E3" s="288"/>
      <c r="F3" s="289"/>
      <c r="G3" s="28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4"/>
      <c r="I3" s="285"/>
      <c r="J3" s="4" t="s">
        <v>7</v>
      </c>
      <c r="K3" s="287" t="s">
        <v>9</v>
      </c>
      <c r="L3" s="288"/>
      <c r="M3" s="288"/>
      <c r="N3" s="288"/>
      <c r="O3" s="28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87" t="s">
        <v>12</v>
      </c>
      <c r="C4" s="288"/>
      <c r="D4" s="288"/>
      <c r="E4" s="288"/>
      <c r="F4" s="289"/>
      <c r="G4" s="290" t="s">
        <v>44</v>
      </c>
      <c r="H4" s="291"/>
      <c r="I4" s="292"/>
      <c r="J4" s="4" t="s">
        <v>11</v>
      </c>
      <c r="K4" s="287" t="s">
        <v>13</v>
      </c>
      <c r="L4" s="288"/>
      <c r="M4" s="288"/>
      <c r="N4" s="288"/>
      <c r="O4" s="289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87" t="s">
        <v>16</v>
      </c>
      <c r="C5" s="288"/>
      <c r="D5" s="288"/>
      <c r="E5" s="288"/>
      <c r="F5" s="289"/>
      <c r="G5" s="28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4"/>
      <c r="I5" s="285"/>
      <c r="J5" s="4" t="s">
        <v>15</v>
      </c>
      <c r="K5" s="287" t="s">
        <v>17</v>
      </c>
      <c r="L5" s="288"/>
      <c r="M5" s="288"/>
      <c r="N5" s="288"/>
      <c r="O5" s="289"/>
    </row>
    <row r="6" spans="1:19">
      <c r="A6" s="4" t="s">
        <v>18</v>
      </c>
      <c r="B6" s="287" t="s">
        <v>19</v>
      </c>
      <c r="C6" s="288"/>
      <c r="D6" s="288"/>
      <c r="E6" s="288"/>
      <c r="F6" s="289"/>
      <c r="G6" s="290" t="s">
        <v>45</v>
      </c>
      <c r="H6" s="291"/>
      <c r="I6" s="292"/>
      <c r="J6" s="4" t="s">
        <v>18</v>
      </c>
      <c r="K6" s="287" t="s">
        <v>20</v>
      </c>
      <c r="L6" s="288"/>
      <c r="M6" s="288"/>
      <c r="N6" s="288"/>
      <c r="O6" s="289"/>
    </row>
    <row r="7" spans="1:19" ht="17.25" thickBot="1">
      <c r="A7" s="4" t="s">
        <v>21</v>
      </c>
      <c r="B7" s="287" t="s">
        <v>22</v>
      </c>
      <c r="C7" s="288"/>
      <c r="D7" s="288"/>
      <c r="E7" s="288"/>
      <c r="F7" s="289"/>
      <c r="G7" s="28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4"/>
      <c r="I7" s="285"/>
      <c r="J7" s="4" t="s">
        <v>21</v>
      </c>
      <c r="K7" s="287" t="s">
        <v>23</v>
      </c>
      <c r="L7" s="288"/>
      <c r="M7" s="288"/>
      <c r="N7" s="288"/>
      <c r="O7" s="289"/>
    </row>
    <row r="8" spans="1:19" ht="17.25" thickBot="1">
      <c r="A8" s="4" t="s">
        <v>24</v>
      </c>
      <c r="B8" s="287" t="s">
        <v>25</v>
      </c>
      <c r="C8" s="288"/>
      <c r="D8" s="288"/>
      <c r="E8" s="288"/>
      <c r="F8" s="289"/>
      <c r="G8" s="290" t="s">
        <v>280</v>
      </c>
      <c r="H8" s="291"/>
      <c r="I8" s="292"/>
      <c r="J8" s="4" t="s">
        <v>24</v>
      </c>
      <c r="K8" s="287" t="s">
        <v>26</v>
      </c>
      <c r="L8" s="288"/>
      <c r="M8" s="288"/>
      <c r="N8" s="288"/>
      <c r="O8" s="289"/>
      <c r="Q8" s="262" t="s">
        <v>27</v>
      </c>
      <c r="R8" s="264"/>
    </row>
    <row r="9" spans="1:19" ht="17.25" thickBot="1">
      <c r="A9" s="4" t="s">
        <v>28</v>
      </c>
      <c r="B9" s="287"/>
      <c r="C9" s="288"/>
      <c r="D9" s="288"/>
      <c r="E9" s="288"/>
      <c r="F9" s="289"/>
      <c r="G9" s="28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4"/>
      <c r="I9" s="285"/>
      <c r="J9" s="4" t="s">
        <v>28</v>
      </c>
      <c r="K9" s="287" t="s">
        <v>288</v>
      </c>
      <c r="L9" s="288"/>
      <c r="M9" s="288"/>
      <c r="N9" s="288"/>
      <c r="O9" s="289"/>
      <c r="Q9" s="2" t="s">
        <v>29</v>
      </c>
      <c r="R9" s="6">
        <v>10</v>
      </c>
    </row>
    <row r="10" spans="1:19">
      <c r="A10" s="4" t="s">
        <v>30</v>
      </c>
      <c r="B10" s="287"/>
      <c r="C10" s="288"/>
      <c r="D10" s="288"/>
      <c r="E10" s="288"/>
      <c r="F10" s="289"/>
      <c r="G10" s="290" t="s">
        <v>47</v>
      </c>
      <c r="H10" s="291"/>
      <c r="I10" s="292"/>
      <c r="J10" s="4" t="s">
        <v>30</v>
      </c>
      <c r="K10" s="287"/>
      <c r="L10" s="288"/>
      <c r="M10" s="288"/>
      <c r="N10" s="288"/>
      <c r="O10" s="289"/>
      <c r="Q10" s="2" t="s">
        <v>31</v>
      </c>
      <c r="R10" s="6">
        <v>100</v>
      </c>
    </row>
    <row r="11" spans="1:19" ht="17.25" thickBot="1">
      <c r="A11" s="7" t="s">
        <v>32</v>
      </c>
      <c r="B11" s="280"/>
      <c r="C11" s="281"/>
      <c r="D11" s="281"/>
      <c r="E11" s="281"/>
      <c r="F11" s="282"/>
      <c r="G11" s="28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4"/>
      <c r="I11" s="285"/>
      <c r="J11" s="7" t="s">
        <v>32</v>
      </c>
      <c r="K11" s="280"/>
      <c r="L11" s="281"/>
      <c r="M11" s="281"/>
      <c r="N11" s="281"/>
      <c r="O11" s="282"/>
      <c r="Q11" s="65" t="s">
        <v>33</v>
      </c>
      <c r="R11" s="8">
        <v>1000</v>
      </c>
    </row>
    <row r="12" spans="1:19" ht="17.25" thickBot="1"/>
    <row r="13" spans="1:19" ht="17.25" customHeight="1" thickBot="1">
      <c r="A13" s="262" t="s">
        <v>34</v>
      </c>
      <c r="B13" s="263"/>
      <c r="C13" s="263"/>
      <c r="D13" s="263"/>
      <c r="E13" s="263"/>
      <c r="F13" s="263"/>
      <c r="G13" s="263"/>
      <c r="H13" s="263"/>
      <c r="I13" s="263"/>
      <c r="J13" s="263"/>
      <c r="K13" s="263"/>
      <c r="L13" s="263"/>
      <c r="M13" s="263"/>
      <c r="N13" s="263"/>
      <c r="O13" s="264"/>
      <c r="Q13" s="261"/>
      <c r="R13" s="261"/>
      <c r="S13" s="261"/>
    </row>
    <row r="14" spans="1:19" ht="17.25" customHeight="1" thickBot="1">
      <c r="A14" s="111" t="s">
        <v>35</v>
      </c>
      <c r="B14" s="262" t="s">
        <v>36</v>
      </c>
      <c r="C14" s="264"/>
      <c r="D14" s="262" t="s">
        <v>37</v>
      </c>
      <c r="E14" s="263"/>
      <c r="F14" s="264"/>
      <c r="G14" s="265">
        <f>_xlfn.IFNA(VLOOKUP(B14, 현재가테이블!$B$2:$D$200, 2, FALSE), "-")</f>
        <v>40538000</v>
      </c>
      <c r="H14" s="266"/>
      <c r="I14" s="267"/>
      <c r="J14" s="262" t="s">
        <v>38</v>
      </c>
      <c r="K14" s="263"/>
      <c r="L14" s="264"/>
      <c r="M14" s="268">
        <f>_xlfn.IFNA(VLOOKUP(B14, 현재가테이블!$B$2:$D$200, 3, FALSE), "-")</f>
        <v>-3.68275993E-2</v>
      </c>
      <c r="N14" s="269"/>
      <c r="O14" s="270"/>
      <c r="Q14" s="261"/>
      <c r="R14" s="261"/>
      <c r="S14" s="261"/>
    </row>
    <row r="15" spans="1:19" ht="17.25" customHeight="1" thickBot="1">
      <c r="A15" s="286" t="s">
        <v>39</v>
      </c>
      <c r="B15" s="278" t="str">
        <f>TEXT($G$1, "[$-ko-KR]yyyy-mm-dd(ddd) ") &amp; "오전 00:00"</f>
        <v>2021-04-01(목) 오전 00:00</v>
      </c>
      <c r="C15" s="279"/>
      <c r="D15" s="275" t="str">
        <f>TEXT($G$1, "[$-ko-KR]yyyy-mm-dd(ddd) ") &amp; "오후 14:00"</f>
        <v>2021-04-01(목) 오후 14:00</v>
      </c>
      <c r="E15" s="276"/>
      <c r="F15" s="277"/>
      <c r="G15" s="275" t="str">
        <f>TEXT($G$1, "[$-ko-KR]yyyy-mm-dd(ddd) ") &amp; "오후 19:00"</f>
        <v>2021-04-01(목) 오후 19:00</v>
      </c>
      <c r="H15" s="276"/>
      <c r="I15" s="277"/>
      <c r="J15" s="275" t="str">
        <f>TEXT($G$1, "[$-ko-KR]yyyy-mm-dd(ddd) ") &amp; "오후 21:00"</f>
        <v>2021-04-01(목) 오후 21:00</v>
      </c>
      <c r="K15" s="276"/>
      <c r="L15" s="277"/>
      <c r="M15" s="275" t="str">
        <f>TEXT($G$1+1, "[$-ko-KR]yyyy-mm-dd(ddd) ") &amp; "오전 00:00"</f>
        <v>2021-04-02(금) 오전 00:00</v>
      </c>
      <c r="N15" s="276"/>
      <c r="O15" s="277"/>
      <c r="Q15" s="261"/>
      <c r="R15" s="261"/>
      <c r="S15" s="261"/>
    </row>
    <row r="16" spans="1:19" ht="17.25" customHeight="1" thickBot="1">
      <c r="A16" s="286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1"/>
      <c r="R17" s="261"/>
      <c r="S17" s="261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1"/>
      <c r="R18" s="261"/>
      <c r="S18" s="261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26" t="s">
        <v>42</v>
      </c>
      <c r="B37" s="249">
        <v>300000</v>
      </c>
      <c r="C37" s="250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262" t="s">
        <v>44</v>
      </c>
      <c r="B40" s="263"/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4"/>
      <c r="Q40" s="261"/>
      <c r="R40" s="261"/>
      <c r="S40" s="261"/>
    </row>
    <row r="41" spans="1:19" ht="17.25" customHeight="1" thickBot="1">
      <c r="A41" s="111" t="s">
        <v>292</v>
      </c>
      <c r="B41" s="262" t="s">
        <v>49</v>
      </c>
      <c r="C41" s="264"/>
      <c r="D41" s="262" t="s">
        <v>58</v>
      </c>
      <c r="E41" s="263"/>
      <c r="F41" s="264"/>
      <c r="G41" s="265">
        <f>_xlfn.IFNA(VLOOKUP(B41, 현재가테이블!$B$2:$D$200, 2, FALSE), "-")</f>
        <v>40538000</v>
      </c>
      <c r="H41" s="266"/>
      <c r="I41" s="267"/>
      <c r="J41" s="262" t="s">
        <v>59</v>
      </c>
      <c r="K41" s="263"/>
      <c r="L41" s="264"/>
      <c r="M41" s="268">
        <f>_xlfn.IFNA(VLOOKUP(B41, 현재가테이블!$B$2:$D$200, 3, FALSE), "-")</f>
        <v>-3.68275993E-2</v>
      </c>
      <c r="N41" s="269"/>
      <c r="O41" s="270"/>
      <c r="Q41" s="261"/>
      <c r="R41" s="261"/>
      <c r="S41" s="261"/>
    </row>
    <row r="42" spans="1:19" ht="17.25" customHeight="1" thickBot="1">
      <c r="A42" s="271" t="s">
        <v>55</v>
      </c>
      <c r="B42" s="273" t="str">
        <f>TEXT($G$1, "[$-ko-KR]yyyy-mm-dd(ddd) ") &amp; "오전 00:00"</f>
        <v>2021-04-01(목) 오전 00:00</v>
      </c>
      <c r="C42" s="274"/>
      <c r="D42" s="275" t="str">
        <f>TEXT($G$1, "[$-ko-KR]yyyy-mm-dd(ddd) ") &amp; "오후 14:00"</f>
        <v>2021-04-01(목) 오후 14:00</v>
      </c>
      <c r="E42" s="276"/>
      <c r="F42" s="277"/>
      <c r="G42" s="275" t="str">
        <f>TEXT($G$1, "[$-ko-KR]yyyy-mm-dd(ddd) ") &amp; "오후 19:00"</f>
        <v>2021-04-01(목) 오후 19:00</v>
      </c>
      <c r="H42" s="276"/>
      <c r="I42" s="277"/>
      <c r="J42" s="275" t="str">
        <f>TEXT($G$1, "[$-ko-KR]yyyy-mm-dd(ddd) ") &amp; "오후 21:00"</f>
        <v>2021-04-01(목) 오후 21:00</v>
      </c>
      <c r="K42" s="276"/>
      <c r="L42" s="277"/>
      <c r="M42" s="275" t="str">
        <f>TEXT($G$1+1, "[$-ko-KR]yyyy-mm-dd(ddd) ") &amp; "오전 00:00"</f>
        <v>2021-04-02(금) 오전 00:00</v>
      </c>
      <c r="N42" s="276"/>
      <c r="O42" s="277"/>
      <c r="Q42" s="261"/>
      <c r="R42" s="261"/>
      <c r="S42" s="261"/>
    </row>
    <row r="43" spans="1:19" ht="17.25" customHeight="1" thickBot="1">
      <c r="A43" s="272"/>
      <c r="B43" s="2" t="s">
        <v>58</v>
      </c>
      <c r="C43" s="10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1"/>
      <c r="R43" s="251"/>
      <c r="S43" s="25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1"/>
      <c r="R44" s="261"/>
      <c r="S44" s="261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1"/>
      <c r="R45" s="261"/>
      <c r="S45" s="261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1"/>
      <c r="R46" s="251"/>
      <c r="S46" s="25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1"/>
      <c r="R47" s="251"/>
      <c r="S47" s="25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1"/>
      <c r="R48" s="251"/>
      <c r="S48" s="251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1"/>
      <c r="R49" s="251"/>
      <c r="S49" s="25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1"/>
      <c r="R50" s="251"/>
      <c r="S50" s="25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1"/>
      <c r="R51" s="251"/>
      <c r="S51" s="25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2"/>
      <c r="R53" s="253"/>
      <c r="S53" s="25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5"/>
      <c r="R54" s="256"/>
      <c r="S54" s="25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8"/>
      <c r="R55" s="259"/>
      <c r="S55" s="26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1"/>
      <c r="R56" s="251"/>
      <c r="S56" s="25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1"/>
      <c r="R57" s="261"/>
      <c r="S57" s="261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1"/>
      <c r="R58" s="261"/>
      <c r="S58" s="261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1"/>
      <c r="R59" s="251"/>
      <c r="S59" s="25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1"/>
      <c r="R60" s="251"/>
      <c r="S60" s="25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1"/>
      <c r="R61" s="251"/>
      <c r="S61" s="25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0"/>
      <c r="R62" s="241"/>
      <c r="S62" s="242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3"/>
      <c r="R63" s="244"/>
      <c r="S63" s="245"/>
    </row>
    <row r="64" spans="1:19" ht="17.25" customHeight="1" thickBot="1">
      <c r="A64" s="26" t="s">
        <v>295</v>
      </c>
      <c r="B64" s="249">
        <f>$B$37</f>
        <v>300000</v>
      </c>
      <c r="C64" s="250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262" t="s">
        <v>45</v>
      </c>
      <c r="B67" s="263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4"/>
      <c r="Q67" s="261"/>
      <c r="R67" s="261"/>
      <c r="S67" s="261"/>
    </row>
    <row r="68" spans="1:19" ht="17.25" thickBot="1">
      <c r="A68" s="111" t="s">
        <v>292</v>
      </c>
      <c r="B68" s="262" t="s">
        <v>49</v>
      </c>
      <c r="C68" s="264"/>
      <c r="D68" s="262" t="s">
        <v>58</v>
      </c>
      <c r="E68" s="263"/>
      <c r="F68" s="264"/>
      <c r="G68" s="265">
        <f>_xlfn.IFNA(VLOOKUP(B68, 현재가테이블!$B$2:$D$200, 2, FALSE), "-")</f>
        <v>40538000</v>
      </c>
      <c r="H68" s="266"/>
      <c r="I68" s="267"/>
      <c r="J68" s="262" t="s">
        <v>59</v>
      </c>
      <c r="K68" s="263"/>
      <c r="L68" s="264"/>
      <c r="M68" s="268">
        <f>_xlfn.IFNA(VLOOKUP(B68, 현재가테이블!$B$2:$D$200, 3, FALSE), "-")</f>
        <v>-3.68275993E-2</v>
      </c>
      <c r="N68" s="269"/>
      <c r="O68" s="270"/>
      <c r="Q68" s="261"/>
      <c r="R68" s="261"/>
      <c r="S68" s="261"/>
    </row>
    <row r="69" spans="1:19" ht="17.25" thickBot="1">
      <c r="A69" s="271" t="s">
        <v>55</v>
      </c>
      <c r="B69" s="273" t="str">
        <f>TEXT($G$1, "[$-ko-KR]yyyy-mm-dd(ddd) ") &amp; "오전 00:00"</f>
        <v>2021-04-01(목) 오전 00:00</v>
      </c>
      <c r="C69" s="274"/>
      <c r="D69" s="275" t="str">
        <f>TEXT($G$1, "[$-ko-KR]yyyy-mm-dd(ddd) ") &amp; "오후 14:00"</f>
        <v>2021-04-01(목) 오후 14:00</v>
      </c>
      <c r="E69" s="276"/>
      <c r="F69" s="277"/>
      <c r="G69" s="275" t="str">
        <f>TEXT($G$1, "[$-ko-KR]yyyy-mm-dd(ddd) ") &amp; "오후 19:00"</f>
        <v>2021-04-01(목) 오후 19:00</v>
      </c>
      <c r="H69" s="276"/>
      <c r="I69" s="277"/>
      <c r="J69" s="275" t="str">
        <f>TEXT($G$1, "[$-ko-KR]yyyy-mm-dd(ddd) ") &amp; "오후 21:00"</f>
        <v>2021-04-01(목) 오후 21:00</v>
      </c>
      <c r="K69" s="276"/>
      <c r="L69" s="277"/>
      <c r="M69" s="275" t="str">
        <f>TEXT($G$1+1, "[$-ko-KR]yyyy-mm-dd(ddd) ") &amp; "오전 00:00"</f>
        <v>2021-04-02(금) 오전 00:00</v>
      </c>
      <c r="N69" s="276"/>
      <c r="O69" s="277"/>
      <c r="Q69" s="261"/>
      <c r="R69" s="261"/>
      <c r="S69" s="261"/>
    </row>
    <row r="70" spans="1:19" ht="17.25" thickBot="1">
      <c r="A70" s="272"/>
      <c r="B70" s="2" t="s">
        <v>58</v>
      </c>
      <c r="C70" s="10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1"/>
      <c r="R70" s="251"/>
      <c r="S70" s="25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1"/>
      <c r="R71" s="261"/>
      <c r="S71" s="261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1"/>
      <c r="R72" s="261"/>
      <c r="S72" s="261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1"/>
      <c r="R73" s="251"/>
      <c r="S73" s="25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1"/>
      <c r="R74" s="251"/>
      <c r="S74" s="25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1"/>
      <c r="R75" s="251"/>
      <c r="S75" s="251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1"/>
      <c r="R76" s="251"/>
      <c r="S76" s="25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1"/>
      <c r="R77" s="251"/>
      <c r="S77" s="25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1"/>
      <c r="R78" s="251"/>
      <c r="S78" s="25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2"/>
      <c r="R80" s="253"/>
      <c r="S80" s="25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5"/>
      <c r="R81" s="256"/>
      <c r="S81" s="25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8"/>
      <c r="R82" s="259"/>
      <c r="S82" s="26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1"/>
      <c r="R83" s="251"/>
      <c r="S83" s="25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1"/>
      <c r="R84" s="261"/>
      <c r="S84" s="261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1"/>
      <c r="R85" s="261"/>
      <c r="S85" s="261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1"/>
      <c r="R86" s="251"/>
      <c r="S86" s="25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1"/>
      <c r="R87" s="251"/>
      <c r="S87" s="25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1"/>
      <c r="R88" s="251"/>
      <c r="S88" s="25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0"/>
      <c r="R89" s="241"/>
      <c r="S89" s="242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3"/>
      <c r="R90" s="244"/>
      <c r="S90" s="245"/>
    </row>
    <row r="91" spans="1:19" ht="17.25" thickBot="1">
      <c r="A91" s="26" t="s">
        <v>295</v>
      </c>
      <c r="B91" s="249">
        <f>$B$37</f>
        <v>300000</v>
      </c>
      <c r="C91" s="250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46"/>
      <c r="R91" s="247"/>
      <c r="S91" s="248"/>
    </row>
    <row r="93" spans="1:19" ht="17.25" thickBot="1"/>
    <row r="94" spans="1:19" ht="17.25" thickBot="1">
      <c r="A94" s="262" t="s">
        <v>46</v>
      </c>
      <c r="B94" s="263"/>
      <c r="C94" s="263"/>
      <c r="D94" s="263"/>
      <c r="E94" s="263"/>
      <c r="F94" s="263"/>
      <c r="G94" s="263"/>
      <c r="H94" s="263"/>
      <c r="I94" s="263"/>
      <c r="J94" s="263"/>
      <c r="K94" s="263"/>
      <c r="L94" s="263"/>
      <c r="M94" s="263"/>
      <c r="N94" s="263"/>
      <c r="O94" s="264"/>
      <c r="Q94" s="261"/>
      <c r="R94" s="261"/>
      <c r="S94" s="261"/>
    </row>
    <row r="95" spans="1:19" ht="17.25" thickBot="1">
      <c r="A95" s="111" t="s">
        <v>292</v>
      </c>
      <c r="B95" s="262" t="s">
        <v>49</v>
      </c>
      <c r="C95" s="264"/>
      <c r="D95" s="262" t="s">
        <v>58</v>
      </c>
      <c r="E95" s="263"/>
      <c r="F95" s="264"/>
      <c r="G95" s="265">
        <f>_xlfn.IFNA(VLOOKUP(B95, 현재가테이블!$B$2:$D$200, 2, FALSE), "-")</f>
        <v>40538000</v>
      </c>
      <c r="H95" s="266"/>
      <c r="I95" s="267"/>
      <c r="J95" s="262" t="s">
        <v>59</v>
      </c>
      <c r="K95" s="263"/>
      <c r="L95" s="264"/>
      <c r="M95" s="268">
        <f>_xlfn.IFNA(VLOOKUP(B95, 현재가테이블!$B$2:$D$200, 3, FALSE), "-")</f>
        <v>-3.68275993E-2</v>
      </c>
      <c r="N95" s="269"/>
      <c r="O95" s="270"/>
      <c r="Q95" s="261"/>
      <c r="R95" s="261"/>
      <c r="S95" s="261"/>
    </row>
    <row r="96" spans="1:19" ht="17.25" thickBot="1">
      <c r="A96" s="271" t="s">
        <v>55</v>
      </c>
      <c r="B96" s="273" t="str">
        <f>TEXT($G$1, "[$-ko-KR]yyyy-mm-dd(ddd) ") &amp; "오전 00:00"</f>
        <v>2021-04-01(목) 오전 00:00</v>
      </c>
      <c r="C96" s="274"/>
      <c r="D96" s="275" t="str">
        <f>TEXT($G$1, "[$-ko-KR]yyyy-mm-dd(ddd) ") &amp; "오후 14:00"</f>
        <v>2021-04-01(목) 오후 14:00</v>
      </c>
      <c r="E96" s="276"/>
      <c r="F96" s="277"/>
      <c r="G96" s="275" t="str">
        <f>TEXT($G$1, "[$-ko-KR]yyyy-mm-dd(ddd) ") &amp; "오후 19:00"</f>
        <v>2021-04-01(목) 오후 19:00</v>
      </c>
      <c r="H96" s="276"/>
      <c r="I96" s="277"/>
      <c r="J96" s="275" t="str">
        <f>TEXT($G$1, "[$-ko-KR]yyyy-mm-dd(ddd) ") &amp; "오후 21:00"</f>
        <v>2021-04-01(목) 오후 21:00</v>
      </c>
      <c r="K96" s="276"/>
      <c r="L96" s="277"/>
      <c r="M96" s="275" t="str">
        <f>TEXT($G$1+1, "[$-ko-KR]yyyy-mm-dd(ddd) ") &amp; "오전 00:00"</f>
        <v>2021-04-02(금) 오전 00:00</v>
      </c>
      <c r="N96" s="276"/>
      <c r="O96" s="277"/>
      <c r="Q96" s="261"/>
      <c r="R96" s="261"/>
      <c r="S96" s="261"/>
    </row>
    <row r="97" spans="1:19" ht="17.25" thickBot="1">
      <c r="A97" s="272"/>
      <c r="B97" s="2" t="s">
        <v>58</v>
      </c>
      <c r="C97" s="10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1"/>
      <c r="R97" s="251"/>
      <c r="S97" s="25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1"/>
      <c r="R98" s="261"/>
      <c r="S98" s="261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1"/>
      <c r="R99" s="261"/>
      <c r="S99" s="261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1"/>
      <c r="R100" s="251"/>
      <c r="S100" s="25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1"/>
      <c r="R101" s="251"/>
      <c r="S101" s="25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1"/>
      <c r="R102" s="251"/>
      <c r="S102" s="251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1"/>
      <c r="R103" s="251"/>
      <c r="S103" s="25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1"/>
      <c r="R104" s="251"/>
      <c r="S104" s="25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1"/>
      <c r="R105" s="251"/>
      <c r="S105" s="25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2"/>
      <c r="R107" s="253"/>
      <c r="S107" s="25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5"/>
      <c r="R108" s="256"/>
      <c r="S108" s="25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8"/>
      <c r="R109" s="259"/>
      <c r="S109" s="26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1"/>
      <c r="R110" s="251"/>
      <c r="S110" s="25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1"/>
      <c r="R111" s="261"/>
      <c r="S111" s="261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1"/>
      <c r="R112" s="261"/>
      <c r="S112" s="261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1"/>
      <c r="R113" s="251"/>
      <c r="S113" s="25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1"/>
      <c r="R114" s="251"/>
      <c r="S114" s="25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1"/>
      <c r="R115" s="251"/>
      <c r="S115" s="25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0"/>
      <c r="R116" s="241"/>
      <c r="S116" s="242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3"/>
      <c r="R117" s="244"/>
      <c r="S117" s="245"/>
    </row>
    <row r="118" spans="1:19" ht="17.25" thickBot="1">
      <c r="A118" s="26" t="s">
        <v>295</v>
      </c>
      <c r="B118" s="249">
        <f>$B$37</f>
        <v>300000</v>
      </c>
      <c r="C118" s="250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46"/>
      <c r="R118" s="247"/>
      <c r="S118" s="248"/>
    </row>
    <row r="120" spans="1:19" ht="17.25" thickBot="1"/>
    <row r="121" spans="1:19" ht="17.25" thickBot="1">
      <c r="A121" s="262" t="s">
        <v>283</v>
      </c>
      <c r="B121" s="263"/>
      <c r="C121" s="263"/>
      <c r="D121" s="263"/>
      <c r="E121" s="263"/>
      <c r="F121" s="263"/>
      <c r="G121" s="263"/>
      <c r="H121" s="263"/>
      <c r="I121" s="263"/>
      <c r="J121" s="263"/>
      <c r="K121" s="263"/>
      <c r="L121" s="263"/>
      <c r="M121" s="263"/>
      <c r="N121" s="263"/>
      <c r="O121" s="264"/>
      <c r="Q121" s="261"/>
      <c r="R121" s="261"/>
      <c r="S121" s="261"/>
    </row>
    <row r="122" spans="1:19" ht="17.25" thickBot="1">
      <c r="A122" s="111" t="s">
        <v>292</v>
      </c>
      <c r="B122" s="262" t="s">
        <v>49</v>
      </c>
      <c r="C122" s="264"/>
      <c r="D122" s="262" t="s">
        <v>58</v>
      </c>
      <c r="E122" s="263"/>
      <c r="F122" s="264"/>
      <c r="G122" s="265">
        <f>_xlfn.IFNA(VLOOKUP(B122, 현재가테이블!$B$2:$D$200, 2, FALSE), "-")</f>
        <v>40538000</v>
      </c>
      <c r="H122" s="266"/>
      <c r="I122" s="267"/>
      <c r="J122" s="262" t="s">
        <v>59</v>
      </c>
      <c r="K122" s="263"/>
      <c r="L122" s="264"/>
      <c r="M122" s="268">
        <f>_xlfn.IFNA(VLOOKUP(B122, 현재가테이블!$B$2:$D$200, 3, FALSE), "-")</f>
        <v>-3.68275993E-2</v>
      </c>
      <c r="N122" s="269"/>
      <c r="O122" s="270"/>
      <c r="Q122" s="261"/>
      <c r="R122" s="261"/>
      <c r="S122" s="261"/>
    </row>
    <row r="123" spans="1:19" ht="17.25" thickBot="1">
      <c r="A123" s="271" t="s">
        <v>55</v>
      </c>
      <c r="B123" s="273" t="str">
        <f>TEXT($G$1, "[$-ko-KR]yyyy-mm-dd(ddd) ") &amp; "오전 00:00"</f>
        <v>2021-04-01(목) 오전 00:00</v>
      </c>
      <c r="C123" s="274"/>
      <c r="D123" s="275" t="str">
        <f>TEXT($G$1, "[$-ko-KR]yyyy-mm-dd(ddd) ") &amp; "오후 14:00"</f>
        <v>2021-04-01(목) 오후 14:00</v>
      </c>
      <c r="E123" s="276"/>
      <c r="F123" s="277"/>
      <c r="G123" s="275" t="str">
        <f>TEXT($G$1, "[$-ko-KR]yyyy-mm-dd(ddd) ") &amp; "오후 19:00"</f>
        <v>2021-04-01(목) 오후 19:00</v>
      </c>
      <c r="H123" s="276"/>
      <c r="I123" s="277"/>
      <c r="J123" s="275" t="str">
        <f>TEXT($G$1, "[$-ko-KR]yyyy-mm-dd(ddd) ") &amp; "오후 21:00"</f>
        <v>2021-04-01(목) 오후 21:00</v>
      </c>
      <c r="K123" s="276"/>
      <c r="L123" s="277"/>
      <c r="M123" s="275" t="str">
        <f>TEXT($G$1+1, "[$-ko-KR]yyyy-mm-dd(ddd) ") &amp; "오전 00:00"</f>
        <v>2021-04-02(금) 오전 00:00</v>
      </c>
      <c r="N123" s="276"/>
      <c r="O123" s="277"/>
      <c r="Q123" s="261"/>
      <c r="R123" s="261"/>
      <c r="S123" s="261"/>
    </row>
    <row r="124" spans="1:19" ht="17.25" thickBot="1">
      <c r="A124" s="272"/>
      <c r="B124" s="2" t="s">
        <v>58</v>
      </c>
      <c r="C124" s="10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1"/>
      <c r="R124" s="251"/>
      <c r="S124" s="25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1"/>
      <c r="R125" s="261"/>
      <c r="S125" s="261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1"/>
      <c r="R126" s="261"/>
      <c r="S126" s="261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1"/>
      <c r="R127" s="251"/>
      <c r="S127" s="25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1"/>
      <c r="R128" s="251"/>
      <c r="S128" s="25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1"/>
      <c r="R129" s="251"/>
      <c r="S129" s="251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1"/>
      <c r="R130" s="251"/>
      <c r="S130" s="25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1"/>
      <c r="R131" s="251"/>
      <c r="S131" s="25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1"/>
      <c r="R132" s="251"/>
      <c r="S132" s="25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2"/>
      <c r="R134" s="253"/>
      <c r="S134" s="25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5"/>
      <c r="R135" s="256"/>
      <c r="S135" s="25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8"/>
      <c r="R136" s="259"/>
      <c r="S136" s="26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1"/>
      <c r="R137" s="251"/>
      <c r="S137" s="25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1"/>
      <c r="R138" s="261"/>
      <c r="S138" s="261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1"/>
      <c r="R139" s="261"/>
      <c r="S139" s="261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1"/>
      <c r="R140" s="251"/>
      <c r="S140" s="25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1"/>
      <c r="R141" s="251"/>
      <c r="S141" s="25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1"/>
      <c r="R142" s="251"/>
      <c r="S142" s="25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0"/>
      <c r="R143" s="241"/>
      <c r="S143" s="242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3"/>
      <c r="R144" s="244"/>
      <c r="S144" s="245"/>
    </row>
    <row r="145" spans="1:19" ht="17.25" thickBot="1">
      <c r="A145" s="26" t="s">
        <v>295</v>
      </c>
      <c r="B145" s="249">
        <f>$B$37</f>
        <v>300000</v>
      </c>
      <c r="C145" s="250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46"/>
      <c r="R145" s="247"/>
      <c r="S145" s="248"/>
    </row>
    <row r="147" spans="1:19" ht="17.25" thickBot="1"/>
    <row r="148" spans="1:19" ht="17.25" thickBot="1">
      <c r="A148" s="262" t="s">
        <v>284</v>
      </c>
      <c r="B148" s="263"/>
      <c r="C148" s="263"/>
      <c r="D148" s="263"/>
      <c r="E148" s="263"/>
      <c r="F148" s="263"/>
      <c r="G148" s="263"/>
      <c r="H148" s="263"/>
      <c r="I148" s="263"/>
      <c r="J148" s="263"/>
      <c r="K148" s="263"/>
      <c r="L148" s="263"/>
      <c r="M148" s="263"/>
      <c r="N148" s="263"/>
      <c r="O148" s="264"/>
      <c r="Q148" s="261"/>
      <c r="R148" s="261"/>
      <c r="S148" s="261"/>
    </row>
    <row r="149" spans="1:19" ht="17.25" thickBot="1">
      <c r="A149" s="111" t="s">
        <v>292</v>
      </c>
      <c r="B149" s="262" t="s">
        <v>49</v>
      </c>
      <c r="C149" s="264"/>
      <c r="D149" s="262" t="s">
        <v>58</v>
      </c>
      <c r="E149" s="263"/>
      <c r="F149" s="264"/>
      <c r="G149" s="265">
        <f>_xlfn.IFNA(VLOOKUP(B149, 현재가테이블!$B$2:$D$200, 2, FALSE), "-")</f>
        <v>40538000</v>
      </c>
      <c r="H149" s="266"/>
      <c r="I149" s="267"/>
      <c r="J149" s="262" t="s">
        <v>59</v>
      </c>
      <c r="K149" s="263"/>
      <c r="L149" s="264"/>
      <c r="M149" s="268">
        <f>_xlfn.IFNA(VLOOKUP(B149, 현재가테이블!$B$2:$D$200, 3, FALSE), "-")</f>
        <v>-3.68275993E-2</v>
      </c>
      <c r="N149" s="269"/>
      <c r="O149" s="270"/>
      <c r="Q149" s="261"/>
      <c r="R149" s="261"/>
      <c r="S149" s="261"/>
    </row>
    <row r="150" spans="1:19" ht="17.25" thickBot="1">
      <c r="A150" s="271" t="s">
        <v>55</v>
      </c>
      <c r="B150" s="273" t="str">
        <f>TEXT($G$1, "[$-ko-KR]yyyy-mm-dd(ddd) ") &amp; "오전 00:00"</f>
        <v>2021-04-01(목) 오전 00:00</v>
      </c>
      <c r="C150" s="274"/>
      <c r="D150" s="275" t="str">
        <f>TEXT($G$1, "[$-ko-KR]yyyy-mm-dd(ddd) ") &amp; "오후 14:00"</f>
        <v>2021-04-01(목) 오후 14:00</v>
      </c>
      <c r="E150" s="276"/>
      <c r="F150" s="277"/>
      <c r="G150" s="275" t="str">
        <f>TEXT($G$1, "[$-ko-KR]yyyy-mm-dd(ddd) ") &amp; "오후 19:00"</f>
        <v>2021-04-01(목) 오후 19:00</v>
      </c>
      <c r="H150" s="276"/>
      <c r="I150" s="277"/>
      <c r="J150" s="275" t="str">
        <f>TEXT($G$1, "[$-ko-KR]yyyy-mm-dd(ddd) ") &amp; "오후 21:00"</f>
        <v>2021-04-01(목) 오후 21:00</v>
      </c>
      <c r="K150" s="276"/>
      <c r="L150" s="277"/>
      <c r="M150" s="275" t="str">
        <f>TEXT($G$1+1, "[$-ko-KR]yyyy-mm-dd(ddd) ") &amp; "오전 00:00"</f>
        <v>2021-04-02(금) 오전 00:00</v>
      </c>
      <c r="N150" s="276"/>
      <c r="O150" s="277"/>
      <c r="Q150" s="261"/>
      <c r="R150" s="261"/>
      <c r="S150" s="261"/>
    </row>
    <row r="151" spans="1:19" ht="17.25" thickBot="1">
      <c r="A151" s="272"/>
      <c r="B151" s="2" t="s">
        <v>58</v>
      </c>
      <c r="C151" s="10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1"/>
      <c r="R151" s="251"/>
      <c r="S151" s="25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1"/>
      <c r="R152" s="261"/>
      <c r="S152" s="261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1"/>
      <c r="R153" s="261"/>
      <c r="S153" s="261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1"/>
      <c r="R154" s="251"/>
      <c r="S154" s="25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1"/>
      <c r="R155" s="251"/>
      <c r="S155" s="25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1"/>
      <c r="R156" s="251"/>
      <c r="S156" s="251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1"/>
      <c r="R157" s="251"/>
      <c r="S157" s="25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1"/>
      <c r="R158" s="251"/>
      <c r="S158" s="25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1"/>
      <c r="R159" s="251"/>
      <c r="S159" s="25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2"/>
      <c r="R161" s="253"/>
      <c r="S161" s="25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5"/>
      <c r="R162" s="256"/>
      <c r="S162" s="25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8"/>
      <c r="R163" s="259"/>
      <c r="S163" s="26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1"/>
      <c r="R164" s="251"/>
      <c r="S164" s="25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1"/>
      <c r="R165" s="261"/>
      <c r="S165" s="261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1"/>
      <c r="R166" s="261"/>
      <c r="S166" s="261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1"/>
      <c r="R167" s="251"/>
      <c r="S167" s="25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1"/>
      <c r="R168" s="251"/>
      <c r="S168" s="25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1"/>
      <c r="R169" s="251"/>
      <c r="S169" s="25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0"/>
      <c r="R170" s="241"/>
      <c r="S170" s="242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3"/>
      <c r="R171" s="244"/>
      <c r="S171" s="245"/>
    </row>
    <row r="172" spans="1:19" ht="17.25" thickBot="1">
      <c r="A172" s="26" t="s">
        <v>295</v>
      </c>
      <c r="B172" s="249">
        <f>$B$37</f>
        <v>300000</v>
      </c>
      <c r="C172" s="250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46"/>
      <c r="R172" s="247"/>
      <c r="S172" s="248"/>
    </row>
    <row r="174" spans="1:19" ht="17.25" thickBot="1"/>
    <row r="175" spans="1:19" ht="17.25" thickBot="1">
      <c r="A175" s="262" t="s">
        <v>280</v>
      </c>
      <c r="B175" s="263"/>
      <c r="C175" s="263"/>
      <c r="D175" s="263"/>
      <c r="E175" s="263"/>
      <c r="F175" s="263"/>
      <c r="G175" s="263"/>
      <c r="H175" s="263"/>
      <c r="I175" s="263"/>
      <c r="J175" s="263"/>
      <c r="K175" s="263"/>
      <c r="L175" s="263"/>
      <c r="M175" s="263"/>
      <c r="N175" s="263"/>
      <c r="O175" s="264"/>
      <c r="Q175" s="261"/>
      <c r="R175" s="261"/>
      <c r="S175" s="261"/>
    </row>
    <row r="176" spans="1:19" ht="17.25" thickBot="1">
      <c r="A176" s="111" t="s">
        <v>292</v>
      </c>
      <c r="B176" s="262" t="s">
        <v>49</v>
      </c>
      <c r="C176" s="264"/>
      <c r="D176" s="262" t="s">
        <v>58</v>
      </c>
      <c r="E176" s="263"/>
      <c r="F176" s="264"/>
      <c r="G176" s="265">
        <f>_xlfn.IFNA(VLOOKUP(B176, 현재가테이블!$B$2:$D$200, 2, FALSE), "-")</f>
        <v>40538000</v>
      </c>
      <c r="H176" s="266"/>
      <c r="I176" s="267"/>
      <c r="J176" s="262" t="s">
        <v>59</v>
      </c>
      <c r="K176" s="263"/>
      <c r="L176" s="264"/>
      <c r="M176" s="268">
        <f>_xlfn.IFNA(VLOOKUP(B176, 현재가테이블!$B$2:$D$200, 3, FALSE), "-")</f>
        <v>-3.68275993E-2</v>
      </c>
      <c r="N176" s="269"/>
      <c r="O176" s="270"/>
      <c r="Q176" s="261"/>
      <c r="R176" s="261"/>
      <c r="S176" s="261"/>
    </row>
    <row r="177" spans="1:19" ht="17.25" thickBot="1">
      <c r="A177" s="271" t="s">
        <v>55</v>
      </c>
      <c r="B177" s="273" t="str">
        <f>TEXT($G$1, "[$-ko-KR]yyyy-mm-dd(ddd) ") &amp; "오전 00:00"</f>
        <v>2021-04-01(목) 오전 00:00</v>
      </c>
      <c r="C177" s="274"/>
      <c r="D177" s="275" t="str">
        <f>TEXT($G$1, "[$-ko-KR]yyyy-mm-dd(ddd) ") &amp; "오후 14:00"</f>
        <v>2021-04-01(목) 오후 14:00</v>
      </c>
      <c r="E177" s="276"/>
      <c r="F177" s="277"/>
      <c r="G177" s="275" t="str">
        <f>TEXT($G$1, "[$-ko-KR]yyyy-mm-dd(ddd) ") &amp; "오후 19:00"</f>
        <v>2021-04-01(목) 오후 19:00</v>
      </c>
      <c r="H177" s="276"/>
      <c r="I177" s="277"/>
      <c r="J177" s="275" t="str">
        <f>TEXT($G$1, "[$-ko-KR]yyyy-mm-dd(ddd) ") &amp; "오후 21:00"</f>
        <v>2021-04-01(목) 오후 21:00</v>
      </c>
      <c r="K177" s="276"/>
      <c r="L177" s="277"/>
      <c r="M177" s="275" t="str">
        <f>TEXT($G$1+1, "[$-ko-KR]yyyy-mm-dd(ddd) ") &amp; "오전 00:00"</f>
        <v>2021-04-02(금) 오전 00:00</v>
      </c>
      <c r="N177" s="276"/>
      <c r="O177" s="277"/>
      <c r="Q177" s="261"/>
      <c r="R177" s="261"/>
      <c r="S177" s="261"/>
    </row>
    <row r="178" spans="1:19" ht="17.25" thickBot="1">
      <c r="A178" s="272"/>
      <c r="B178" s="2" t="s">
        <v>58</v>
      </c>
      <c r="C178" s="10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1"/>
      <c r="R178" s="251"/>
      <c r="S178" s="25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1"/>
      <c r="R179" s="261"/>
      <c r="S179" s="261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1"/>
      <c r="R180" s="261"/>
      <c r="S180" s="261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1"/>
      <c r="R181" s="251"/>
      <c r="S181" s="25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1"/>
      <c r="R182" s="251"/>
      <c r="S182" s="25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1"/>
      <c r="R183" s="251"/>
      <c r="S183" s="251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1"/>
      <c r="R184" s="251"/>
      <c r="S184" s="25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1"/>
      <c r="R185" s="251"/>
      <c r="S185" s="25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1"/>
      <c r="R186" s="251"/>
      <c r="S186" s="25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2"/>
      <c r="R188" s="253"/>
      <c r="S188" s="25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5"/>
      <c r="R189" s="256"/>
      <c r="S189" s="25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8"/>
      <c r="R190" s="259"/>
      <c r="S190" s="26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1"/>
      <c r="R191" s="251"/>
      <c r="S191" s="25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1"/>
      <c r="R192" s="261"/>
      <c r="S192" s="261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1"/>
      <c r="R193" s="261"/>
      <c r="S193" s="261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1"/>
      <c r="R194" s="251"/>
      <c r="S194" s="25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1"/>
      <c r="R195" s="251"/>
      <c r="S195" s="25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1"/>
      <c r="R196" s="251"/>
      <c r="S196" s="25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0"/>
      <c r="R197" s="241"/>
      <c r="S197" s="242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3"/>
      <c r="R198" s="244"/>
      <c r="S198" s="245"/>
    </row>
    <row r="199" spans="1:19" ht="17.25" thickBot="1">
      <c r="A199" s="26" t="s">
        <v>295</v>
      </c>
      <c r="B199" s="249">
        <f>$B$37</f>
        <v>300000</v>
      </c>
      <c r="C199" s="250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46"/>
      <c r="R199" s="247"/>
      <c r="S199" s="24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1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1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1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1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1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169" priority="157">
      <formula>AND($N17 &gt; 0, ISNUMBER($N17))</formula>
    </cfRule>
    <cfRule type="expression" dxfId="4168" priority="158">
      <formula>AND($N17 = 0 * ISNUMBER($N17))</formula>
    </cfRule>
    <cfRule type="expression" dxfId="4167" priority="159">
      <formula>AND($N17 &lt; 0, ISNUMBER($N17))</formula>
    </cfRule>
  </conditionalFormatting>
  <conditionalFormatting sqref="A17:F36">
    <cfRule type="expression" dxfId="4166" priority="166">
      <formula>AND($E17 &gt; 0, ISNUMBER($E17))</formula>
    </cfRule>
    <cfRule type="expression" dxfId="4165" priority="167">
      <formula>AND($E17 = 0 * ISNUMBER($E17))</formula>
    </cfRule>
    <cfRule type="expression" dxfId="4164" priority="168">
      <formula>AND($E17 &lt; 0, ISNUMBER($E17))</formula>
    </cfRule>
  </conditionalFormatting>
  <conditionalFormatting sqref="A17:C36 G17:I36">
    <cfRule type="expression" dxfId="4163" priority="163">
      <formula>AND($H17 &gt; 0, ISNUMBER($H17))</formula>
    </cfRule>
    <cfRule type="expression" dxfId="4162" priority="164">
      <formula>AND($H17 = 0 * ISNUMBER($H17))</formula>
    </cfRule>
    <cfRule type="expression" dxfId="4161" priority="165">
      <formula>AND($H17 &lt; 0, ISNUMBER($H17))</formula>
    </cfRule>
  </conditionalFormatting>
  <conditionalFormatting sqref="A17:C36 J17:L36">
    <cfRule type="expression" dxfId="4160" priority="160">
      <formula>AND($K17 &gt; 0, ISNUMBER($K17))</formula>
    </cfRule>
    <cfRule type="expression" dxfId="4159" priority="161">
      <formula>AND($K17 = 0 * ISNUMBER($K17))</formula>
    </cfRule>
    <cfRule type="expression" dxfId="4158" priority="162">
      <formula>AND($K17 &lt; 0, ISNUMBER($K17))</formula>
    </cfRule>
  </conditionalFormatting>
  <conditionalFormatting sqref="D15:F16 E37:F37">
    <cfRule type="expression" dxfId="4157" priority="154">
      <formula>$E$37 &gt; 0</formula>
    </cfRule>
    <cfRule type="expression" dxfId="4156" priority="155">
      <formula>$E$37 = 0</formula>
    </cfRule>
    <cfRule type="expression" dxfId="4155" priority="156">
      <formula>$E$37 &lt; 0</formula>
    </cfRule>
  </conditionalFormatting>
  <conditionalFormatting sqref="G15:I16 H37:I37">
    <cfRule type="expression" dxfId="4154" priority="151">
      <formula>$H$37 &gt; 0</formula>
    </cfRule>
    <cfRule type="expression" dxfId="4153" priority="152">
      <formula>$H$37 = 0</formula>
    </cfRule>
    <cfRule type="expression" dxfId="4152" priority="153">
      <formula>$H$37 &lt; 0</formula>
    </cfRule>
  </conditionalFormatting>
  <conditionalFormatting sqref="J15:L16 K37:L37">
    <cfRule type="expression" dxfId="4151" priority="148">
      <formula>$K$37 &gt; 0</formula>
    </cfRule>
    <cfRule type="expression" dxfId="4150" priority="149">
      <formula>$K$37 = 0</formula>
    </cfRule>
    <cfRule type="expression" dxfId="4149" priority="150">
      <formula>$K$37 &lt; 0</formula>
    </cfRule>
  </conditionalFormatting>
  <conditionalFormatting sqref="M15:O16 N37:O37">
    <cfRule type="expression" dxfId="4148" priority="145">
      <formula>$N$37 &gt; 0</formula>
    </cfRule>
    <cfRule type="expression" dxfId="4147" priority="146">
      <formula>$N$37 = 0</formula>
    </cfRule>
    <cfRule type="expression" dxfId="4146" priority="147">
      <formula>$N$37 &lt; 0</formula>
    </cfRule>
  </conditionalFormatting>
  <conditionalFormatting sqref="A44:C63 M44:O63">
    <cfRule type="expression" dxfId="4145" priority="133">
      <formula>AND($N44 &gt; 0, ISNUMBER($N44))</formula>
    </cfRule>
    <cfRule type="expression" dxfId="4144" priority="134">
      <formula>AND($N44 = 0 * ISNUMBER($N44))</formula>
    </cfRule>
    <cfRule type="expression" dxfId="4143" priority="135">
      <formula>AND($N44 &lt; 0, ISNUMBER($N44))</formula>
    </cfRule>
  </conditionalFormatting>
  <conditionalFormatting sqref="A44:F63">
    <cfRule type="expression" dxfId="4142" priority="142">
      <formula>AND($E44 &gt; 0, ISNUMBER($E44))</formula>
    </cfRule>
    <cfRule type="expression" dxfId="4141" priority="143">
      <formula>AND($E44 = 0 * ISNUMBER($E44))</formula>
    </cfRule>
    <cfRule type="expression" dxfId="4140" priority="144">
      <formula>AND($E44 &lt; 0, ISNUMBER($E44))</formula>
    </cfRule>
  </conditionalFormatting>
  <conditionalFormatting sqref="A44:C63 G44:I63">
    <cfRule type="expression" dxfId="4139" priority="139">
      <formula>AND($H44 &gt; 0, ISNUMBER($H44))</formula>
    </cfRule>
    <cfRule type="expression" dxfId="4138" priority="140">
      <formula>AND($H44 = 0 * ISNUMBER($H44))</formula>
    </cfRule>
    <cfRule type="expression" dxfId="4137" priority="141">
      <formula>AND($H44 &lt; 0, ISNUMBER($H44))</formula>
    </cfRule>
  </conditionalFormatting>
  <conditionalFormatting sqref="A44:C63 J44:L63">
    <cfRule type="expression" dxfId="4136" priority="136">
      <formula>AND($K44 &gt; 0, ISNUMBER($K44))</formula>
    </cfRule>
    <cfRule type="expression" dxfId="4135" priority="137">
      <formula>AND($K44 = 0 * ISNUMBER($K44))</formula>
    </cfRule>
    <cfRule type="expression" dxfId="4134" priority="138">
      <formula>AND($K44 &lt; 0, ISNUMBER($K44))</formula>
    </cfRule>
  </conditionalFormatting>
  <conditionalFormatting sqref="D42:F43 E64:F64">
    <cfRule type="expression" dxfId="4133" priority="130">
      <formula>$E$64 &gt; 0</formula>
    </cfRule>
    <cfRule type="expression" dxfId="4132" priority="131">
      <formula>$E$64 = 0</formula>
    </cfRule>
    <cfRule type="expression" dxfId="4131" priority="132">
      <formula>$E$64 &lt; 0</formula>
    </cfRule>
  </conditionalFormatting>
  <conditionalFormatting sqref="G42:I43 H64:I64">
    <cfRule type="expression" dxfId="4130" priority="127">
      <formula>$H$64 &gt; 0</formula>
    </cfRule>
    <cfRule type="expression" dxfId="4129" priority="128">
      <formula>$H$64 = 0</formula>
    </cfRule>
    <cfRule type="expression" dxfId="4128" priority="129">
      <formula>$H$64 &lt; 0</formula>
    </cfRule>
  </conditionalFormatting>
  <conditionalFormatting sqref="J42:L43 K64:L64">
    <cfRule type="expression" dxfId="4127" priority="124">
      <formula>$K$64 &gt; 0</formula>
    </cfRule>
    <cfRule type="expression" dxfId="4126" priority="125">
      <formula>$K$64 = 0</formula>
    </cfRule>
    <cfRule type="expression" dxfId="4125" priority="126">
      <formula>$K$64 &lt; 0</formula>
    </cfRule>
  </conditionalFormatting>
  <conditionalFormatting sqref="M42:O43 N64:O64">
    <cfRule type="expression" dxfId="4124" priority="121">
      <formula>$N$64 &gt; 0</formula>
    </cfRule>
    <cfRule type="expression" dxfId="4123" priority="122">
      <formula>$N$64 = 0</formula>
    </cfRule>
    <cfRule type="expression" dxfId="4122" priority="123">
      <formula>$N$64 &lt; 0</formula>
    </cfRule>
  </conditionalFormatting>
  <conditionalFormatting sqref="A71:C90 M71:O90">
    <cfRule type="expression" dxfId="4121" priority="109">
      <formula>AND($N71 &gt; 0, ISNUMBER($N71))</formula>
    </cfRule>
    <cfRule type="expression" dxfId="4120" priority="110">
      <formula>AND($N71 = 0 * ISNUMBER($N71))</formula>
    </cfRule>
    <cfRule type="expression" dxfId="4119" priority="111">
      <formula>AND($N71 &lt; 0, ISNUMBER($N71))</formula>
    </cfRule>
  </conditionalFormatting>
  <conditionalFormatting sqref="A71:F90">
    <cfRule type="expression" dxfId="4118" priority="118">
      <formula>AND($E71 &gt; 0, ISNUMBER($E71))</formula>
    </cfRule>
    <cfRule type="expression" dxfId="4117" priority="119">
      <formula>AND($E71 = 0 * ISNUMBER($E71))</formula>
    </cfRule>
    <cfRule type="expression" dxfId="4116" priority="120">
      <formula>AND($E71 &lt; 0, ISNUMBER($E71))</formula>
    </cfRule>
  </conditionalFormatting>
  <conditionalFormatting sqref="A71:C90 G71:I90">
    <cfRule type="expression" dxfId="4115" priority="115">
      <formula>AND($H71 &gt; 0, ISNUMBER($H71))</formula>
    </cfRule>
    <cfRule type="expression" dxfId="4114" priority="116">
      <formula>AND($H71 = 0 * ISNUMBER($H71))</formula>
    </cfRule>
    <cfRule type="expression" dxfId="4113" priority="117">
      <formula>AND($H71 &lt; 0, ISNUMBER($H71))</formula>
    </cfRule>
  </conditionalFormatting>
  <conditionalFormatting sqref="A71:C90 J71:L90">
    <cfRule type="expression" dxfId="4112" priority="112">
      <formula>AND($K71 &gt; 0, ISNUMBER($K71))</formula>
    </cfRule>
    <cfRule type="expression" dxfId="4111" priority="113">
      <formula>AND($K71 = 0 * ISNUMBER($K71))</formula>
    </cfRule>
    <cfRule type="expression" dxfId="4110" priority="114">
      <formula>AND($K71 &lt; 0, ISNUMBER($K71))</formula>
    </cfRule>
  </conditionalFormatting>
  <conditionalFormatting sqref="D69:F70 E91:F91">
    <cfRule type="expression" dxfId="4109" priority="106">
      <formula>$E$91 &gt; 0</formula>
    </cfRule>
    <cfRule type="expression" dxfId="4108" priority="107">
      <formula>$E$91 = 0</formula>
    </cfRule>
    <cfRule type="expression" dxfId="4107" priority="108">
      <formula>$E$91 &lt; 0</formula>
    </cfRule>
  </conditionalFormatting>
  <conditionalFormatting sqref="G69:I70 H91:I91">
    <cfRule type="expression" dxfId="4106" priority="103">
      <formula>$H$91 &gt; 0</formula>
    </cfRule>
    <cfRule type="expression" dxfId="4105" priority="104">
      <formula>$H$91 = 0</formula>
    </cfRule>
    <cfRule type="expression" dxfId="4104" priority="105">
      <formula>$H$91 &lt; 0</formula>
    </cfRule>
  </conditionalFormatting>
  <conditionalFormatting sqref="J69:L70 K91:L91">
    <cfRule type="expression" dxfId="4103" priority="100">
      <formula>$K$91 &gt; 0</formula>
    </cfRule>
    <cfRule type="expression" dxfId="4102" priority="101">
      <formula>$K$91 = 0</formula>
    </cfRule>
    <cfRule type="expression" dxfId="4101" priority="102">
      <formula>$K$91 &lt; 0</formula>
    </cfRule>
  </conditionalFormatting>
  <conditionalFormatting sqref="M69:O70 N91:O91">
    <cfRule type="expression" dxfId="4100" priority="97">
      <formula>$N$91 &gt; 0</formula>
    </cfRule>
    <cfRule type="expression" dxfId="4099" priority="98">
      <formula>$N$91 = 0</formula>
    </cfRule>
    <cfRule type="expression" dxfId="4098" priority="99">
      <formula>$N$91 &lt; 0</formula>
    </cfRule>
  </conditionalFormatting>
  <conditionalFormatting sqref="A98:C117 M98:O117">
    <cfRule type="expression" dxfId="4097" priority="85">
      <formula>AND($N98 &gt; 0, ISNUMBER($N98))</formula>
    </cfRule>
    <cfRule type="expression" dxfId="4096" priority="86">
      <formula>AND($N98 = 0 * ISNUMBER($N98))</formula>
    </cfRule>
    <cfRule type="expression" dxfId="4095" priority="87">
      <formula>AND($N98 &lt; 0, ISNUMBER($N98))</formula>
    </cfRule>
  </conditionalFormatting>
  <conditionalFormatting sqref="A98:F117">
    <cfRule type="expression" dxfId="4094" priority="94">
      <formula>AND($E98 &gt; 0, ISNUMBER($E98))</formula>
    </cfRule>
    <cfRule type="expression" dxfId="4093" priority="95">
      <formula>AND($E98 = 0 * ISNUMBER($E98))</formula>
    </cfRule>
    <cfRule type="expression" dxfId="4092" priority="96">
      <formula>AND($E98 &lt; 0, ISNUMBER($E98))</formula>
    </cfRule>
  </conditionalFormatting>
  <conditionalFormatting sqref="A98:C117 G98:I117">
    <cfRule type="expression" dxfId="4091" priority="91">
      <formula>AND($H98 &gt; 0, ISNUMBER($H98))</formula>
    </cfRule>
    <cfRule type="expression" dxfId="4090" priority="92">
      <formula>AND($H98 = 0 * ISNUMBER($H98))</formula>
    </cfRule>
    <cfRule type="expression" dxfId="4089" priority="93">
      <formula>AND($H98 &lt; 0, ISNUMBER($H98))</formula>
    </cfRule>
  </conditionalFormatting>
  <conditionalFormatting sqref="A98:C117 J98:L117">
    <cfRule type="expression" dxfId="4088" priority="88">
      <formula>AND($K98 &gt; 0, ISNUMBER($K98))</formula>
    </cfRule>
    <cfRule type="expression" dxfId="4087" priority="89">
      <formula>AND($K98 = 0 * ISNUMBER($K98))</formula>
    </cfRule>
    <cfRule type="expression" dxfId="4086" priority="90">
      <formula>AND($K98 &lt; 0, ISNUMBER($K98))</formula>
    </cfRule>
  </conditionalFormatting>
  <conditionalFormatting sqref="D96:F97 E118:F118">
    <cfRule type="expression" dxfId="4085" priority="82">
      <formula>$E$118 &gt; 0</formula>
    </cfRule>
    <cfRule type="expression" dxfId="4084" priority="83">
      <formula>$E$118 = 0</formula>
    </cfRule>
    <cfRule type="expression" dxfId="4083" priority="84">
      <formula>$E$118 &lt; 0</formula>
    </cfRule>
  </conditionalFormatting>
  <conditionalFormatting sqref="G96:I97 H118:I118">
    <cfRule type="expression" dxfId="4082" priority="79">
      <formula>$H$118 &gt; 0</formula>
    </cfRule>
    <cfRule type="expression" dxfId="4081" priority="80">
      <formula>$H$118 = 0</formula>
    </cfRule>
    <cfRule type="expression" dxfId="4080" priority="81">
      <formula>$H$118 &lt; 0</formula>
    </cfRule>
  </conditionalFormatting>
  <conditionalFormatting sqref="J96:L97 K118:L118">
    <cfRule type="expression" dxfId="4079" priority="76">
      <formula>$K$118 &gt; 0</formula>
    </cfRule>
    <cfRule type="expression" dxfId="4078" priority="77">
      <formula>$K$118 = 0</formula>
    </cfRule>
    <cfRule type="expression" dxfId="4077" priority="78">
      <formula>$K$118 &lt; 0</formula>
    </cfRule>
  </conditionalFormatting>
  <conditionalFormatting sqref="M96:O97 N118:O118">
    <cfRule type="expression" dxfId="4076" priority="73">
      <formula>$N$118 &gt; 0</formula>
    </cfRule>
    <cfRule type="expression" dxfId="4075" priority="74">
      <formula>$N$118 = 0</formula>
    </cfRule>
    <cfRule type="expression" dxfId="4074" priority="75">
      <formula>$N$118 &lt; 0</formula>
    </cfRule>
  </conditionalFormatting>
  <conditionalFormatting sqref="A125:C144 M125:O144">
    <cfRule type="expression" dxfId="4073" priority="61">
      <formula>AND($N125 &gt; 0, ISNUMBER($N125))</formula>
    </cfRule>
    <cfRule type="expression" dxfId="4072" priority="62">
      <formula>AND($N125 = 0 * ISNUMBER($N125))</formula>
    </cfRule>
    <cfRule type="expression" dxfId="4071" priority="63">
      <formula>AND($N125 &lt; 0, ISNUMBER($N125))</formula>
    </cfRule>
  </conditionalFormatting>
  <conditionalFormatting sqref="A125:F144">
    <cfRule type="expression" dxfId="4070" priority="70">
      <formula>AND($E125 &gt; 0, ISNUMBER($E125))</formula>
    </cfRule>
    <cfRule type="expression" dxfId="4069" priority="71">
      <formula>AND($E125 = 0 * ISNUMBER($E125))</formula>
    </cfRule>
    <cfRule type="expression" dxfId="4068" priority="72">
      <formula>AND($E125 &lt; 0, ISNUMBER($E125))</formula>
    </cfRule>
  </conditionalFormatting>
  <conditionalFormatting sqref="A125:C144 G125:I144">
    <cfRule type="expression" dxfId="4067" priority="67">
      <formula>AND($H125 &gt; 0, ISNUMBER($H125))</formula>
    </cfRule>
    <cfRule type="expression" dxfId="4066" priority="68">
      <formula>AND($H125 = 0 * ISNUMBER($H125))</formula>
    </cfRule>
    <cfRule type="expression" dxfId="4065" priority="69">
      <formula>AND($H125 &lt; 0, ISNUMBER($H125))</formula>
    </cfRule>
  </conditionalFormatting>
  <conditionalFormatting sqref="A125:C144 J125:L144">
    <cfRule type="expression" dxfId="4064" priority="64">
      <formula>AND($K125 &gt; 0, ISNUMBER($K125))</formula>
    </cfRule>
    <cfRule type="expression" dxfId="4063" priority="65">
      <formula>AND($K125 = 0 * ISNUMBER($K125))</formula>
    </cfRule>
    <cfRule type="expression" dxfId="4062" priority="66">
      <formula>AND($K125 &lt; 0, ISNUMBER($K125))</formula>
    </cfRule>
  </conditionalFormatting>
  <conditionalFormatting sqref="D123:F124 E145:F145">
    <cfRule type="expression" dxfId="4061" priority="58">
      <formula>$E$145 &gt; 0</formula>
    </cfRule>
    <cfRule type="expression" dxfId="4060" priority="59">
      <formula>$E$145 = 0</formula>
    </cfRule>
    <cfRule type="expression" dxfId="4059" priority="60">
      <formula>$E$145 &lt; 0</formula>
    </cfRule>
  </conditionalFormatting>
  <conditionalFormatting sqref="G123:I124 H145:I145">
    <cfRule type="expression" dxfId="4058" priority="55">
      <formula>$H$145 &gt; 0</formula>
    </cfRule>
    <cfRule type="expression" dxfId="4057" priority="56">
      <formula>$H$145 = 0</formula>
    </cfRule>
    <cfRule type="expression" dxfId="4056" priority="57">
      <formula>$H$145 &lt; 0</formula>
    </cfRule>
  </conditionalFormatting>
  <conditionalFormatting sqref="J123:L124 K145:L145">
    <cfRule type="expression" dxfId="4055" priority="52">
      <formula>$K$145 &gt; 0</formula>
    </cfRule>
    <cfRule type="expression" dxfId="4054" priority="53">
      <formula>$K$145 = 0</formula>
    </cfRule>
    <cfRule type="expression" dxfId="4053" priority="54">
      <formula>$K$145 &lt; 0</formula>
    </cfRule>
  </conditionalFormatting>
  <conditionalFormatting sqref="M123:O124 N145:O145">
    <cfRule type="expression" dxfId="4052" priority="49">
      <formula>$N$145 &gt; 0</formula>
    </cfRule>
    <cfRule type="expression" dxfId="4051" priority="50">
      <formula>$N$145 = 0</formula>
    </cfRule>
    <cfRule type="expression" dxfId="4050" priority="51">
      <formula>$N$145 &lt; 0</formula>
    </cfRule>
  </conditionalFormatting>
  <conditionalFormatting sqref="A152:C171 M152:O171">
    <cfRule type="expression" dxfId="4049" priority="37">
      <formula>AND($N152 &gt; 0, ISNUMBER($N152))</formula>
    </cfRule>
    <cfRule type="expression" dxfId="4048" priority="38">
      <formula>AND($N152 = 0 * ISNUMBER($N152))</formula>
    </cfRule>
    <cfRule type="expression" dxfId="4047" priority="39">
      <formula>AND($N152 &lt; 0, ISNUMBER($N152))</formula>
    </cfRule>
  </conditionalFormatting>
  <conditionalFormatting sqref="A152:F171">
    <cfRule type="expression" dxfId="4046" priority="46">
      <formula>AND($E152 &gt; 0, ISNUMBER($E152))</formula>
    </cfRule>
    <cfRule type="expression" dxfId="4045" priority="47">
      <formula>AND($E152 = 0 * ISNUMBER($E152))</formula>
    </cfRule>
    <cfRule type="expression" dxfId="4044" priority="48">
      <formula>AND($E152 &lt; 0, ISNUMBER($E152))</formula>
    </cfRule>
  </conditionalFormatting>
  <conditionalFormatting sqref="A152:C171 G152:I171">
    <cfRule type="expression" dxfId="4043" priority="43">
      <formula>AND($H152 &gt; 0, ISNUMBER($H152))</formula>
    </cfRule>
    <cfRule type="expression" dxfId="4042" priority="44">
      <formula>AND($H152 = 0 * ISNUMBER($H152))</formula>
    </cfRule>
    <cfRule type="expression" dxfId="4041" priority="45">
      <formula>AND($H152 &lt; 0, ISNUMBER($H152))</formula>
    </cfRule>
  </conditionalFormatting>
  <conditionalFormatting sqref="A152:C171 J152:L171">
    <cfRule type="expression" dxfId="4040" priority="40">
      <formula>AND($K152 &gt; 0, ISNUMBER($K152))</formula>
    </cfRule>
    <cfRule type="expression" dxfId="4039" priority="41">
      <formula>AND($K152 = 0 * ISNUMBER($K152))</formula>
    </cfRule>
    <cfRule type="expression" dxfId="4038" priority="42">
      <formula>AND($K152 &lt; 0, ISNUMBER($K152))</formula>
    </cfRule>
  </conditionalFormatting>
  <conditionalFormatting sqref="D150:F151 E172:F172">
    <cfRule type="expression" dxfId="4037" priority="34">
      <formula>$E$172 &gt; 0</formula>
    </cfRule>
    <cfRule type="expression" dxfId="4036" priority="35">
      <formula>$E$172 = 0</formula>
    </cfRule>
    <cfRule type="expression" dxfId="4035" priority="36">
      <formula>$E$172 &lt; 0</formula>
    </cfRule>
  </conditionalFormatting>
  <conditionalFormatting sqref="G150:I151 H172:I172">
    <cfRule type="expression" dxfId="4034" priority="31">
      <formula>$H$172 &gt; 0</formula>
    </cfRule>
    <cfRule type="expression" dxfId="4033" priority="32">
      <formula>$H$172 = 0</formula>
    </cfRule>
    <cfRule type="expression" dxfId="4032" priority="33">
      <formula>$H$172 &lt; 0</formula>
    </cfRule>
  </conditionalFormatting>
  <conditionalFormatting sqref="J150:L151 K172:L172">
    <cfRule type="expression" dxfId="4031" priority="28">
      <formula>$K$172 &gt; 0</formula>
    </cfRule>
    <cfRule type="expression" dxfId="4030" priority="29">
      <formula>$K$172 = 0</formula>
    </cfRule>
    <cfRule type="expression" dxfId="4029" priority="30">
      <formula>$K$172 &lt; 0</formula>
    </cfRule>
  </conditionalFormatting>
  <conditionalFormatting sqref="M150:O151 N172:O172">
    <cfRule type="expression" dxfId="4028" priority="25">
      <formula>$N$172 &gt; 0</formula>
    </cfRule>
    <cfRule type="expression" dxfId="4027" priority="26">
      <formula>$N$172 = 0</formula>
    </cfRule>
    <cfRule type="expression" dxfId="4026" priority="27">
      <formula>$N$172 &lt; 0</formula>
    </cfRule>
  </conditionalFormatting>
  <conditionalFormatting sqref="A179:C198 M179:O198">
    <cfRule type="expression" dxfId="4025" priority="13">
      <formula>AND($N179 &gt; 0, ISNUMBER($N179))</formula>
    </cfRule>
    <cfRule type="expression" dxfId="4024" priority="14">
      <formula>AND($N179 = 0 * ISNUMBER($N179))</formula>
    </cfRule>
    <cfRule type="expression" dxfId="4023" priority="15">
      <formula>AND($N179 &lt; 0, ISNUMBER($N179))</formula>
    </cfRule>
  </conditionalFormatting>
  <conditionalFormatting sqref="A179:F198">
    <cfRule type="expression" dxfId="4022" priority="22">
      <formula>AND($E179 &gt; 0, ISNUMBER($E179))</formula>
    </cfRule>
    <cfRule type="expression" dxfId="4021" priority="23">
      <formula>AND($E179 = 0 * ISNUMBER($E179))</formula>
    </cfRule>
    <cfRule type="expression" dxfId="4020" priority="24">
      <formula>AND($E179 &lt; 0, ISNUMBER($E179))</formula>
    </cfRule>
  </conditionalFormatting>
  <conditionalFormatting sqref="A179:C198 G179:I198">
    <cfRule type="expression" dxfId="4019" priority="19">
      <formula>AND($H179 &gt; 0, ISNUMBER($H179))</formula>
    </cfRule>
    <cfRule type="expression" dxfId="4018" priority="20">
      <formula>AND($H179 = 0 * ISNUMBER($H179))</formula>
    </cfRule>
    <cfRule type="expression" dxfId="4017" priority="21">
      <formula>AND($H179 &lt; 0, ISNUMBER($H179))</formula>
    </cfRule>
  </conditionalFormatting>
  <conditionalFormatting sqref="A179:C198 J179:L198">
    <cfRule type="expression" dxfId="4016" priority="16">
      <formula>AND($K179 &gt; 0, ISNUMBER($K179))</formula>
    </cfRule>
    <cfRule type="expression" dxfId="4015" priority="17">
      <formula>AND($K179 = 0 * ISNUMBER($K179))</formula>
    </cfRule>
    <cfRule type="expression" dxfId="4014" priority="18">
      <formula>AND($K179 &lt; 0, ISNUMBER($K179))</formula>
    </cfRule>
  </conditionalFormatting>
  <conditionalFormatting sqref="D177:F178 E199:F199">
    <cfRule type="expression" dxfId="4013" priority="10">
      <formula>$E$199 &gt; 0</formula>
    </cfRule>
    <cfRule type="expression" dxfId="4012" priority="11">
      <formula>$E$199 = 0</formula>
    </cfRule>
    <cfRule type="expression" dxfId="4011" priority="12">
      <formula>$E$199 &lt; 0</formula>
    </cfRule>
  </conditionalFormatting>
  <conditionalFormatting sqref="G177:I178 H199:I199">
    <cfRule type="expression" dxfId="4010" priority="7">
      <formula>$H$199 &gt; 0</formula>
    </cfRule>
    <cfRule type="expression" dxfId="4009" priority="8">
      <formula>$H$199 = 0</formula>
    </cfRule>
    <cfRule type="expression" dxfId="4008" priority="9">
      <formula>$H$199 &lt; 0</formula>
    </cfRule>
  </conditionalFormatting>
  <conditionalFormatting sqref="J177:L178 K199:L199">
    <cfRule type="expression" dxfId="4007" priority="4">
      <formula>$K$199 &gt; 0</formula>
    </cfRule>
    <cfRule type="expression" dxfId="4006" priority="5">
      <formula>$K$199 = 0</formula>
    </cfRule>
    <cfRule type="expression" dxfId="4005" priority="6">
      <formula>$K$199 &lt; 0</formula>
    </cfRule>
  </conditionalFormatting>
  <conditionalFormatting sqref="M177:O178 N199:O199">
    <cfRule type="expression" dxfId="4004" priority="1">
      <formula>$N$199 &gt; 0</formula>
    </cfRule>
    <cfRule type="expression" dxfId="4003" priority="2">
      <formula>$N$199 = 0</formula>
    </cfRule>
    <cfRule type="expression" dxfId="40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2" t="s">
        <v>0</v>
      </c>
      <c r="B1" s="263"/>
      <c r="C1" s="263"/>
      <c r="D1" s="263"/>
      <c r="E1" s="263"/>
      <c r="F1" s="264"/>
      <c r="G1" s="293">
        <v>44348</v>
      </c>
      <c r="H1" s="294"/>
      <c r="I1" s="295"/>
      <c r="J1" s="262" t="s">
        <v>1</v>
      </c>
      <c r="K1" s="263"/>
      <c r="L1" s="263"/>
      <c r="M1" s="263"/>
      <c r="N1" s="263"/>
      <c r="O1" s="264"/>
      <c r="Q1" s="262" t="s">
        <v>2</v>
      </c>
      <c r="R1" s="264"/>
    </row>
    <row r="2" spans="1:19" ht="17.25" customHeight="1">
      <c r="A2" s="117" t="s">
        <v>3</v>
      </c>
      <c r="B2" s="296" t="s">
        <v>8</v>
      </c>
      <c r="C2" s="297"/>
      <c r="D2" s="297"/>
      <c r="E2" s="297"/>
      <c r="F2" s="298"/>
      <c r="G2" s="290" t="s">
        <v>46</v>
      </c>
      <c r="H2" s="291"/>
      <c r="I2" s="292"/>
      <c r="J2" s="1" t="s">
        <v>3</v>
      </c>
      <c r="K2" s="296" t="s">
        <v>345</v>
      </c>
      <c r="L2" s="297"/>
      <c r="M2" s="297"/>
      <c r="N2" s="297"/>
      <c r="O2" s="298"/>
      <c r="Q2" s="2" t="s">
        <v>6</v>
      </c>
      <c r="R2" s="3">
        <v>0.375</v>
      </c>
    </row>
    <row r="3" spans="1:19" ht="17.25" customHeight="1" thickBot="1">
      <c r="A3" s="118" t="s">
        <v>7</v>
      </c>
      <c r="B3" s="287" t="s">
        <v>353</v>
      </c>
      <c r="C3" s="288"/>
      <c r="D3" s="288"/>
      <c r="E3" s="288"/>
      <c r="F3" s="289"/>
      <c r="G3" s="28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4"/>
      <c r="I3" s="285"/>
      <c r="J3" s="4" t="s">
        <v>7</v>
      </c>
      <c r="K3" s="287" t="s">
        <v>346</v>
      </c>
      <c r="L3" s="288"/>
      <c r="M3" s="288"/>
      <c r="N3" s="288"/>
      <c r="O3" s="28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7" t="s">
        <v>16</v>
      </c>
      <c r="C4" s="288"/>
      <c r="D4" s="288"/>
      <c r="E4" s="288"/>
      <c r="F4" s="289"/>
      <c r="G4" s="290" t="s">
        <v>44</v>
      </c>
      <c r="H4" s="291"/>
      <c r="I4" s="292"/>
      <c r="J4" s="4" t="s">
        <v>11</v>
      </c>
      <c r="K4" s="287" t="s">
        <v>347</v>
      </c>
      <c r="L4" s="288"/>
      <c r="M4" s="288"/>
      <c r="N4" s="288"/>
      <c r="O4" s="28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7" t="s">
        <v>344</v>
      </c>
      <c r="C5" s="288"/>
      <c r="D5" s="288"/>
      <c r="E5" s="288"/>
      <c r="F5" s="289"/>
      <c r="G5" s="28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4"/>
      <c r="I5" s="285"/>
      <c r="J5" s="4" t="s">
        <v>15</v>
      </c>
      <c r="K5" s="287" t="s">
        <v>348</v>
      </c>
      <c r="L5" s="288"/>
      <c r="M5" s="288"/>
      <c r="N5" s="288"/>
      <c r="O5" s="289"/>
    </row>
    <row r="6" spans="1:19">
      <c r="A6" s="118" t="s">
        <v>18</v>
      </c>
      <c r="B6" s="287"/>
      <c r="C6" s="288"/>
      <c r="D6" s="288"/>
      <c r="E6" s="288"/>
      <c r="F6" s="289"/>
      <c r="G6" s="290" t="s">
        <v>45</v>
      </c>
      <c r="H6" s="291"/>
      <c r="I6" s="292"/>
      <c r="J6" s="4" t="s">
        <v>18</v>
      </c>
      <c r="K6" s="287" t="s">
        <v>349</v>
      </c>
      <c r="L6" s="288"/>
      <c r="M6" s="288"/>
      <c r="N6" s="288"/>
      <c r="O6" s="289"/>
    </row>
    <row r="7" spans="1:19" ht="17.25" thickBot="1">
      <c r="A7" s="118" t="s">
        <v>21</v>
      </c>
      <c r="B7" s="287"/>
      <c r="C7" s="288"/>
      <c r="D7" s="288"/>
      <c r="E7" s="288"/>
      <c r="F7" s="289"/>
      <c r="G7" s="28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4"/>
      <c r="I7" s="285"/>
      <c r="J7" s="4" t="s">
        <v>21</v>
      </c>
      <c r="K7" s="287" t="s">
        <v>350</v>
      </c>
      <c r="L7" s="288"/>
      <c r="M7" s="288"/>
      <c r="N7" s="288"/>
      <c r="O7" s="289"/>
    </row>
    <row r="8" spans="1:19" ht="17.25" thickBot="1">
      <c r="A8" s="118" t="s">
        <v>24</v>
      </c>
      <c r="B8" s="287"/>
      <c r="C8" s="288"/>
      <c r="D8" s="288"/>
      <c r="E8" s="288"/>
      <c r="F8" s="289"/>
      <c r="G8" s="290" t="s">
        <v>280</v>
      </c>
      <c r="H8" s="291"/>
      <c r="I8" s="292"/>
      <c r="J8" s="4" t="s">
        <v>24</v>
      </c>
      <c r="K8" s="287"/>
      <c r="L8" s="288"/>
      <c r="M8" s="288"/>
      <c r="N8" s="288"/>
      <c r="O8" s="289"/>
      <c r="Q8" s="262" t="s">
        <v>27</v>
      </c>
      <c r="R8" s="264"/>
    </row>
    <row r="9" spans="1:19" ht="17.25" thickBot="1">
      <c r="A9" s="118" t="s">
        <v>28</v>
      </c>
      <c r="B9" s="287"/>
      <c r="C9" s="288"/>
      <c r="D9" s="288"/>
      <c r="E9" s="288"/>
      <c r="F9" s="289"/>
      <c r="G9" s="28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4"/>
      <c r="I9" s="285"/>
      <c r="J9" s="4" t="s">
        <v>28</v>
      </c>
      <c r="K9" s="287"/>
      <c r="L9" s="288"/>
      <c r="M9" s="288"/>
      <c r="N9" s="288"/>
      <c r="O9" s="289"/>
      <c r="Q9" s="2" t="s">
        <v>29</v>
      </c>
      <c r="R9" s="6">
        <v>10</v>
      </c>
    </row>
    <row r="10" spans="1:19">
      <c r="A10" s="118" t="s">
        <v>30</v>
      </c>
      <c r="B10" s="287"/>
      <c r="C10" s="288"/>
      <c r="D10" s="288"/>
      <c r="E10" s="288"/>
      <c r="F10" s="289"/>
      <c r="G10" s="290" t="s">
        <v>47</v>
      </c>
      <c r="H10" s="291"/>
      <c r="I10" s="292"/>
      <c r="J10" s="4" t="s">
        <v>30</v>
      </c>
      <c r="K10" s="287" t="s">
        <v>351</v>
      </c>
      <c r="L10" s="288"/>
      <c r="M10" s="288"/>
      <c r="N10" s="288"/>
      <c r="O10" s="289"/>
      <c r="Q10" s="2" t="s">
        <v>31</v>
      </c>
      <c r="R10" s="6">
        <v>100</v>
      </c>
    </row>
    <row r="11" spans="1:19" ht="17.25" thickBot="1">
      <c r="A11" s="119" t="s">
        <v>32</v>
      </c>
      <c r="B11" s="280" t="s">
        <v>352</v>
      </c>
      <c r="C11" s="281"/>
      <c r="D11" s="281"/>
      <c r="E11" s="281"/>
      <c r="F11" s="282"/>
      <c r="G11" s="28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4"/>
      <c r="I11" s="285"/>
      <c r="J11" s="7" t="s">
        <v>32</v>
      </c>
      <c r="K11" s="280" t="s">
        <v>343</v>
      </c>
      <c r="L11" s="281"/>
      <c r="M11" s="281"/>
      <c r="N11" s="281"/>
      <c r="O11" s="282"/>
      <c r="Q11" s="65" t="s">
        <v>33</v>
      </c>
      <c r="R11" s="8">
        <v>1000</v>
      </c>
    </row>
    <row r="12" spans="1:19" ht="17.25" thickBot="1"/>
    <row r="13" spans="1:19" ht="17.25" customHeight="1" thickBot="1">
      <c r="A13" s="262" t="s">
        <v>34</v>
      </c>
      <c r="B13" s="263"/>
      <c r="C13" s="263"/>
      <c r="D13" s="263"/>
      <c r="E13" s="263"/>
      <c r="F13" s="263"/>
      <c r="G13" s="263"/>
      <c r="H13" s="263"/>
      <c r="I13" s="263"/>
      <c r="J13" s="263"/>
      <c r="K13" s="263"/>
      <c r="L13" s="263"/>
      <c r="M13" s="263"/>
      <c r="N13" s="263"/>
      <c r="O13" s="264"/>
      <c r="Q13" s="261"/>
      <c r="R13" s="261"/>
      <c r="S13" s="261"/>
    </row>
    <row r="14" spans="1:19" ht="17.25" customHeight="1" thickBot="1">
      <c r="A14" s="116" t="s">
        <v>35</v>
      </c>
      <c r="B14" s="262" t="s">
        <v>36</v>
      </c>
      <c r="C14" s="264"/>
      <c r="D14" s="262" t="s">
        <v>37</v>
      </c>
      <c r="E14" s="263"/>
      <c r="F14" s="264"/>
      <c r="G14" s="265">
        <f>_xlfn.IFNA(VLOOKUP(B14, 현재가테이블!$B$2:$D$200, 2, FALSE), "-")</f>
        <v>40538000</v>
      </c>
      <c r="H14" s="266"/>
      <c r="I14" s="267"/>
      <c r="J14" s="262" t="s">
        <v>38</v>
      </c>
      <c r="K14" s="263"/>
      <c r="L14" s="264"/>
      <c r="M14" s="268">
        <f>_xlfn.IFNA(VLOOKUP(B14, 현재가테이블!$B$2:$D$200, 3, FALSE), "-")</f>
        <v>-3.68275993E-2</v>
      </c>
      <c r="N14" s="269"/>
      <c r="O14" s="270"/>
      <c r="Q14" s="261"/>
      <c r="R14" s="261"/>
      <c r="S14" s="261"/>
    </row>
    <row r="15" spans="1:19" ht="17.25" customHeight="1" thickBot="1">
      <c r="A15" s="299" t="s">
        <v>39</v>
      </c>
      <c r="B15" s="300" t="str">
        <f>TEXT($G$1, "[$-ko-KR]yyyy-mm-dd(ddd) ") &amp; "오전 00:00"</f>
        <v>2021-06-01(화) 오전 00:00</v>
      </c>
      <c r="C15" s="301"/>
      <c r="D15" s="275" t="str">
        <f>TEXT($G$1, "[$-ko-KR]yyyy-mm-dd(ddd) ") &amp; "오후 14:00"</f>
        <v>2021-06-01(화) 오후 14:00</v>
      </c>
      <c r="E15" s="276"/>
      <c r="F15" s="277"/>
      <c r="G15" s="275" t="str">
        <f>TEXT($G$1, "[$-ko-KR]yyyy-mm-dd(ddd) ") &amp; "오후 19:00"</f>
        <v>2021-06-01(화) 오후 19:00</v>
      </c>
      <c r="H15" s="276"/>
      <c r="I15" s="277"/>
      <c r="J15" s="275" t="str">
        <f>TEXT($G$1, "[$-ko-KR]yyyy-mm-dd(ddd) ") &amp; "오후 21:00"</f>
        <v>2021-06-01(화) 오후 21:00</v>
      </c>
      <c r="K15" s="276"/>
      <c r="L15" s="277"/>
      <c r="M15" s="275" t="str">
        <f>TEXT($G$1+1, "[$-ko-KR]yyyy-mm-dd(ddd) ") &amp; "오전 00:00"</f>
        <v>2021-06-02(수) 오전 00:00</v>
      </c>
      <c r="N15" s="276"/>
      <c r="O15" s="277"/>
      <c r="Q15" s="261"/>
      <c r="R15" s="261"/>
      <c r="S15" s="261"/>
    </row>
    <row r="16" spans="1:19" ht="17.25" customHeight="1" thickBot="1">
      <c r="A16" s="29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1"/>
      <c r="R17" s="261"/>
      <c r="S17" s="26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1"/>
      <c r="R18" s="261"/>
      <c r="S18" s="26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304">
        <v>100000</v>
      </c>
      <c r="C37" s="30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262" t="s">
        <v>44</v>
      </c>
      <c r="B40" s="263"/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4"/>
      <c r="Q40" s="261"/>
      <c r="R40" s="261"/>
      <c r="S40" s="261"/>
    </row>
    <row r="41" spans="1:19" ht="17.25" customHeight="1" thickBot="1">
      <c r="A41" s="116" t="s">
        <v>292</v>
      </c>
      <c r="B41" s="262" t="s">
        <v>49</v>
      </c>
      <c r="C41" s="264"/>
      <c r="D41" s="262" t="s">
        <v>58</v>
      </c>
      <c r="E41" s="263"/>
      <c r="F41" s="264"/>
      <c r="G41" s="265">
        <f>_xlfn.IFNA(VLOOKUP(B41, 현재가테이블!$B$2:$D$200, 2, FALSE), "-")</f>
        <v>40538000</v>
      </c>
      <c r="H41" s="266"/>
      <c r="I41" s="267"/>
      <c r="J41" s="262" t="s">
        <v>59</v>
      </c>
      <c r="K41" s="263"/>
      <c r="L41" s="264"/>
      <c r="M41" s="268">
        <f>_xlfn.IFNA(VLOOKUP(B41, 현재가테이블!$B$2:$D$200, 3, FALSE), "-")</f>
        <v>-3.68275993E-2</v>
      </c>
      <c r="N41" s="269"/>
      <c r="O41" s="270"/>
      <c r="Q41" s="261"/>
      <c r="R41" s="261"/>
      <c r="S41" s="261"/>
    </row>
    <row r="42" spans="1:19" ht="17.25" customHeight="1" thickBot="1">
      <c r="A42" s="306" t="s">
        <v>55</v>
      </c>
      <c r="B42" s="302" t="str">
        <f>TEXT($G$1, "[$-ko-KR]yyyy-mm-dd(ddd) ") &amp; "오전 00:00"</f>
        <v>2021-06-01(화) 오전 00:00</v>
      </c>
      <c r="C42" s="303"/>
      <c r="D42" s="275" t="str">
        <f>TEXT($G$1, "[$-ko-KR]yyyy-mm-dd(ddd) ") &amp; "오후 14:00"</f>
        <v>2021-06-01(화) 오후 14:00</v>
      </c>
      <c r="E42" s="276"/>
      <c r="F42" s="277"/>
      <c r="G42" s="275" t="str">
        <f>TEXT($G$1, "[$-ko-KR]yyyy-mm-dd(ddd) ") &amp; "오후 19:00"</f>
        <v>2021-06-01(화) 오후 19:00</v>
      </c>
      <c r="H42" s="276"/>
      <c r="I42" s="277"/>
      <c r="J42" s="275" t="str">
        <f>TEXT($G$1, "[$-ko-KR]yyyy-mm-dd(ddd) ") &amp; "오후 21:00"</f>
        <v>2021-06-01(화) 오후 21:00</v>
      </c>
      <c r="K42" s="276"/>
      <c r="L42" s="277"/>
      <c r="M42" s="275" t="str">
        <f>TEXT($G$1+1, "[$-ko-KR]yyyy-mm-dd(ddd) ") &amp; "오전 00:00"</f>
        <v>2021-06-02(수) 오전 00:00</v>
      </c>
      <c r="N42" s="276"/>
      <c r="O42" s="277"/>
      <c r="Q42" s="261"/>
      <c r="R42" s="261"/>
      <c r="S42" s="261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1"/>
      <c r="R43" s="251"/>
      <c r="S43" s="251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1"/>
      <c r="R44" s="261"/>
      <c r="S44" s="261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1"/>
      <c r="R45" s="261"/>
      <c r="S45" s="261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1"/>
      <c r="R46" s="251"/>
      <c r="S46" s="251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1"/>
      <c r="R47" s="251"/>
      <c r="S47" s="251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1"/>
      <c r="R48" s="251"/>
      <c r="S48" s="251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1"/>
      <c r="R49" s="251"/>
      <c r="S49" s="251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1"/>
      <c r="R50" s="251"/>
      <c r="S50" s="251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1"/>
      <c r="R51" s="251"/>
      <c r="S51" s="251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2"/>
      <c r="R53" s="253"/>
      <c r="S53" s="254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5"/>
      <c r="R54" s="256"/>
      <c r="S54" s="257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8"/>
      <c r="R55" s="259"/>
      <c r="S55" s="260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1"/>
      <c r="R56" s="251"/>
      <c r="S56" s="251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1"/>
      <c r="R57" s="261"/>
      <c r="S57" s="261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1"/>
      <c r="R58" s="261"/>
      <c r="S58" s="261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1"/>
      <c r="R59" s="251"/>
      <c r="S59" s="251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1"/>
      <c r="R60" s="251"/>
      <c r="S60" s="251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1"/>
      <c r="R61" s="251"/>
      <c r="S61" s="251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0"/>
      <c r="R62" s="241"/>
      <c r="S62" s="242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3"/>
      <c r="R63" s="244"/>
      <c r="S63" s="245"/>
    </row>
    <row r="64" spans="1:19" ht="17.25" customHeight="1" thickBot="1">
      <c r="A64" s="132" t="s">
        <v>295</v>
      </c>
      <c r="B64" s="304">
        <f>$B$37</f>
        <v>100000</v>
      </c>
      <c r="C64" s="305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262" t="s">
        <v>45</v>
      </c>
      <c r="B67" s="263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4"/>
      <c r="Q67" s="261"/>
      <c r="R67" s="261"/>
      <c r="S67" s="261"/>
    </row>
    <row r="68" spans="1:19" ht="17.25" thickBot="1">
      <c r="A68" s="116" t="s">
        <v>292</v>
      </c>
      <c r="B68" s="262" t="s">
        <v>49</v>
      </c>
      <c r="C68" s="264"/>
      <c r="D68" s="262" t="s">
        <v>58</v>
      </c>
      <c r="E68" s="263"/>
      <c r="F68" s="264"/>
      <c r="G68" s="265">
        <f>_xlfn.IFNA(VLOOKUP(B68, 현재가테이블!$B$2:$D$200, 2, FALSE), "-")</f>
        <v>40538000</v>
      </c>
      <c r="H68" s="266"/>
      <c r="I68" s="267"/>
      <c r="J68" s="262" t="s">
        <v>59</v>
      </c>
      <c r="K68" s="263"/>
      <c r="L68" s="264"/>
      <c r="M68" s="268">
        <f>_xlfn.IFNA(VLOOKUP(B68, 현재가테이블!$B$2:$D$200, 3, FALSE), "-")</f>
        <v>-3.68275993E-2</v>
      </c>
      <c r="N68" s="269"/>
      <c r="O68" s="270"/>
      <c r="Q68" s="261"/>
      <c r="R68" s="261"/>
      <c r="S68" s="261"/>
    </row>
    <row r="69" spans="1:19" ht="17.25" thickBot="1">
      <c r="A69" s="306" t="s">
        <v>55</v>
      </c>
      <c r="B69" s="302" t="str">
        <f>TEXT($G$1, "[$-ko-KR]yyyy-mm-dd(ddd) ") &amp; "오전 00:00"</f>
        <v>2021-06-01(화) 오전 00:00</v>
      </c>
      <c r="C69" s="303"/>
      <c r="D69" s="275" t="str">
        <f>TEXT($G$1, "[$-ko-KR]yyyy-mm-dd(ddd) ") &amp; "오후 14:00"</f>
        <v>2021-06-01(화) 오후 14:00</v>
      </c>
      <c r="E69" s="276"/>
      <c r="F69" s="277"/>
      <c r="G69" s="275" t="str">
        <f>TEXT($G$1, "[$-ko-KR]yyyy-mm-dd(ddd) ") &amp; "오후 19:00"</f>
        <v>2021-06-01(화) 오후 19:00</v>
      </c>
      <c r="H69" s="276"/>
      <c r="I69" s="277"/>
      <c r="J69" s="275" t="str">
        <f>TEXT($G$1, "[$-ko-KR]yyyy-mm-dd(ddd) ") &amp; "오후 21:00"</f>
        <v>2021-06-01(화) 오후 21:00</v>
      </c>
      <c r="K69" s="276"/>
      <c r="L69" s="277"/>
      <c r="M69" s="275" t="str">
        <f>TEXT($G$1+1, "[$-ko-KR]yyyy-mm-dd(ddd) ") &amp; "오전 00:00"</f>
        <v>2021-06-02(수) 오전 00:00</v>
      </c>
      <c r="N69" s="276"/>
      <c r="O69" s="277"/>
      <c r="Q69" s="261"/>
      <c r="R69" s="261"/>
      <c r="S69" s="261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1"/>
      <c r="R70" s="251"/>
      <c r="S70" s="251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1"/>
      <c r="R71" s="261"/>
      <c r="S71" s="261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1"/>
      <c r="R72" s="261"/>
      <c r="S72" s="261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1"/>
      <c r="R73" s="251"/>
      <c r="S73" s="251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1"/>
      <c r="R74" s="251"/>
      <c r="S74" s="251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1"/>
      <c r="R75" s="251"/>
      <c r="S75" s="251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1"/>
      <c r="R76" s="251"/>
      <c r="S76" s="251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1"/>
      <c r="R77" s="251"/>
      <c r="S77" s="251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1"/>
      <c r="R78" s="251"/>
      <c r="S78" s="251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2"/>
      <c r="R80" s="253"/>
      <c r="S80" s="254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5"/>
      <c r="R81" s="256"/>
      <c r="S81" s="257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8"/>
      <c r="R82" s="259"/>
      <c r="S82" s="260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1"/>
      <c r="R83" s="251"/>
      <c r="S83" s="251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1"/>
      <c r="R84" s="261"/>
      <c r="S84" s="261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1"/>
      <c r="R85" s="261"/>
      <c r="S85" s="261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1"/>
      <c r="R86" s="251"/>
      <c r="S86" s="251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1"/>
      <c r="R87" s="251"/>
      <c r="S87" s="251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1"/>
      <c r="R88" s="251"/>
      <c r="S88" s="251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0"/>
      <c r="R89" s="241"/>
      <c r="S89" s="242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3"/>
      <c r="R90" s="244"/>
      <c r="S90" s="245"/>
    </row>
    <row r="91" spans="1:19" ht="17.25" thickBot="1">
      <c r="A91" s="132" t="s">
        <v>295</v>
      </c>
      <c r="B91" s="304">
        <f>$B$37</f>
        <v>100000</v>
      </c>
      <c r="C91" s="305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46"/>
      <c r="R91" s="247"/>
      <c r="S91" s="248"/>
    </row>
    <row r="93" spans="1:19" ht="17.25" thickBot="1"/>
    <row r="94" spans="1:19" ht="17.25" thickBot="1">
      <c r="A94" s="262" t="s">
        <v>46</v>
      </c>
      <c r="B94" s="263"/>
      <c r="C94" s="263"/>
      <c r="D94" s="263"/>
      <c r="E94" s="263"/>
      <c r="F94" s="263"/>
      <c r="G94" s="263"/>
      <c r="H94" s="263"/>
      <c r="I94" s="263"/>
      <c r="J94" s="263"/>
      <c r="K94" s="263"/>
      <c r="L94" s="263"/>
      <c r="M94" s="263"/>
      <c r="N94" s="263"/>
      <c r="O94" s="264"/>
      <c r="Q94" s="261"/>
      <c r="R94" s="261"/>
      <c r="S94" s="261"/>
    </row>
    <row r="95" spans="1:19" ht="17.25" thickBot="1">
      <c r="A95" s="116" t="s">
        <v>292</v>
      </c>
      <c r="B95" s="262" t="s">
        <v>49</v>
      </c>
      <c r="C95" s="264"/>
      <c r="D95" s="262" t="s">
        <v>58</v>
      </c>
      <c r="E95" s="263"/>
      <c r="F95" s="264"/>
      <c r="G95" s="265">
        <f>_xlfn.IFNA(VLOOKUP(B95, 현재가테이블!$B$2:$D$200, 2, FALSE), "-")</f>
        <v>40538000</v>
      </c>
      <c r="H95" s="266"/>
      <c r="I95" s="267"/>
      <c r="J95" s="262" t="s">
        <v>59</v>
      </c>
      <c r="K95" s="263"/>
      <c r="L95" s="264"/>
      <c r="M95" s="268">
        <f>_xlfn.IFNA(VLOOKUP(B95, 현재가테이블!$B$2:$D$200, 3, FALSE), "-")</f>
        <v>-3.68275993E-2</v>
      </c>
      <c r="N95" s="269"/>
      <c r="O95" s="270"/>
      <c r="Q95" s="261"/>
      <c r="R95" s="261"/>
      <c r="S95" s="261"/>
    </row>
    <row r="96" spans="1:19" ht="17.25" thickBot="1">
      <c r="A96" s="306" t="s">
        <v>55</v>
      </c>
      <c r="B96" s="302" t="str">
        <f>TEXT($G$1, "[$-ko-KR]yyyy-mm-dd(ddd) ") &amp; "오전 00:00"</f>
        <v>2021-06-01(화) 오전 00:00</v>
      </c>
      <c r="C96" s="303"/>
      <c r="D96" s="275" t="str">
        <f>TEXT($G$1, "[$-ko-KR]yyyy-mm-dd(ddd) ") &amp; "오후 14:00"</f>
        <v>2021-06-01(화) 오후 14:00</v>
      </c>
      <c r="E96" s="276"/>
      <c r="F96" s="277"/>
      <c r="G96" s="275" t="str">
        <f>TEXT($G$1, "[$-ko-KR]yyyy-mm-dd(ddd) ") &amp; "오후 19:00"</f>
        <v>2021-06-01(화) 오후 19:00</v>
      </c>
      <c r="H96" s="276"/>
      <c r="I96" s="277"/>
      <c r="J96" s="275" t="str">
        <f>TEXT($G$1, "[$-ko-KR]yyyy-mm-dd(ddd) ") &amp; "오후 21:00"</f>
        <v>2021-06-01(화) 오후 21:00</v>
      </c>
      <c r="K96" s="276"/>
      <c r="L96" s="277"/>
      <c r="M96" s="275" t="str">
        <f>TEXT($G$1+1, "[$-ko-KR]yyyy-mm-dd(ddd) ") &amp; "오전 00:00"</f>
        <v>2021-06-02(수) 오전 00:00</v>
      </c>
      <c r="N96" s="276"/>
      <c r="O96" s="277"/>
      <c r="Q96" s="261"/>
      <c r="R96" s="261"/>
      <c r="S96" s="261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1"/>
      <c r="R97" s="251"/>
      <c r="S97" s="251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1"/>
      <c r="R98" s="261"/>
      <c r="S98" s="261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1"/>
      <c r="R99" s="261"/>
      <c r="S99" s="261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1"/>
      <c r="R100" s="251"/>
      <c r="S100" s="251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1"/>
      <c r="R101" s="251"/>
      <c r="S101" s="251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1"/>
      <c r="R102" s="251"/>
      <c r="S102" s="251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1"/>
      <c r="R103" s="251"/>
      <c r="S103" s="251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1"/>
      <c r="R104" s="251"/>
      <c r="S104" s="251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1"/>
      <c r="R105" s="251"/>
      <c r="S105" s="251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2"/>
      <c r="R107" s="253"/>
      <c r="S107" s="254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5"/>
      <c r="R108" s="256"/>
      <c r="S108" s="257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8"/>
      <c r="R109" s="259"/>
      <c r="S109" s="260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1"/>
      <c r="R110" s="251"/>
      <c r="S110" s="251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1"/>
      <c r="R111" s="261"/>
      <c r="S111" s="261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1"/>
      <c r="R112" s="261"/>
      <c r="S112" s="261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1"/>
      <c r="R113" s="251"/>
      <c r="S113" s="251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1"/>
      <c r="R114" s="251"/>
      <c r="S114" s="251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1"/>
      <c r="R115" s="251"/>
      <c r="S115" s="251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0"/>
      <c r="R116" s="241"/>
      <c r="S116" s="242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3"/>
      <c r="R117" s="244"/>
      <c r="S117" s="245"/>
    </row>
    <row r="118" spans="1:19" ht="17.25" thickBot="1">
      <c r="A118" s="132" t="s">
        <v>295</v>
      </c>
      <c r="B118" s="304">
        <f>$B$37</f>
        <v>100000</v>
      </c>
      <c r="C118" s="305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46"/>
      <c r="R118" s="247"/>
      <c r="S118" s="248"/>
    </row>
    <row r="120" spans="1:19" ht="17.25" thickBot="1"/>
    <row r="121" spans="1:19" ht="17.25" thickBot="1">
      <c r="A121" s="262" t="s">
        <v>283</v>
      </c>
      <c r="B121" s="263"/>
      <c r="C121" s="263"/>
      <c r="D121" s="263"/>
      <c r="E121" s="263"/>
      <c r="F121" s="263"/>
      <c r="G121" s="263"/>
      <c r="H121" s="263"/>
      <c r="I121" s="263"/>
      <c r="J121" s="263"/>
      <c r="K121" s="263"/>
      <c r="L121" s="263"/>
      <c r="M121" s="263"/>
      <c r="N121" s="263"/>
      <c r="O121" s="264"/>
      <c r="Q121" s="261"/>
      <c r="R121" s="261"/>
      <c r="S121" s="261"/>
    </row>
    <row r="122" spans="1:19" ht="17.25" thickBot="1">
      <c r="A122" s="116" t="s">
        <v>292</v>
      </c>
      <c r="B122" s="262" t="s">
        <v>49</v>
      </c>
      <c r="C122" s="264"/>
      <c r="D122" s="262" t="s">
        <v>58</v>
      </c>
      <c r="E122" s="263"/>
      <c r="F122" s="264"/>
      <c r="G122" s="265">
        <f>_xlfn.IFNA(VLOOKUP(B122, 현재가테이블!$B$2:$D$200, 2, FALSE), "-")</f>
        <v>40538000</v>
      </c>
      <c r="H122" s="266"/>
      <c r="I122" s="267"/>
      <c r="J122" s="262" t="s">
        <v>59</v>
      </c>
      <c r="K122" s="263"/>
      <c r="L122" s="264"/>
      <c r="M122" s="268">
        <f>_xlfn.IFNA(VLOOKUP(B122, 현재가테이블!$B$2:$D$200, 3, FALSE), "-")</f>
        <v>-3.68275993E-2</v>
      </c>
      <c r="N122" s="269"/>
      <c r="O122" s="270"/>
      <c r="Q122" s="261"/>
      <c r="R122" s="261"/>
      <c r="S122" s="261"/>
    </row>
    <row r="123" spans="1:19" ht="17.25" thickBot="1">
      <c r="A123" s="306" t="s">
        <v>55</v>
      </c>
      <c r="B123" s="302" t="str">
        <f>TEXT($G$1, "[$-ko-KR]yyyy-mm-dd(ddd) ") &amp; "오전 00:00"</f>
        <v>2021-06-01(화) 오전 00:00</v>
      </c>
      <c r="C123" s="303"/>
      <c r="D123" s="275" t="str">
        <f>TEXT($G$1, "[$-ko-KR]yyyy-mm-dd(ddd) ") &amp; "오후 14:00"</f>
        <v>2021-06-01(화) 오후 14:00</v>
      </c>
      <c r="E123" s="276"/>
      <c r="F123" s="277"/>
      <c r="G123" s="275" t="str">
        <f>TEXT($G$1, "[$-ko-KR]yyyy-mm-dd(ddd) ") &amp; "오후 19:00"</f>
        <v>2021-06-01(화) 오후 19:00</v>
      </c>
      <c r="H123" s="276"/>
      <c r="I123" s="277"/>
      <c r="J123" s="275" t="str">
        <f>TEXT($G$1, "[$-ko-KR]yyyy-mm-dd(ddd) ") &amp; "오후 21:00"</f>
        <v>2021-06-01(화) 오후 21:00</v>
      </c>
      <c r="K123" s="276"/>
      <c r="L123" s="277"/>
      <c r="M123" s="275" t="str">
        <f>TEXT($G$1+1, "[$-ko-KR]yyyy-mm-dd(ddd) ") &amp; "오전 00:00"</f>
        <v>2021-06-02(수) 오전 00:00</v>
      </c>
      <c r="N123" s="276"/>
      <c r="O123" s="277"/>
      <c r="Q123" s="261"/>
      <c r="R123" s="261"/>
      <c r="S123" s="261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1"/>
      <c r="R124" s="251"/>
      <c r="S124" s="251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1"/>
      <c r="R125" s="261"/>
      <c r="S125" s="261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1"/>
      <c r="R126" s="261"/>
      <c r="S126" s="261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1"/>
      <c r="R127" s="251"/>
      <c r="S127" s="251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1"/>
      <c r="R128" s="251"/>
      <c r="S128" s="251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1"/>
      <c r="R129" s="251"/>
      <c r="S129" s="251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1"/>
      <c r="R130" s="251"/>
      <c r="S130" s="251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1"/>
      <c r="R131" s="251"/>
      <c r="S131" s="251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1"/>
      <c r="R132" s="251"/>
      <c r="S132" s="251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2"/>
      <c r="R134" s="253"/>
      <c r="S134" s="254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5"/>
      <c r="R135" s="256"/>
      <c r="S135" s="257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8"/>
      <c r="R136" s="259"/>
      <c r="S136" s="260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1"/>
      <c r="R137" s="251"/>
      <c r="S137" s="251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1"/>
      <c r="R138" s="261"/>
      <c r="S138" s="261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1"/>
      <c r="R139" s="261"/>
      <c r="S139" s="261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1"/>
      <c r="R140" s="251"/>
      <c r="S140" s="251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1"/>
      <c r="R141" s="251"/>
      <c r="S141" s="251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1"/>
      <c r="R142" s="251"/>
      <c r="S142" s="251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0"/>
      <c r="R143" s="241"/>
      <c r="S143" s="242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3"/>
      <c r="R144" s="244"/>
      <c r="S144" s="245"/>
    </row>
    <row r="145" spans="1:19" ht="17.25" thickBot="1">
      <c r="A145" s="132" t="s">
        <v>295</v>
      </c>
      <c r="B145" s="304">
        <f>$B$37</f>
        <v>100000</v>
      </c>
      <c r="C145" s="305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46"/>
      <c r="R145" s="247"/>
      <c r="S145" s="248"/>
    </row>
    <row r="147" spans="1:19" ht="17.25" thickBot="1"/>
    <row r="148" spans="1:19" ht="17.25" thickBot="1">
      <c r="A148" s="262" t="s">
        <v>284</v>
      </c>
      <c r="B148" s="263"/>
      <c r="C148" s="263"/>
      <c r="D148" s="263"/>
      <c r="E148" s="263"/>
      <c r="F148" s="263"/>
      <c r="G148" s="263"/>
      <c r="H148" s="263"/>
      <c r="I148" s="263"/>
      <c r="J148" s="263"/>
      <c r="K148" s="263"/>
      <c r="L148" s="263"/>
      <c r="M148" s="263"/>
      <c r="N148" s="263"/>
      <c r="O148" s="264"/>
      <c r="Q148" s="261"/>
      <c r="R148" s="261"/>
      <c r="S148" s="261"/>
    </row>
    <row r="149" spans="1:19" ht="17.25" thickBot="1">
      <c r="A149" s="116" t="s">
        <v>292</v>
      </c>
      <c r="B149" s="262" t="s">
        <v>49</v>
      </c>
      <c r="C149" s="264"/>
      <c r="D149" s="262" t="s">
        <v>58</v>
      </c>
      <c r="E149" s="263"/>
      <c r="F149" s="264"/>
      <c r="G149" s="265">
        <f>_xlfn.IFNA(VLOOKUP(B149, 현재가테이블!$B$2:$D$200, 2, FALSE), "-")</f>
        <v>40538000</v>
      </c>
      <c r="H149" s="266"/>
      <c r="I149" s="267"/>
      <c r="J149" s="262" t="s">
        <v>59</v>
      </c>
      <c r="K149" s="263"/>
      <c r="L149" s="264"/>
      <c r="M149" s="268">
        <f>_xlfn.IFNA(VLOOKUP(B149, 현재가테이블!$B$2:$D$200, 3, FALSE), "-")</f>
        <v>-3.68275993E-2</v>
      </c>
      <c r="N149" s="269"/>
      <c r="O149" s="270"/>
      <c r="Q149" s="261"/>
      <c r="R149" s="261"/>
      <c r="S149" s="261"/>
    </row>
    <row r="150" spans="1:19" ht="17.25" thickBot="1">
      <c r="A150" s="306" t="s">
        <v>55</v>
      </c>
      <c r="B150" s="302" t="str">
        <f>TEXT($G$1, "[$-ko-KR]yyyy-mm-dd(ddd) ") &amp; "오전 00:00"</f>
        <v>2021-06-01(화) 오전 00:00</v>
      </c>
      <c r="C150" s="303"/>
      <c r="D150" s="275" t="str">
        <f>TEXT($G$1, "[$-ko-KR]yyyy-mm-dd(ddd) ") &amp; "오후 14:00"</f>
        <v>2021-06-01(화) 오후 14:00</v>
      </c>
      <c r="E150" s="276"/>
      <c r="F150" s="277"/>
      <c r="G150" s="275" t="str">
        <f>TEXT($G$1, "[$-ko-KR]yyyy-mm-dd(ddd) ") &amp; "오후 19:00"</f>
        <v>2021-06-01(화) 오후 19:00</v>
      </c>
      <c r="H150" s="276"/>
      <c r="I150" s="277"/>
      <c r="J150" s="275" t="str">
        <f>TEXT($G$1, "[$-ko-KR]yyyy-mm-dd(ddd) ") &amp; "오후 21:00"</f>
        <v>2021-06-01(화) 오후 21:00</v>
      </c>
      <c r="K150" s="276"/>
      <c r="L150" s="277"/>
      <c r="M150" s="275" t="str">
        <f>TEXT($G$1+1, "[$-ko-KR]yyyy-mm-dd(ddd) ") &amp; "오전 00:00"</f>
        <v>2021-06-02(수) 오전 00:00</v>
      </c>
      <c r="N150" s="276"/>
      <c r="O150" s="277"/>
      <c r="Q150" s="261"/>
      <c r="R150" s="261"/>
      <c r="S150" s="261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1"/>
      <c r="R151" s="251"/>
      <c r="S151" s="251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1"/>
      <c r="R152" s="261"/>
      <c r="S152" s="261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1"/>
      <c r="R153" s="261"/>
      <c r="S153" s="261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1"/>
      <c r="R154" s="251"/>
      <c r="S154" s="251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1"/>
      <c r="R155" s="251"/>
      <c r="S155" s="251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1"/>
      <c r="R156" s="251"/>
      <c r="S156" s="251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1"/>
      <c r="R157" s="251"/>
      <c r="S157" s="251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1"/>
      <c r="R158" s="251"/>
      <c r="S158" s="251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1"/>
      <c r="R159" s="251"/>
      <c r="S159" s="251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2"/>
      <c r="R161" s="253"/>
      <c r="S161" s="254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5"/>
      <c r="R162" s="256"/>
      <c r="S162" s="257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8"/>
      <c r="R163" s="259"/>
      <c r="S163" s="260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1"/>
      <c r="R164" s="251"/>
      <c r="S164" s="251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1"/>
      <c r="R165" s="261"/>
      <c r="S165" s="261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1"/>
      <c r="R166" s="261"/>
      <c r="S166" s="261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1"/>
      <c r="R167" s="251"/>
      <c r="S167" s="251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1"/>
      <c r="R168" s="251"/>
      <c r="S168" s="251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1"/>
      <c r="R169" s="251"/>
      <c r="S169" s="251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0"/>
      <c r="R170" s="241"/>
      <c r="S170" s="242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3"/>
      <c r="R171" s="244"/>
      <c r="S171" s="245"/>
    </row>
    <row r="172" spans="1:19" ht="17.25" thickBot="1">
      <c r="A172" s="132" t="s">
        <v>295</v>
      </c>
      <c r="B172" s="304">
        <f>$B$37</f>
        <v>100000</v>
      </c>
      <c r="C172" s="305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46"/>
      <c r="R172" s="247"/>
      <c r="S172" s="248"/>
    </row>
    <row r="174" spans="1:19" ht="17.25" thickBot="1"/>
    <row r="175" spans="1:19" ht="17.25" thickBot="1">
      <c r="A175" s="262" t="s">
        <v>280</v>
      </c>
      <c r="B175" s="263"/>
      <c r="C175" s="263"/>
      <c r="D175" s="263"/>
      <c r="E175" s="263"/>
      <c r="F175" s="263"/>
      <c r="G175" s="263"/>
      <c r="H175" s="263"/>
      <c r="I175" s="263"/>
      <c r="J175" s="263"/>
      <c r="K175" s="263"/>
      <c r="L175" s="263"/>
      <c r="M175" s="263"/>
      <c r="N175" s="263"/>
      <c r="O175" s="264"/>
      <c r="Q175" s="261"/>
      <c r="R175" s="261"/>
      <c r="S175" s="261"/>
    </row>
    <row r="176" spans="1:19" ht="17.25" thickBot="1">
      <c r="A176" s="116" t="s">
        <v>292</v>
      </c>
      <c r="B176" s="262" t="s">
        <v>49</v>
      </c>
      <c r="C176" s="264"/>
      <c r="D176" s="262" t="s">
        <v>58</v>
      </c>
      <c r="E176" s="263"/>
      <c r="F176" s="264"/>
      <c r="G176" s="265">
        <f>_xlfn.IFNA(VLOOKUP(B176, 현재가테이블!$B$2:$D$200, 2, FALSE), "-")</f>
        <v>40538000</v>
      </c>
      <c r="H176" s="266"/>
      <c r="I176" s="267"/>
      <c r="J176" s="262" t="s">
        <v>59</v>
      </c>
      <c r="K176" s="263"/>
      <c r="L176" s="264"/>
      <c r="M176" s="268">
        <f>_xlfn.IFNA(VLOOKUP(B176, 현재가테이블!$B$2:$D$200, 3, FALSE), "-")</f>
        <v>-3.68275993E-2</v>
      </c>
      <c r="N176" s="269"/>
      <c r="O176" s="270"/>
      <c r="Q176" s="261"/>
      <c r="R176" s="261"/>
      <c r="S176" s="261"/>
    </row>
    <row r="177" spans="1:19" ht="17.25" thickBot="1">
      <c r="A177" s="306" t="s">
        <v>55</v>
      </c>
      <c r="B177" s="302" t="str">
        <f>TEXT($G$1, "[$-ko-KR]yyyy-mm-dd(ddd) ") &amp; "오전 00:00"</f>
        <v>2021-06-01(화) 오전 00:00</v>
      </c>
      <c r="C177" s="303"/>
      <c r="D177" s="275" t="str">
        <f>TEXT($G$1, "[$-ko-KR]yyyy-mm-dd(ddd) ") &amp; "오후 14:00"</f>
        <v>2021-06-01(화) 오후 14:00</v>
      </c>
      <c r="E177" s="276"/>
      <c r="F177" s="277"/>
      <c r="G177" s="275" t="str">
        <f>TEXT($G$1, "[$-ko-KR]yyyy-mm-dd(ddd) ") &amp; "오후 19:00"</f>
        <v>2021-06-01(화) 오후 19:00</v>
      </c>
      <c r="H177" s="276"/>
      <c r="I177" s="277"/>
      <c r="J177" s="275" t="str">
        <f>TEXT($G$1, "[$-ko-KR]yyyy-mm-dd(ddd) ") &amp; "오후 21:00"</f>
        <v>2021-06-01(화) 오후 21:00</v>
      </c>
      <c r="K177" s="276"/>
      <c r="L177" s="277"/>
      <c r="M177" s="275" t="str">
        <f>TEXT($G$1+1, "[$-ko-KR]yyyy-mm-dd(ddd) ") &amp; "오전 00:00"</f>
        <v>2021-06-02(수) 오전 00:00</v>
      </c>
      <c r="N177" s="276"/>
      <c r="O177" s="277"/>
      <c r="Q177" s="261"/>
      <c r="R177" s="261"/>
      <c r="S177" s="261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1"/>
      <c r="R178" s="251"/>
      <c r="S178" s="251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1"/>
      <c r="R179" s="261"/>
      <c r="S179" s="261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1"/>
      <c r="R180" s="261"/>
      <c r="S180" s="261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1"/>
      <c r="R181" s="251"/>
      <c r="S181" s="251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1"/>
      <c r="R182" s="251"/>
      <c r="S182" s="251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1"/>
      <c r="R183" s="251"/>
      <c r="S183" s="251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1"/>
      <c r="R184" s="251"/>
      <c r="S184" s="251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1"/>
      <c r="R185" s="251"/>
      <c r="S185" s="251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1"/>
      <c r="R186" s="251"/>
      <c r="S186" s="251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2"/>
      <c r="R188" s="253"/>
      <c r="S188" s="254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5"/>
      <c r="R189" s="256"/>
      <c r="S189" s="257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8"/>
      <c r="R190" s="259"/>
      <c r="S190" s="260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1"/>
      <c r="R191" s="251"/>
      <c r="S191" s="251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1"/>
      <c r="R192" s="261"/>
      <c r="S192" s="261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1"/>
      <c r="R193" s="261"/>
      <c r="S193" s="261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1"/>
      <c r="R194" s="251"/>
      <c r="S194" s="251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1"/>
      <c r="R195" s="251"/>
      <c r="S195" s="251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1"/>
      <c r="R196" s="251"/>
      <c r="S196" s="251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0"/>
      <c r="R197" s="241"/>
      <c r="S197" s="242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3"/>
      <c r="R198" s="244"/>
      <c r="S198" s="245"/>
    </row>
    <row r="199" spans="1:19" ht="17.25" thickBot="1">
      <c r="A199" s="132" t="s">
        <v>295</v>
      </c>
      <c r="B199" s="304">
        <f>$B$37</f>
        <v>100000</v>
      </c>
      <c r="C199" s="305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46"/>
      <c r="R199" s="247"/>
      <c r="S199" s="248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400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0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9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9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9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9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9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9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9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9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91" priority="289">
      <formula>AND($N17 &gt; 0, ISNUMBER($N17))</formula>
    </cfRule>
    <cfRule type="expression" dxfId="3990" priority="290">
      <formula>AND($N17 = 0 * ISNUMBER($N17))</formula>
    </cfRule>
    <cfRule type="expression" dxfId="3989" priority="291">
      <formula>AND($N17 &lt; 0, ISNUMBER($N17))</formula>
    </cfRule>
  </conditionalFormatting>
  <conditionalFormatting sqref="A17:C36 D17:F36">
    <cfRule type="expression" dxfId="3988" priority="298">
      <formula>AND($E17 &gt; 0, ISNUMBER($E17))</formula>
    </cfRule>
    <cfRule type="expression" dxfId="3987" priority="299">
      <formula>AND($E17 = 0 * ISNUMBER($E17))</formula>
    </cfRule>
    <cfRule type="expression" dxfId="3986" priority="300">
      <formula>AND($E17 &lt; 0, ISNUMBER($E17))</formula>
    </cfRule>
  </conditionalFormatting>
  <conditionalFormatting sqref="A17:C36 G17:I36">
    <cfRule type="expression" dxfId="3985" priority="295">
      <formula>AND($H17 &gt; 0, ISNUMBER($H17))</formula>
    </cfRule>
    <cfRule type="expression" dxfId="3984" priority="296">
      <formula>AND($H17 = 0 * ISNUMBER($H17))</formula>
    </cfRule>
    <cfRule type="expression" dxfId="3983" priority="297">
      <formula>AND($H17 &lt; 0, ISNUMBER($H17))</formula>
    </cfRule>
  </conditionalFormatting>
  <conditionalFormatting sqref="A17:C36 J17:L36">
    <cfRule type="expression" dxfId="3982" priority="292">
      <formula>AND($K17 &gt; 0, ISNUMBER($K17))</formula>
    </cfRule>
    <cfRule type="expression" dxfId="3981" priority="293">
      <formula>AND($K17 = 0 * ISNUMBER($K17))</formula>
    </cfRule>
    <cfRule type="expression" dxfId="3980" priority="294">
      <formula>AND($K17 &lt; 0, ISNUMBER($K17))</formula>
    </cfRule>
  </conditionalFormatting>
  <conditionalFormatting sqref="D15:F16 E37:F37">
    <cfRule type="expression" dxfId="3979" priority="286">
      <formula>$E$37 &gt; 0</formula>
    </cfRule>
    <cfRule type="expression" dxfId="3978" priority="287">
      <formula>$E$37 = 0</formula>
    </cfRule>
    <cfRule type="expression" dxfId="3977" priority="288">
      <formula>$E$37 &lt; 0</formula>
    </cfRule>
  </conditionalFormatting>
  <conditionalFormatting sqref="G15:I16 H37:I37">
    <cfRule type="expression" dxfId="3976" priority="283">
      <formula>$H$37 &gt; 0</formula>
    </cfRule>
    <cfRule type="expression" dxfId="3975" priority="284">
      <formula>$H$37 = 0</formula>
    </cfRule>
    <cfRule type="expression" dxfId="3974" priority="285">
      <formula>$H$37 &lt; 0</formula>
    </cfRule>
  </conditionalFormatting>
  <conditionalFormatting sqref="J15:L16 K37:L37">
    <cfRule type="expression" dxfId="3973" priority="280">
      <formula>$K$37 &gt; 0</formula>
    </cfRule>
    <cfRule type="expression" dxfId="3972" priority="281">
      <formula>$K$37 = 0</formula>
    </cfRule>
    <cfRule type="expression" dxfId="3971" priority="282">
      <formula>$K$37 &lt; 0</formula>
    </cfRule>
  </conditionalFormatting>
  <conditionalFormatting sqref="M15:O16 N37:O37">
    <cfRule type="expression" dxfId="3970" priority="277">
      <formula>$N$37 &gt; 0</formula>
    </cfRule>
    <cfRule type="expression" dxfId="3969" priority="278">
      <formula>$N$37 = 0</formula>
    </cfRule>
    <cfRule type="expression" dxfId="3968" priority="279">
      <formula>$N$37 &lt; 0</formula>
    </cfRule>
  </conditionalFormatting>
  <conditionalFormatting sqref="A44:C63 M44:O63">
    <cfRule type="expression" dxfId="3967" priority="265">
      <formula>AND($N44 &gt; 0, ISNUMBER($N44))</formula>
    </cfRule>
    <cfRule type="expression" dxfId="3966" priority="266">
      <formula>AND($N44 = 0 * ISNUMBER($N44))</formula>
    </cfRule>
    <cfRule type="expression" dxfId="3965" priority="267">
      <formula>AND($N44 &lt; 0, ISNUMBER($N44))</formula>
    </cfRule>
  </conditionalFormatting>
  <conditionalFormatting sqref="A44:F63">
    <cfRule type="expression" dxfId="3964" priority="274">
      <formula>AND($E44 &gt; 0, ISNUMBER($E44))</formula>
    </cfRule>
    <cfRule type="expression" dxfId="3963" priority="275">
      <formula>AND($E44 = 0 * ISNUMBER($E44))</formula>
    </cfRule>
    <cfRule type="expression" dxfId="3962" priority="276">
      <formula>AND($E44 &lt; 0, ISNUMBER($E44))</formula>
    </cfRule>
  </conditionalFormatting>
  <conditionalFormatting sqref="A44:C63 G44:I63">
    <cfRule type="expression" dxfId="3961" priority="271">
      <formula>AND($H44 &gt; 0, ISNUMBER($H44))</formula>
    </cfRule>
    <cfRule type="expression" dxfId="3960" priority="272">
      <formula>AND($H44 = 0 * ISNUMBER($H44))</formula>
    </cfRule>
    <cfRule type="expression" dxfId="3959" priority="273">
      <formula>AND($H44 &lt; 0, ISNUMBER($H44))</formula>
    </cfRule>
  </conditionalFormatting>
  <conditionalFormatting sqref="A44:C63 J44:L63">
    <cfRule type="expression" dxfId="3958" priority="268">
      <formula>AND($K44 &gt; 0, ISNUMBER($K44))</formula>
    </cfRule>
    <cfRule type="expression" dxfId="3957" priority="269">
      <formula>AND($K44 = 0 * ISNUMBER($K44))</formula>
    </cfRule>
    <cfRule type="expression" dxfId="3956" priority="270">
      <formula>AND($K44 &lt; 0, ISNUMBER($K44))</formula>
    </cfRule>
  </conditionalFormatting>
  <conditionalFormatting sqref="D42:F43 E64:F64">
    <cfRule type="expression" dxfId="3955" priority="262">
      <formula>$E$64 &gt; 0</formula>
    </cfRule>
    <cfRule type="expression" dxfId="3954" priority="263">
      <formula>$E$64 = 0</formula>
    </cfRule>
    <cfRule type="expression" dxfId="3953" priority="264">
      <formula>$E$64 &lt; 0</formula>
    </cfRule>
  </conditionalFormatting>
  <conditionalFormatting sqref="G42:I43 H64:I64">
    <cfRule type="expression" dxfId="3952" priority="259">
      <formula>$H$64 &gt; 0</formula>
    </cfRule>
    <cfRule type="expression" dxfId="3951" priority="260">
      <formula>$H$64 = 0</formula>
    </cfRule>
    <cfRule type="expression" dxfId="3950" priority="261">
      <formula>$H$64 &lt; 0</formula>
    </cfRule>
  </conditionalFormatting>
  <conditionalFormatting sqref="J42:L43 K64:L64">
    <cfRule type="expression" dxfId="3949" priority="256">
      <formula>$K$64 &gt; 0</formula>
    </cfRule>
    <cfRule type="expression" dxfId="3948" priority="257">
      <formula>$K$64 = 0</formula>
    </cfRule>
    <cfRule type="expression" dxfId="3947" priority="258">
      <formula>$K$64 &lt; 0</formula>
    </cfRule>
  </conditionalFormatting>
  <conditionalFormatting sqref="M42:O43 N64:O64">
    <cfRule type="expression" dxfId="3946" priority="253">
      <formula>$N$64 &gt; 0</formula>
    </cfRule>
    <cfRule type="expression" dxfId="3945" priority="254">
      <formula>$N$64 = 0</formula>
    </cfRule>
    <cfRule type="expression" dxfId="3944" priority="255">
      <formula>$N$64 &lt; 0</formula>
    </cfRule>
  </conditionalFormatting>
  <conditionalFormatting sqref="A71:C90 M71:O90">
    <cfRule type="expression" dxfId="3943" priority="109">
      <formula>AND($N71 &gt; 0, ISNUMBER($N71))</formula>
    </cfRule>
    <cfRule type="expression" dxfId="3942" priority="110">
      <formula>AND($N71 = 0 * ISNUMBER($N71))</formula>
    </cfRule>
    <cfRule type="expression" dxfId="3941" priority="111">
      <formula>AND($N71 &lt; 0, ISNUMBER($N71))</formula>
    </cfRule>
  </conditionalFormatting>
  <conditionalFormatting sqref="A71:F90">
    <cfRule type="expression" dxfId="3940" priority="118">
      <formula>AND($E71 &gt; 0, ISNUMBER($E71))</formula>
    </cfRule>
    <cfRule type="expression" dxfId="3939" priority="119">
      <formula>AND($E71 = 0 * ISNUMBER($E71))</formula>
    </cfRule>
    <cfRule type="expression" dxfId="3938" priority="120">
      <formula>AND($E71 &lt; 0, ISNUMBER($E71))</formula>
    </cfRule>
  </conditionalFormatting>
  <conditionalFormatting sqref="A71:C90 G71:I90">
    <cfRule type="expression" dxfId="3937" priority="115">
      <formula>AND($H71 &gt; 0, ISNUMBER($H71))</formula>
    </cfRule>
    <cfRule type="expression" dxfId="3936" priority="116">
      <formula>AND($H71 = 0 * ISNUMBER($H71))</formula>
    </cfRule>
    <cfRule type="expression" dxfId="3935" priority="117">
      <formula>AND($H71 &lt; 0, ISNUMBER($H71))</formula>
    </cfRule>
  </conditionalFormatting>
  <conditionalFormatting sqref="A71:C90 J71:L90">
    <cfRule type="expression" dxfId="3934" priority="112">
      <formula>AND($K71 &gt; 0, ISNUMBER($K71))</formula>
    </cfRule>
    <cfRule type="expression" dxfId="3933" priority="113">
      <formula>AND($K71 = 0 * ISNUMBER($K71))</formula>
    </cfRule>
    <cfRule type="expression" dxfId="3932" priority="114">
      <formula>AND($K71 &lt; 0, ISNUMBER($K71))</formula>
    </cfRule>
  </conditionalFormatting>
  <conditionalFormatting sqref="D69:F70 E91:F91">
    <cfRule type="expression" dxfId="3931" priority="106">
      <formula>$E$91 &gt; 0</formula>
    </cfRule>
    <cfRule type="expression" dxfId="3930" priority="107">
      <formula>$E$91 = 0</formula>
    </cfRule>
    <cfRule type="expression" dxfId="3929" priority="108">
      <formula>$E$91 &lt; 0</formula>
    </cfRule>
  </conditionalFormatting>
  <conditionalFormatting sqref="G69:I70 H91:I91">
    <cfRule type="expression" dxfId="3928" priority="103">
      <formula>$H$91 &gt; 0</formula>
    </cfRule>
    <cfRule type="expression" dxfId="3927" priority="104">
      <formula>$H$91 = 0</formula>
    </cfRule>
    <cfRule type="expression" dxfId="3926" priority="105">
      <formula>$H$91 &lt; 0</formula>
    </cfRule>
  </conditionalFormatting>
  <conditionalFormatting sqref="J69:L70 K91:L91">
    <cfRule type="expression" dxfId="3925" priority="100">
      <formula>$K$91 &gt; 0</formula>
    </cfRule>
    <cfRule type="expression" dxfId="3924" priority="101">
      <formula>$K$91 = 0</formula>
    </cfRule>
    <cfRule type="expression" dxfId="3923" priority="102">
      <formula>$K$91 &lt; 0</formula>
    </cfRule>
  </conditionalFormatting>
  <conditionalFormatting sqref="M69:O70 N91:O91">
    <cfRule type="expression" dxfId="3922" priority="97">
      <formula>$N$91 &gt; 0</formula>
    </cfRule>
    <cfRule type="expression" dxfId="3921" priority="98">
      <formula>$N$91 = 0</formula>
    </cfRule>
    <cfRule type="expression" dxfId="3920" priority="99">
      <formula>$N$91 &lt; 0</formula>
    </cfRule>
  </conditionalFormatting>
  <conditionalFormatting sqref="A98:C117 M98:O117">
    <cfRule type="expression" dxfId="3919" priority="85">
      <formula>AND($N98 &gt; 0, ISNUMBER($N98))</formula>
    </cfRule>
    <cfRule type="expression" dxfId="3918" priority="86">
      <formula>AND($N98 = 0 * ISNUMBER($N98))</formula>
    </cfRule>
    <cfRule type="expression" dxfId="3917" priority="87">
      <formula>AND($N98 &lt; 0, ISNUMBER($N98))</formula>
    </cfRule>
  </conditionalFormatting>
  <conditionalFormatting sqref="A98:F117">
    <cfRule type="expression" dxfId="3916" priority="94">
      <formula>AND($E98 &gt; 0, ISNUMBER($E98))</formula>
    </cfRule>
    <cfRule type="expression" dxfId="3915" priority="95">
      <formula>AND($E98 = 0 * ISNUMBER($E98))</formula>
    </cfRule>
    <cfRule type="expression" dxfId="3914" priority="96">
      <formula>AND($E98 &lt; 0, ISNUMBER($E98))</formula>
    </cfRule>
  </conditionalFormatting>
  <conditionalFormatting sqref="A98:C117 G98:I117">
    <cfRule type="expression" dxfId="3913" priority="91">
      <formula>AND($H98 &gt; 0, ISNUMBER($H98))</formula>
    </cfRule>
    <cfRule type="expression" dxfId="3912" priority="92">
      <formula>AND($H98 = 0 * ISNUMBER($H98))</formula>
    </cfRule>
    <cfRule type="expression" dxfId="3911" priority="93">
      <formula>AND($H98 &lt; 0, ISNUMBER($H98))</formula>
    </cfRule>
  </conditionalFormatting>
  <conditionalFormatting sqref="A98:C117 J98:L117">
    <cfRule type="expression" dxfId="3910" priority="88">
      <formula>AND($K98 &gt; 0, ISNUMBER($K98))</formula>
    </cfRule>
    <cfRule type="expression" dxfId="3909" priority="89">
      <formula>AND($K98 = 0 * ISNUMBER($K98))</formula>
    </cfRule>
    <cfRule type="expression" dxfId="3908" priority="90">
      <formula>AND($K98 &lt; 0, ISNUMBER($K98))</formula>
    </cfRule>
  </conditionalFormatting>
  <conditionalFormatting sqref="D96:F97 E118:F118">
    <cfRule type="expression" dxfId="3907" priority="82">
      <formula>$E$118 &gt; 0</formula>
    </cfRule>
    <cfRule type="expression" dxfId="3906" priority="83">
      <formula>$E$118 = 0</formula>
    </cfRule>
    <cfRule type="expression" dxfId="3905" priority="84">
      <formula>$E$118 &lt; 0</formula>
    </cfRule>
  </conditionalFormatting>
  <conditionalFormatting sqref="G96:I97 H118:I118">
    <cfRule type="expression" dxfId="3904" priority="79">
      <formula>$H$118 &gt; 0</formula>
    </cfRule>
    <cfRule type="expression" dxfId="3903" priority="80">
      <formula>$H$118 = 0</formula>
    </cfRule>
    <cfRule type="expression" dxfId="3902" priority="81">
      <formula>$H$118 &lt; 0</formula>
    </cfRule>
  </conditionalFormatting>
  <conditionalFormatting sqref="J96:L97 K118:L118">
    <cfRule type="expression" dxfId="3901" priority="76">
      <formula>$K$118 &gt; 0</formula>
    </cfRule>
    <cfRule type="expression" dxfId="3900" priority="77">
      <formula>$K$118 = 0</formula>
    </cfRule>
    <cfRule type="expression" dxfId="3899" priority="78">
      <formula>$K$118 &lt; 0</formula>
    </cfRule>
  </conditionalFormatting>
  <conditionalFormatting sqref="M96:O97 N118:O118">
    <cfRule type="expression" dxfId="3898" priority="73">
      <formula>$N$118 &gt; 0</formula>
    </cfRule>
    <cfRule type="expression" dxfId="3897" priority="74">
      <formula>$N$118 = 0</formula>
    </cfRule>
    <cfRule type="expression" dxfId="3896" priority="75">
      <formula>$N$118 &lt; 0</formula>
    </cfRule>
  </conditionalFormatting>
  <conditionalFormatting sqref="A125:C144 M125:O144">
    <cfRule type="expression" dxfId="3895" priority="61">
      <formula>AND($N125 &gt; 0, ISNUMBER($N125))</formula>
    </cfRule>
    <cfRule type="expression" dxfId="3894" priority="62">
      <formula>AND($N125 = 0 * ISNUMBER($N125))</formula>
    </cfRule>
    <cfRule type="expression" dxfId="3893" priority="63">
      <formula>AND($N125 &lt; 0, ISNUMBER($N125))</formula>
    </cfRule>
  </conditionalFormatting>
  <conditionalFormatting sqref="A125:F144">
    <cfRule type="expression" dxfId="3892" priority="70">
      <formula>AND($E125 &gt; 0, ISNUMBER($E125))</formula>
    </cfRule>
    <cfRule type="expression" dxfId="3891" priority="71">
      <formula>AND($E125 = 0 * ISNUMBER($E125))</formula>
    </cfRule>
    <cfRule type="expression" dxfId="3890" priority="72">
      <formula>AND($E125 &lt; 0, ISNUMBER($E125))</formula>
    </cfRule>
  </conditionalFormatting>
  <conditionalFormatting sqref="A125:C144 G125:I144">
    <cfRule type="expression" dxfId="3889" priority="67">
      <formula>AND($H125 &gt; 0, ISNUMBER($H125))</formula>
    </cfRule>
    <cfRule type="expression" dxfId="3888" priority="68">
      <formula>AND($H125 = 0 * ISNUMBER($H125))</formula>
    </cfRule>
    <cfRule type="expression" dxfId="3887" priority="69">
      <formula>AND($H125 &lt; 0, ISNUMBER($H125))</formula>
    </cfRule>
  </conditionalFormatting>
  <conditionalFormatting sqref="A125:C144 J125:L144">
    <cfRule type="expression" dxfId="3886" priority="64">
      <formula>AND($K125 &gt; 0, ISNUMBER($K125))</formula>
    </cfRule>
    <cfRule type="expression" dxfId="3885" priority="65">
      <formula>AND($K125 = 0 * ISNUMBER($K125))</formula>
    </cfRule>
    <cfRule type="expression" dxfId="3884" priority="66">
      <formula>AND($K125 &lt; 0, ISNUMBER($K125))</formula>
    </cfRule>
  </conditionalFormatting>
  <conditionalFormatting sqref="D123:F124 E145:F145">
    <cfRule type="expression" dxfId="3883" priority="58">
      <formula>$E$145 &gt; 0</formula>
    </cfRule>
    <cfRule type="expression" dxfId="3882" priority="59">
      <formula>$E$145 = 0</formula>
    </cfRule>
    <cfRule type="expression" dxfId="3881" priority="60">
      <formula>$E$145 &lt; 0</formula>
    </cfRule>
  </conditionalFormatting>
  <conditionalFormatting sqref="G123:I124 H145:I145">
    <cfRule type="expression" dxfId="3880" priority="55">
      <formula>$H$145 &gt; 0</formula>
    </cfRule>
    <cfRule type="expression" dxfId="3879" priority="56">
      <formula>$H$145 = 0</formula>
    </cfRule>
    <cfRule type="expression" dxfId="3878" priority="57">
      <formula>$H$145 &lt; 0</formula>
    </cfRule>
  </conditionalFormatting>
  <conditionalFormatting sqref="J123:L124 K145:L145">
    <cfRule type="expression" dxfId="3877" priority="52">
      <formula>$K$145 &gt; 0</formula>
    </cfRule>
    <cfRule type="expression" dxfId="3876" priority="53">
      <formula>$K$145 = 0</formula>
    </cfRule>
    <cfRule type="expression" dxfId="3875" priority="54">
      <formula>$K$145 &lt; 0</formula>
    </cfRule>
  </conditionalFormatting>
  <conditionalFormatting sqref="M123:O124 N145:O145">
    <cfRule type="expression" dxfId="3874" priority="49">
      <formula>$N$145 &gt; 0</formula>
    </cfRule>
    <cfRule type="expression" dxfId="3873" priority="50">
      <formula>$N$145 = 0</formula>
    </cfRule>
    <cfRule type="expression" dxfId="3872" priority="51">
      <formula>$N$145 &lt; 0</formula>
    </cfRule>
  </conditionalFormatting>
  <conditionalFormatting sqref="A152:C171 M152:O171">
    <cfRule type="expression" dxfId="3871" priority="37">
      <formula>AND($N152 &gt; 0, ISNUMBER($N152))</formula>
    </cfRule>
    <cfRule type="expression" dxfId="3870" priority="38">
      <formula>AND($N152 = 0 * ISNUMBER($N152))</formula>
    </cfRule>
    <cfRule type="expression" dxfId="3869" priority="39">
      <formula>AND($N152 &lt; 0, ISNUMBER($N152))</formula>
    </cfRule>
  </conditionalFormatting>
  <conditionalFormatting sqref="A152:F171">
    <cfRule type="expression" dxfId="3868" priority="46">
      <formula>AND($E152 &gt; 0, ISNUMBER($E152))</formula>
    </cfRule>
    <cfRule type="expression" dxfId="3867" priority="47">
      <formula>AND($E152 = 0 * ISNUMBER($E152))</formula>
    </cfRule>
    <cfRule type="expression" dxfId="3866" priority="48">
      <formula>AND($E152 &lt; 0, ISNUMBER($E152))</formula>
    </cfRule>
  </conditionalFormatting>
  <conditionalFormatting sqref="A152:C171 G152:I171">
    <cfRule type="expression" dxfId="3865" priority="43">
      <formula>AND($H152 &gt; 0, ISNUMBER($H152))</formula>
    </cfRule>
    <cfRule type="expression" dxfId="3864" priority="44">
      <formula>AND($H152 = 0 * ISNUMBER($H152))</formula>
    </cfRule>
    <cfRule type="expression" dxfId="3863" priority="45">
      <formula>AND($H152 &lt; 0, ISNUMBER($H152))</formula>
    </cfRule>
  </conditionalFormatting>
  <conditionalFormatting sqref="A152:C171 J152:L171">
    <cfRule type="expression" dxfId="3862" priority="40">
      <formula>AND($K152 &gt; 0, ISNUMBER($K152))</formula>
    </cfRule>
    <cfRule type="expression" dxfId="3861" priority="41">
      <formula>AND($K152 = 0 * ISNUMBER($K152))</formula>
    </cfRule>
    <cfRule type="expression" dxfId="3860" priority="42">
      <formula>AND($K152 &lt; 0, ISNUMBER($K152))</formula>
    </cfRule>
  </conditionalFormatting>
  <conditionalFormatting sqref="D150:F151 E172:F172">
    <cfRule type="expression" dxfId="3859" priority="34">
      <formula>$E$172 &gt; 0</formula>
    </cfRule>
    <cfRule type="expression" dxfId="3858" priority="35">
      <formula>$E$172 = 0</formula>
    </cfRule>
    <cfRule type="expression" dxfId="3857" priority="36">
      <formula>$E$172 &lt; 0</formula>
    </cfRule>
  </conditionalFormatting>
  <conditionalFormatting sqref="G150:I151 H172:I172">
    <cfRule type="expression" dxfId="3856" priority="31">
      <formula>$H$172 &gt; 0</formula>
    </cfRule>
    <cfRule type="expression" dxfId="3855" priority="32">
      <formula>$H$172 = 0</formula>
    </cfRule>
    <cfRule type="expression" dxfId="3854" priority="33">
      <formula>$H$172 &lt; 0</formula>
    </cfRule>
  </conditionalFormatting>
  <conditionalFormatting sqref="J150:L151 K172:L172">
    <cfRule type="expression" dxfId="3853" priority="28">
      <formula>$K$172 &gt; 0</formula>
    </cfRule>
    <cfRule type="expression" dxfId="3852" priority="29">
      <formula>$K$172 = 0</formula>
    </cfRule>
    <cfRule type="expression" dxfId="3851" priority="30">
      <formula>$K$172 &lt; 0</formula>
    </cfRule>
  </conditionalFormatting>
  <conditionalFormatting sqref="M150:O151 N172:O172">
    <cfRule type="expression" dxfId="3850" priority="25">
      <formula>$N$172 &gt; 0</formula>
    </cfRule>
    <cfRule type="expression" dxfId="3849" priority="26">
      <formula>$N$172 = 0</formula>
    </cfRule>
    <cfRule type="expression" dxfId="3848" priority="27">
      <formula>$N$172 &lt; 0</formula>
    </cfRule>
  </conditionalFormatting>
  <conditionalFormatting sqref="A179:C198 M179:O198">
    <cfRule type="expression" dxfId="3847" priority="13">
      <formula>AND($N179 &gt; 0, ISNUMBER($N179))</formula>
    </cfRule>
    <cfRule type="expression" dxfId="3846" priority="14">
      <formula>AND($N179 = 0 * ISNUMBER($N179))</formula>
    </cfRule>
    <cfRule type="expression" dxfId="3845" priority="15">
      <formula>AND($N179 &lt; 0, ISNUMBER($N179))</formula>
    </cfRule>
  </conditionalFormatting>
  <conditionalFormatting sqref="A179:F198">
    <cfRule type="expression" dxfId="3844" priority="22">
      <formula>AND($E179 &gt; 0, ISNUMBER($E179))</formula>
    </cfRule>
    <cfRule type="expression" dxfId="3843" priority="23">
      <formula>AND($E179 = 0 * ISNUMBER($E179))</formula>
    </cfRule>
    <cfRule type="expression" dxfId="3842" priority="24">
      <formula>AND($E179 &lt; 0, ISNUMBER($E179))</formula>
    </cfRule>
  </conditionalFormatting>
  <conditionalFormatting sqref="A179:C198 G179:I198">
    <cfRule type="expression" dxfId="3841" priority="19">
      <formula>AND($H179 &gt; 0, ISNUMBER($H179))</formula>
    </cfRule>
    <cfRule type="expression" dxfId="3840" priority="20">
      <formula>AND($H179 = 0 * ISNUMBER($H179))</formula>
    </cfRule>
    <cfRule type="expression" dxfId="3839" priority="21">
      <formula>AND($H179 &lt; 0, ISNUMBER($H179))</formula>
    </cfRule>
  </conditionalFormatting>
  <conditionalFormatting sqref="A179:C198 J179:L198">
    <cfRule type="expression" dxfId="3838" priority="16">
      <formula>AND($K179 &gt; 0, ISNUMBER($K179))</formula>
    </cfRule>
    <cfRule type="expression" dxfId="3837" priority="17">
      <formula>AND($K179 = 0 * ISNUMBER($K179))</formula>
    </cfRule>
    <cfRule type="expression" dxfId="3836" priority="18">
      <formula>AND($K179 &lt; 0, ISNUMBER($K179))</formula>
    </cfRule>
  </conditionalFormatting>
  <conditionalFormatting sqref="D177:F178 E199:F199">
    <cfRule type="expression" dxfId="3835" priority="10">
      <formula>$E$199 &gt; 0</formula>
    </cfRule>
    <cfRule type="expression" dxfId="3834" priority="11">
      <formula>$E$199 = 0</formula>
    </cfRule>
    <cfRule type="expression" dxfId="3833" priority="12">
      <formula>$E$199 &lt; 0</formula>
    </cfRule>
  </conditionalFormatting>
  <conditionalFormatting sqref="G177:I178 H199:I199">
    <cfRule type="expression" dxfId="3832" priority="7">
      <formula>$H$199 &gt; 0</formula>
    </cfRule>
    <cfRule type="expression" dxfId="3831" priority="8">
      <formula>$H$199 = 0</formula>
    </cfRule>
    <cfRule type="expression" dxfId="3830" priority="9">
      <formula>$H$199 &lt; 0</formula>
    </cfRule>
  </conditionalFormatting>
  <conditionalFormatting sqref="J177:L178 K199:L199">
    <cfRule type="expression" dxfId="3829" priority="4">
      <formula>$K$199 &gt; 0</formula>
    </cfRule>
    <cfRule type="expression" dxfId="3828" priority="5">
      <formula>$K$199 = 0</formula>
    </cfRule>
    <cfRule type="expression" dxfId="3827" priority="6">
      <formula>$K$199 &lt; 0</formula>
    </cfRule>
  </conditionalFormatting>
  <conditionalFormatting sqref="M177:O178 N199:O199">
    <cfRule type="expression" dxfId="3826" priority="1">
      <formula>$N$199 &gt; 0</formula>
    </cfRule>
    <cfRule type="expression" dxfId="3825" priority="2">
      <formula>$N$199 = 0</formula>
    </cfRule>
    <cfRule type="expression" dxfId="38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235</v>
      </c>
      <c r="B2" s="11" t="s">
        <v>236</v>
      </c>
      <c r="C2" s="95">
        <v>86.8</v>
      </c>
      <c r="D2" s="92">
        <v>0.180952381</v>
      </c>
      <c r="E2" s="93">
        <v>1336322855.3713338</v>
      </c>
      <c r="F2" s="35"/>
      <c r="G2" s="54"/>
      <c r="H2" s="35"/>
      <c r="I2" s="35"/>
    </row>
    <row r="3" spans="1:18" ht="17.25" thickBot="1">
      <c r="A3" s="40" t="s">
        <v>162</v>
      </c>
      <c r="B3" s="11" t="s">
        <v>163</v>
      </c>
      <c r="C3" s="95">
        <v>19920</v>
      </c>
      <c r="D3" s="92">
        <v>5.7886351599999997E-2</v>
      </c>
      <c r="E3" s="93">
        <v>1298130.4306131899</v>
      </c>
      <c r="F3" s="35"/>
      <c r="G3" s="306" t="s">
        <v>285</v>
      </c>
      <c r="H3" s="318" t="s">
        <v>363</v>
      </c>
      <c r="I3" s="318"/>
      <c r="K3" s="262" t="s">
        <v>34</v>
      </c>
      <c r="L3" s="263"/>
      <c r="M3" s="263"/>
      <c r="N3" s="264"/>
      <c r="O3" s="262" t="s">
        <v>287</v>
      </c>
      <c r="P3" s="263"/>
      <c r="Q3" s="263"/>
      <c r="R3" s="264"/>
    </row>
    <row r="4" spans="1:18" ht="17.25" thickBot="1">
      <c r="A4" s="40" t="s">
        <v>230</v>
      </c>
      <c r="B4" s="11" t="s">
        <v>231</v>
      </c>
      <c r="C4" s="95">
        <v>293</v>
      </c>
      <c r="D4" s="92">
        <v>3.5335689000000003E-2</v>
      </c>
      <c r="E4" s="93">
        <v>304053443.97525799</v>
      </c>
      <c r="F4" s="35"/>
      <c r="G4" s="307"/>
      <c r="H4" s="319"/>
      <c r="I4" s="319"/>
      <c r="K4" s="299" t="s">
        <v>55</v>
      </c>
      <c r="L4" s="315">
        <f ca="1">NOW()</f>
        <v>44367.897969097219</v>
      </c>
      <c r="M4" s="316"/>
      <c r="N4" s="317"/>
      <c r="O4" s="314" t="s">
        <v>55</v>
      </c>
      <c r="P4" s="315">
        <f ca="1">NOW()</f>
        <v>44367.897969097219</v>
      </c>
      <c r="Q4" s="316"/>
      <c r="R4" s="317"/>
    </row>
    <row r="5" spans="1:18" ht="17.25" thickBot="1">
      <c r="A5" s="40" t="s">
        <v>213</v>
      </c>
      <c r="B5" s="11" t="s">
        <v>214</v>
      </c>
      <c r="C5" s="95">
        <v>229</v>
      </c>
      <c r="D5" s="92">
        <v>2.69058296E-2</v>
      </c>
      <c r="E5" s="93">
        <v>286652272.06019866</v>
      </c>
      <c r="F5" s="35"/>
      <c r="K5" s="307"/>
      <c r="L5" s="36" t="s">
        <v>58</v>
      </c>
      <c r="M5" s="73" t="s">
        <v>59</v>
      </c>
      <c r="N5" s="69" t="s">
        <v>289</v>
      </c>
      <c r="O5" s="307"/>
      <c r="P5" s="36" t="s">
        <v>58</v>
      </c>
      <c r="Q5" s="73" t="s">
        <v>59</v>
      </c>
      <c r="R5" s="69" t="s">
        <v>289</v>
      </c>
    </row>
    <row r="6" spans="1:18" ht="17.25" thickBot="1">
      <c r="A6" s="40" t="s">
        <v>135</v>
      </c>
      <c r="B6" s="11" t="s">
        <v>136</v>
      </c>
      <c r="C6" s="95">
        <v>118</v>
      </c>
      <c r="D6" s="92">
        <v>0</v>
      </c>
      <c r="E6" s="93">
        <v>44252128.512452759</v>
      </c>
      <c r="F6" s="35"/>
      <c r="G6" s="262" t="s">
        <v>52</v>
      </c>
      <c r="H6" s="263"/>
      <c r="I6" s="264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모스코인</v>
      </c>
      <c r="P6" s="38">
        <f t="shared" ref="P6:P25" si="2">_xlfn.IFNA(VLOOKUP(O6, $B$2:$D$200, 2, FALSE), "")</f>
        <v>86.8</v>
      </c>
      <c r="Q6" s="76">
        <f t="shared" ref="Q6:Q25" si="3">_xlfn.IFNA(VLOOKUP(O6, $B$2:$D$200, 3, FALSE), "")</f>
        <v>0.180952381</v>
      </c>
      <c r="R6" s="85">
        <f>_xlfn.IFNA(VLOOKUP(O6, $B$2:$E$200, 4, FALSE), "")</f>
        <v>1336322855.3713338</v>
      </c>
    </row>
    <row r="7" spans="1:18">
      <c r="A7" s="40" t="s">
        <v>87</v>
      </c>
      <c r="B7" s="11" t="s">
        <v>88</v>
      </c>
      <c r="C7" s="95">
        <v>328</v>
      </c>
      <c r="D7" s="92">
        <v>-2.3809523799999999E-2</v>
      </c>
      <c r="E7" s="93">
        <v>138489696.52639189</v>
      </c>
      <c r="F7" s="35"/>
      <c r="G7" s="290" t="s">
        <v>36</v>
      </c>
      <c r="H7" s="291"/>
      <c r="I7" s="29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웨이브</v>
      </c>
      <c r="P7" s="39">
        <f t="shared" si="2"/>
        <v>19920</v>
      </c>
      <c r="Q7" s="77">
        <f t="shared" si="3"/>
        <v>5.7886351599999997E-2</v>
      </c>
      <c r="R7" s="86">
        <f t="shared" ref="R7:R25" si="5">_xlfn.IFNA(VLOOKUP(O7, $B$2:$E$200, 4, FALSE), "")</f>
        <v>1298130.4306131899</v>
      </c>
    </row>
    <row r="8" spans="1:18" ht="17.25" thickBot="1">
      <c r="A8" s="40" t="s">
        <v>207</v>
      </c>
      <c r="B8" s="11" t="s">
        <v>208</v>
      </c>
      <c r="C8" s="95">
        <v>75.5</v>
      </c>
      <c r="D8" s="92">
        <v>-2.4547803600000001E-2</v>
      </c>
      <c r="E8" s="93">
        <v>443346130.45476234</v>
      </c>
      <c r="F8" s="35"/>
      <c r="G8" s="283"/>
      <c r="H8" s="284"/>
      <c r="I8" s="285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디마켓</v>
      </c>
      <c r="P8" s="39">
        <f t="shared" si="2"/>
        <v>293</v>
      </c>
      <c r="Q8" s="77">
        <f t="shared" si="3"/>
        <v>3.5335689000000003E-2</v>
      </c>
      <c r="R8" s="86">
        <f t="shared" si="5"/>
        <v>304053443.97525799</v>
      </c>
    </row>
    <row r="9" spans="1:18" ht="17.25" thickBot="1">
      <c r="A9" s="40" t="s">
        <v>83</v>
      </c>
      <c r="B9" s="11" t="s">
        <v>84</v>
      </c>
      <c r="C9" s="95">
        <v>1595</v>
      </c>
      <c r="D9" s="92">
        <v>-3.03951368E-2</v>
      </c>
      <c r="E9" s="93">
        <v>25238395.846355122</v>
      </c>
      <c r="F9" s="35"/>
      <c r="G9" s="9" t="s">
        <v>38</v>
      </c>
      <c r="H9" s="263" t="s">
        <v>37</v>
      </c>
      <c r="I9" s="264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폴리매쓰</v>
      </c>
      <c r="P9" s="39">
        <f t="shared" si="2"/>
        <v>229</v>
      </c>
      <c r="Q9" s="77">
        <f t="shared" si="3"/>
        <v>2.69058296E-2</v>
      </c>
      <c r="R9" s="86">
        <f t="shared" si="5"/>
        <v>286652272.06019866</v>
      </c>
    </row>
    <row r="10" spans="1:18">
      <c r="A10" s="40" t="s">
        <v>149</v>
      </c>
      <c r="B10" s="11" t="s">
        <v>150</v>
      </c>
      <c r="C10" s="95">
        <v>2375</v>
      </c>
      <c r="D10" s="92">
        <v>-3.2586558000000002E-2</v>
      </c>
      <c r="E10" s="93">
        <v>3918040.7952718702</v>
      </c>
      <c r="F10" s="35"/>
      <c r="G10" s="308">
        <f>_xlfn.IFNA(VLOOKUP(G7, $B$2:$D$200, 3, FALSE), "-")</f>
        <v>-3.68275993E-2</v>
      </c>
      <c r="H10" s="310">
        <f>_xlfn.IFNA(VLOOKUP(G7, $B$2:$D$200, 2, FALSE), "-")</f>
        <v>40538000</v>
      </c>
      <c r="I10" s="31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질리카</v>
      </c>
      <c r="P10" s="39">
        <f t="shared" si="2"/>
        <v>118</v>
      </c>
      <c r="Q10" s="77">
        <f t="shared" si="3"/>
        <v>0</v>
      </c>
      <c r="R10" s="90">
        <f t="shared" si="5"/>
        <v>44252128.512452759</v>
      </c>
    </row>
    <row r="11" spans="1:18" ht="17.25" thickBot="1">
      <c r="A11" s="40" t="s">
        <v>75</v>
      </c>
      <c r="B11" s="11" t="s">
        <v>76</v>
      </c>
      <c r="C11" s="95">
        <v>23270</v>
      </c>
      <c r="D11" s="92">
        <v>-3.40390203E-2</v>
      </c>
      <c r="E11" s="93">
        <v>695906.49807215005</v>
      </c>
      <c r="F11" s="35"/>
      <c r="G11" s="309"/>
      <c r="H11" s="312"/>
      <c r="I11" s="31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칠리즈</v>
      </c>
      <c r="P11" s="45">
        <f t="shared" si="2"/>
        <v>328</v>
      </c>
      <c r="Q11" s="80">
        <f t="shared" si="3"/>
        <v>-2.3809523799999999E-2</v>
      </c>
      <c r="R11" s="99">
        <f t="shared" si="5"/>
        <v>138489696.52639189</v>
      </c>
    </row>
    <row r="12" spans="1:18" ht="17.25" thickBot="1">
      <c r="A12" s="40" t="s">
        <v>95</v>
      </c>
      <c r="B12" s="11" t="s">
        <v>96</v>
      </c>
      <c r="C12" s="95">
        <v>2485000</v>
      </c>
      <c r="D12" s="92">
        <v>-3.45765346E-2</v>
      </c>
      <c r="E12" s="93">
        <v>92067.951851549995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피르마체인</v>
      </c>
      <c r="P12" s="39">
        <f t="shared" si="2"/>
        <v>75.5</v>
      </c>
      <c r="Q12" s="77">
        <f t="shared" si="3"/>
        <v>-2.4547803600000001E-2</v>
      </c>
      <c r="R12" s="86">
        <f t="shared" si="5"/>
        <v>443346130.45476234</v>
      </c>
    </row>
    <row r="13" spans="1:18" ht="17.25" thickBot="1">
      <c r="A13" s="40" t="s">
        <v>129</v>
      </c>
      <c r="B13" s="11" t="s">
        <v>130</v>
      </c>
      <c r="C13" s="95">
        <v>174600</v>
      </c>
      <c r="D13" s="92">
        <v>-3.6157880199999999E-2</v>
      </c>
      <c r="E13" s="93">
        <v>42591.892271500001</v>
      </c>
      <c r="F13" s="35"/>
      <c r="G13" s="262" t="s">
        <v>70</v>
      </c>
      <c r="H13" s="263"/>
      <c r="I13" s="264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에이다</v>
      </c>
      <c r="P13" s="39">
        <f t="shared" si="2"/>
        <v>1595</v>
      </c>
      <c r="Q13" s="77">
        <f t="shared" si="3"/>
        <v>-3.03951368E-2</v>
      </c>
      <c r="R13" s="86">
        <f t="shared" si="5"/>
        <v>25238395.846355122</v>
      </c>
    </row>
    <row r="14" spans="1:18">
      <c r="A14" s="40" t="s">
        <v>97</v>
      </c>
      <c r="B14" s="11" t="s">
        <v>98</v>
      </c>
      <c r="C14" s="95">
        <v>3465</v>
      </c>
      <c r="D14" s="92">
        <v>-3.6161335199999999E-2</v>
      </c>
      <c r="E14" s="93">
        <v>945735.36649417004</v>
      </c>
      <c r="F14" s="35"/>
      <c r="G14" s="290" t="s">
        <v>36</v>
      </c>
      <c r="H14" s="291"/>
      <c r="I14" s="29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스와이프</v>
      </c>
      <c r="P14" s="39">
        <f t="shared" si="2"/>
        <v>2375</v>
      </c>
      <c r="Q14" s="77">
        <f t="shared" si="3"/>
        <v>-3.2586558000000002E-2</v>
      </c>
      <c r="R14" s="86">
        <f t="shared" si="5"/>
        <v>3918040.7952718702</v>
      </c>
    </row>
    <row r="15" spans="1:18" ht="17.25" thickBot="1">
      <c r="A15" s="40" t="s">
        <v>48</v>
      </c>
      <c r="B15" s="11" t="s">
        <v>49</v>
      </c>
      <c r="C15" s="95">
        <v>40538000</v>
      </c>
      <c r="D15" s="92">
        <v>-3.68275993E-2</v>
      </c>
      <c r="E15" s="93">
        <v>7197.8413694000001</v>
      </c>
      <c r="F15" s="35"/>
      <c r="G15" s="283"/>
      <c r="H15" s="284"/>
      <c r="I15" s="285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체인링크</v>
      </c>
      <c r="P15" s="37">
        <f t="shared" si="2"/>
        <v>23270</v>
      </c>
      <c r="Q15" s="79">
        <f t="shared" si="3"/>
        <v>-3.40390203E-2</v>
      </c>
      <c r="R15" s="87">
        <f t="shared" si="5"/>
        <v>695906.49807215005</v>
      </c>
    </row>
    <row r="16" spans="1:18" ht="17.25" thickBot="1">
      <c r="A16" s="40" t="s">
        <v>164</v>
      </c>
      <c r="B16" s="11" t="s">
        <v>165</v>
      </c>
      <c r="C16" s="95">
        <v>945</v>
      </c>
      <c r="D16" s="92">
        <v>-3.7678207700000001E-2</v>
      </c>
      <c r="E16" s="93">
        <v>1349330.82146891</v>
      </c>
      <c r="F16" s="35"/>
      <c r="G16" s="9" t="s">
        <v>38</v>
      </c>
      <c r="H16" s="263" t="s">
        <v>37</v>
      </c>
      <c r="I16" s="264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이더리움</v>
      </c>
      <c r="P16" s="38">
        <f t="shared" si="2"/>
        <v>2485000</v>
      </c>
      <c r="Q16" s="76">
        <f t="shared" si="3"/>
        <v>-3.45765346E-2</v>
      </c>
      <c r="R16" s="85">
        <f t="shared" si="5"/>
        <v>92067.951851549995</v>
      </c>
    </row>
    <row r="17" spans="1:18">
      <c r="A17" s="40" t="s">
        <v>250</v>
      </c>
      <c r="B17" s="11" t="s">
        <v>251</v>
      </c>
      <c r="C17" s="95">
        <v>125</v>
      </c>
      <c r="D17" s="92">
        <v>-3.8461538500000003E-2</v>
      </c>
      <c r="E17" s="93">
        <v>4990132.2504720204</v>
      </c>
      <c r="F17" s="35"/>
      <c r="G17" s="308">
        <f>_xlfn.IFNA(VLOOKUP(G14, $B$2:$D$200, 3, FALSE), "-")</f>
        <v>-3.68275993E-2</v>
      </c>
      <c r="H17" s="310">
        <f>_xlfn.IFNA(VLOOKUP(G14, $B$2:$D$200, 2, FALSE), "-")</f>
        <v>40538000</v>
      </c>
      <c r="I17" s="31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라이트코인</v>
      </c>
      <c r="P17" s="39">
        <f t="shared" si="2"/>
        <v>174600</v>
      </c>
      <c r="Q17" s="77">
        <f t="shared" si="3"/>
        <v>-3.6157880199999999E-2</v>
      </c>
      <c r="R17" s="86">
        <f t="shared" si="5"/>
        <v>42591.892271500001</v>
      </c>
    </row>
    <row r="18" spans="1:18" ht="17.25" thickBot="1">
      <c r="A18" s="40" t="s">
        <v>264</v>
      </c>
      <c r="B18" s="11" t="s">
        <v>265</v>
      </c>
      <c r="C18" s="95">
        <v>296</v>
      </c>
      <c r="D18" s="92">
        <v>-3.8961039000000003E-2</v>
      </c>
      <c r="E18" s="93">
        <v>4806241.2871168796</v>
      </c>
      <c r="F18" s="35"/>
      <c r="G18" s="309"/>
      <c r="H18" s="312"/>
      <c r="I18" s="31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테조스</v>
      </c>
      <c r="P18" s="39">
        <f t="shared" si="2"/>
        <v>3465</v>
      </c>
      <c r="Q18" s="77">
        <f t="shared" si="3"/>
        <v>-3.6161335199999999E-2</v>
      </c>
      <c r="R18" s="86">
        <f t="shared" si="5"/>
        <v>945735.36649417004</v>
      </c>
    </row>
    <row r="19" spans="1:18" ht="17.25" thickBot="1">
      <c r="A19" s="40" t="s">
        <v>79</v>
      </c>
      <c r="B19" s="11" t="s">
        <v>80</v>
      </c>
      <c r="C19" s="95">
        <v>677</v>
      </c>
      <c r="D19" s="92">
        <v>-4.2432814700000002E-2</v>
      </c>
      <c r="E19" s="93">
        <v>2600153.8175871102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비트코인</v>
      </c>
      <c r="P19" s="39">
        <f t="shared" si="2"/>
        <v>40538000</v>
      </c>
      <c r="Q19" s="77">
        <f t="shared" si="3"/>
        <v>-3.68275993E-2</v>
      </c>
      <c r="R19" s="86">
        <f t="shared" si="5"/>
        <v>7197.8413694000001</v>
      </c>
    </row>
    <row r="20" spans="1:18" ht="17.25" thickBot="1">
      <c r="A20" s="40" t="s">
        <v>228</v>
      </c>
      <c r="B20" s="11" t="s">
        <v>229</v>
      </c>
      <c r="C20" s="95">
        <v>81.400000000000006</v>
      </c>
      <c r="D20" s="92">
        <v>-4.3478260900000003E-2</v>
      </c>
      <c r="E20" s="93">
        <v>443561008.12862182</v>
      </c>
      <c r="F20" s="35"/>
      <c r="G20" s="262" t="s">
        <v>281</v>
      </c>
      <c r="H20" s="263"/>
      <c r="I20" s="264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스토리지</v>
      </c>
      <c r="P20" s="39">
        <f t="shared" si="2"/>
        <v>945</v>
      </c>
      <c r="Q20" s="77">
        <f t="shared" si="3"/>
        <v>-3.7678207700000001E-2</v>
      </c>
      <c r="R20" s="90">
        <f t="shared" si="5"/>
        <v>1349330.82146891</v>
      </c>
    </row>
    <row r="21" spans="1:18">
      <c r="A21" s="40" t="s">
        <v>73</v>
      </c>
      <c r="B21" s="11" t="s">
        <v>74</v>
      </c>
      <c r="C21" s="95">
        <v>13460</v>
      </c>
      <c r="D21" s="92">
        <v>-4.5390070900000003E-2</v>
      </c>
      <c r="E21" s="93">
        <v>130529.25157957</v>
      </c>
      <c r="F21" s="35"/>
      <c r="G21" s="290" t="s">
        <v>36</v>
      </c>
      <c r="H21" s="291"/>
      <c r="I21" s="29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왁스</v>
      </c>
      <c r="P21" s="45">
        <f t="shared" si="2"/>
        <v>125</v>
      </c>
      <c r="Q21" s="80">
        <f t="shared" si="3"/>
        <v>-3.8461538500000003E-2</v>
      </c>
      <c r="R21" s="99">
        <f t="shared" si="5"/>
        <v>4990132.2504720204</v>
      </c>
    </row>
    <row r="22" spans="1:18" ht="17.25" thickBot="1">
      <c r="A22" s="40" t="s">
        <v>77</v>
      </c>
      <c r="B22" s="11" t="s">
        <v>78</v>
      </c>
      <c r="C22" s="95">
        <v>624100</v>
      </c>
      <c r="D22" s="92">
        <v>-4.7175572499999999E-2</v>
      </c>
      <c r="E22" s="93">
        <v>25732.1691326</v>
      </c>
      <c r="F22" s="35"/>
      <c r="G22" s="283"/>
      <c r="H22" s="284"/>
      <c r="I22" s="285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골렘</v>
      </c>
      <c r="P22" s="39">
        <f t="shared" si="2"/>
        <v>296</v>
      </c>
      <c r="Q22" s="77">
        <f t="shared" si="3"/>
        <v>-3.8961039000000003E-2</v>
      </c>
      <c r="R22" s="86">
        <f t="shared" si="5"/>
        <v>4806241.2871168796</v>
      </c>
    </row>
    <row r="23" spans="1:18" ht="17.25" thickBot="1">
      <c r="A23" s="40" t="s">
        <v>50</v>
      </c>
      <c r="B23" s="11" t="s">
        <v>51</v>
      </c>
      <c r="C23" s="95">
        <v>326</v>
      </c>
      <c r="D23" s="92">
        <v>-4.9562682199999999E-2</v>
      </c>
      <c r="E23" s="93">
        <v>46930117.508238651</v>
      </c>
      <c r="F23" s="35"/>
      <c r="G23" s="9" t="s">
        <v>38</v>
      </c>
      <c r="H23" s="263" t="s">
        <v>37</v>
      </c>
      <c r="I23" s="264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베이직어텐션토큰</v>
      </c>
      <c r="P23" s="39">
        <f t="shared" si="2"/>
        <v>677</v>
      </c>
      <c r="Q23" s="77">
        <f t="shared" si="3"/>
        <v>-4.2432814700000002E-2</v>
      </c>
      <c r="R23" s="86">
        <f t="shared" si="5"/>
        <v>2600153.8175871102</v>
      </c>
    </row>
    <row r="24" spans="1:18">
      <c r="A24" s="40" t="s">
        <v>188</v>
      </c>
      <c r="B24" s="11" t="s">
        <v>189</v>
      </c>
      <c r="C24" s="95">
        <v>49660</v>
      </c>
      <c r="D24" s="92">
        <v>-5.0114766599999999E-2</v>
      </c>
      <c r="E24" s="93">
        <v>159319.62611491</v>
      </c>
      <c r="F24" s="35"/>
      <c r="G24" s="308">
        <f>_xlfn.IFNA(VLOOKUP(G21, $B$2:$D$200, 3, FALSE), "-")</f>
        <v>-3.68275993E-2</v>
      </c>
      <c r="H24" s="310">
        <f>_xlfn.IFNA(VLOOKUP(G21, $B$2:$D$200, 2, FALSE), "-")</f>
        <v>40538000</v>
      </c>
      <c r="I24" s="31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센티넬프로토콜</v>
      </c>
      <c r="P24" s="39">
        <f t="shared" si="2"/>
        <v>81.400000000000006</v>
      </c>
      <c r="Q24" s="77">
        <f t="shared" si="3"/>
        <v>-4.3478260900000003E-2</v>
      </c>
      <c r="R24" s="86">
        <f t="shared" si="5"/>
        <v>443561008.12862182</v>
      </c>
    </row>
    <row r="25" spans="1:18" ht="17.25" thickBot="1">
      <c r="A25" s="40" t="s">
        <v>147</v>
      </c>
      <c r="B25" s="11" t="s">
        <v>148</v>
      </c>
      <c r="C25" s="95">
        <v>80.7</v>
      </c>
      <c r="D25" s="92">
        <v>-5.1703877799999999E-2</v>
      </c>
      <c r="E25" s="93">
        <v>23146587.486479022</v>
      </c>
      <c r="F25" s="35"/>
      <c r="G25" s="309"/>
      <c r="H25" s="312"/>
      <c r="I25" s="31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코스모스</v>
      </c>
      <c r="P25" s="37">
        <f t="shared" si="2"/>
        <v>13460</v>
      </c>
      <c r="Q25" s="79">
        <f t="shared" si="3"/>
        <v>-4.5390070900000003E-2</v>
      </c>
      <c r="R25" s="87">
        <f t="shared" si="5"/>
        <v>130529.25157957</v>
      </c>
    </row>
    <row r="26" spans="1:18">
      <c r="A26" s="40" t="s">
        <v>89</v>
      </c>
      <c r="B26" s="11" t="s">
        <v>90</v>
      </c>
      <c r="C26" s="95">
        <v>174450</v>
      </c>
      <c r="D26" s="92">
        <v>-5.1902173900000001E-2</v>
      </c>
      <c r="E26" s="93">
        <v>13508.702715810001</v>
      </c>
      <c r="F26" s="35"/>
    </row>
    <row r="27" spans="1:18" ht="17.25" thickBot="1">
      <c r="A27" s="40" t="s">
        <v>209</v>
      </c>
      <c r="B27" s="11" t="s">
        <v>210</v>
      </c>
      <c r="C27" s="95">
        <v>43.7</v>
      </c>
      <c r="D27" s="92">
        <v>-5.2060737500000002E-2</v>
      </c>
      <c r="E27" s="93">
        <v>397177244.08670646</v>
      </c>
      <c r="F27" s="35"/>
    </row>
    <row r="28" spans="1:18" ht="17.25" thickBot="1">
      <c r="A28" s="40" t="s">
        <v>85</v>
      </c>
      <c r="B28" s="11" t="s">
        <v>86</v>
      </c>
      <c r="C28" s="95">
        <v>5020</v>
      </c>
      <c r="D28" s="92">
        <v>-5.2830188700000003E-2</v>
      </c>
      <c r="E28" s="93">
        <v>7522788.5509661203</v>
      </c>
      <c r="F28" s="35"/>
      <c r="G28" s="262" t="s">
        <v>46</v>
      </c>
      <c r="H28" s="263"/>
      <c r="I28" s="263"/>
      <c r="J28" s="264"/>
      <c r="K28" s="262" t="s">
        <v>44</v>
      </c>
      <c r="L28" s="263"/>
      <c r="M28" s="263"/>
      <c r="N28" s="264"/>
      <c r="O28" s="262" t="s">
        <v>45</v>
      </c>
      <c r="P28" s="263"/>
      <c r="Q28" s="263"/>
      <c r="R28" s="264"/>
    </row>
    <row r="29" spans="1:18" ht="17.25" thickBot="1">
      <c r="A29" s="40" t="s">
        <v>68</v>
      </c>
      <c r="B29" s="11" t="s">
        <v>69</v>
      </c>
      <c r="C29" s="95">
        <v>4190</v>
      </c>
      <c r="D29" s="92">
        <v>-5.4176072200000001E-2</v>
      </c>
      <c r="E29" s="93">
        <v>274993.89077577001</v>
      </c>
      <c r="F29" s="35"/>
      <c r="G29" s="299" t="s">
        <v>55</v>
      </c>
      <c r="H29" s="315">
        <f ca="1">NOW()</f>
        <v>44367.897969097219</v>
      </c>
      <c r="I29" s="316"/>
      <c r="J29" s="317"/>
      <c r="K29" s="314" t="s">
        <v>55</v>
      </c>
      <c r="L29" s="315">
        <f ca="1">NOW()</f>
        <v>44367.897969097219</v>
      </c>
      <c r="M29" s="316"/>
      <c r="N29" s="317"/>
      <c r="O29" s="314" t="s">
        <v>55</v>
      </c>
      <c r="P29" s="315">
        <f ca="1">NOW()</f>
        <v>44367.897969097219</v>
      </c>
      <c r="Q29" s="316"/>
      <c r="R29" s="317"/>
    </row>
    <row r="30" spans="1:18" ht="17.25" thickBot="1">
      <c r="A30" s="40" t="s">
        <v>241</v>
      </c>
      <c r="B30" s="11" t="s">
        <v>242</v>
      </c>
      <c r="C30" s="95">
        <v>208</v>
      </c>
      <c r="D30" s="92">
        <v>-5.45454545E-2</v>
      </c>
      <c r="E30" s="93">
        <v>129388248.60915326</v>
      </c>
      <c r="F30" s="35"/>
      <c r="G30" s="307"/>
      <c r="H30" s="36" t="s">
        <v>58</v>
      </c>
      <c r="I30" s="73" t="s">
        <v>59</v>
      </c>
      <c r="J30" s="69" t="s">
        <v>289</v>
      </c>
      <c r="K30" s="307"/>
      <c r="L30" s="36" t="s">
        <v>58</v>
      </c>
      <c r="M30" s="73" t="s">
        <v>59</v>
      </c>
      <c r="N30" s="69" t="s">
        <v>289</v>
      </c>
      <c r="O30" s="307"/>
      <c r="P30" s="36" t="s">
        <v>58</v>
      </c>
      <c r="Q30" s="73" t="s">
        <v>59</v>
      </c>
      <c r="R30" s="69" t="s">
        <v>289</v>
      </c>
    </row>
    <row r="31" spans="1:18">
      <c r="A31" s="40" t="s">
        <v>119</v>
      </c>
      <c r="B31" s="11" t="s">
        <v>120</v>
      </c>
      <c r="C31" s="95">
        <v>120</v>
      </c>
      <c r="D31" s="92">
        <v>-5.5118110200000001E-2</v>
      </c>
      <c r="E31" s="93">
        <v>10364648.206574989</v>
      </c>
      <c r="F31" s="35"/>
      <c r="G31" s="55" t="str">
        <f ca="1">IFERROR(OFFSET(INDIRECT($H$3 &amp; "!A98"), 0, 0), "")</f>
        <v>디마켓</v>
      </c>
      <c r="H31" s="38">
        <f t="shared" ref="H31:H50" ca="1" si="7">_xlfn.IFNA(VLOOKUP(G31, $B$2:$D$200, 2, FALSE), "")</f>
        <v>293</v>
      </c>
      <c r="I31" s="76">
        <f t="shared" ref="I31:I50" ca="1" si="8">_xlfn.IFNA(VLOOKUP(G31, $B$2:$D$200, 3, FALSE), "")</f>
        <v>3.5335689000000003E-2</v>
      </c>
      <c r="J31" s="85">
        <f ca="1">_xlfn.IFNA(VLOOKUP(G31, $B$2:$E$200, 4, FALSE), "")</f>
        <v>304053443.97525799</v>
      </c>
      <c r="K31" s="55" t="str">
        <f ca="1">IFERROR(OFFSET(INDIRECT($H$3 &amp; "!A44"), 0, 0), "")</f>
        <v>엔도르</v>
      </c>
      <c r="L31" s="38">
        <f t="shared" ref="L31:L50" ca="1" si="9">_xlfn.IFNA(VLOOKUP(K31, $B$2:$D$200, 2, FALSE), "")</f>
        <v>10.6</v>
      </c>
      <c r="M31" s="76">
        <f t="shared" ref="M31:M50" ca="1" si="10">_xlfn.IFNA(VLOOKUP(K31, $B$2:$D$200, 3, FALSE), "")</f>
        <v>-0.13114754100000001</v>
      </c>
      <c r="N31" s="85">
        <f ca="1">_xlfn.IFNA(VLOOKUP(K31, $B$2:$E$200, 4, FALSE), "")</f>
        <v>558984942.74312913</v>
      </c>
      <c r="O31" s="55" t="str">
        <f ca="1">IFERROR(OFFSET(INDIRECT($H$3 &amp; "!A71"), 0, 0), "")</f>
        <v>디마켓</v>
      </c>
      <c r="P31" s="38">
        <f t="shared" ref="P31:P50" ca="1" si="11">_xlfn.IFNA(VLOOKUP(O31, $B$2:$D$200, 2, FALSE), "")</f>
        <v>293</v>
      </c>
      <c r="Q31" s="76">
        <f t="shared" ref="Q31:Q50" ca="1" si="12">_xlfn.IFNA(VLOOKUP(O31, $B$2:$D$200, 3, FALSE), "")</f>
        <v>3.5335689000000003E-2</v>
      </c>
      <c r="R31" s="85">
        <f ca="1">_xlfn.IFNA(VLOOKUP(O31, $B$2:$E$200, 4, FALSE), "")</f>
        <v>304053443.97525799</v>
      </c>
    </row>
    <row r="32" spans="1:18">
      <c r="A32" s="40" t="s">
        <v>143</v>
      </c>
      <c r="B32" s="11" t="s">
        <v>144</v>
      </c>
      <c r="C32" s="95">
        <v>5025</v>
      </c>
      <c r="D32" s="92">
        <v>-5.54511278E-2</v>
      </c>
      <c r="E32" s="93">
        <v>728773.47758716997</v>
      </c>
      <c r="F32" s="35"/>
      <c r="G32" s="56" t="str">
        <f ca="1">IFERROR(OFFSET(INDIRECT($H$3 &amp; "!A98"), 1, 0), "")</f>
        <v>엔도르</v>
      </c>
      <c r="H32" s="39">
        <f t="shared" ca="1" si="7"/>
        <v>10.6</v>
      </c>
      <c r="I32" s="77">
        <f t="shared" ca="1" si="8"/>
        <v>-0.13114754100000001</v>
      </c>
      <c r="J32" s="86">
        <f t="shared" ref="J32:J50" ca="1" si="13">_xlfn.IFNA(VLOOKUP(G32, $B$2:$E$200, 4, FALSE), "")</f>
        <v>558984942.74312913</v>
      </c>
      <c r="K32" s="56" t="str">
        <f ca="1">IFERROR(OFFSET(INDIRECT($H$3 &amp; "!A44"), 1, 0), "")</f>
        <v>픽셀</v>
      </c>
      <c r="L32" s="39">
        <f t="shared" ca="1" si="9"/>
        <v>13.3</v>
      </c>
      <c r="M32" s="77">
        <f t="shared" ca="1" si="10"/>
        <v>-0.13636363639999999</v>
      </c>
      <c r="N32" s="86">
        <f t="shared" ref="N32:N50" ca="1" si="14">_xlfn.IFNA(VLOOKUP(K32, $B$2:$E$200, 4, FALSE), "")</f>
        <v>403592017.74029624</v>
      </c>
      <c r="O32" s="56" t="str">
        <f ca="1">IFERROR(OFFSET(INDIRECT($H$3 &amp; "!A71"), 1, 0), "")</f>
        <v>애드엑스</v>
      </c>
      <c r="P32" s="39">
        <f t="shared" ca="1" si="11"/>
        <v>708</v>
      </c>
      <c r="Q32" s="77">
        <f t="shared" ca="1" si="12"/>
        <v>-0.12700369910000001</v>
      </c>
      <c r="R32" s="86">
        <f t="shared" ref="R32:R50" ca="1" si="15">_xlfn.IFNA(VLOOKUP(O32, $B$2:$E$200, 4, FALSE), "")</f>
        <v>24310421.603971399</v>
      </c>
    </row>
    <row r="33" spans="1:18">
      <c r="A33" s="40" t="s">
        <v>155</v>
      </c>
      <c r="B33" s="11" t="s">
        <v>156</v>
      </c>
      <c r="C33" s="95">
        <v>76.5</v>
      </c>
      <c r="D33" s="92">
        <v>-5.5555555600000001E-2</v>
      </c>
      <c r="E33" s="93">
        <v>90163596.622407153</v>
      </c>
      <c r="F33" s="35"/>
      <c r="G33" s="56" t="str">
        <f ca="1">IFERROR(OFFSET(INDIRECT($H$3 &amp; "!A98"), 2, 0), "")</f>
        <v>애드엑스</v>
      </c>
      <c r="H33" s="39">
        <f t="shared" ca="1" si="7"/>
        <v>708</v>
      </c>
      <c r="I33" s="77">
        <f t="shared" ca="1" si="8"/>
        <v>-0.12700369910000001</v>
      </c>
      <c r="J33" s="86">
        <f t="shared" ca="1" si="13"/>
        <v>24310421.603971399</v>
      </c>
      <c r="K33" s="56" t="str">
        <f ca="1">IFERROR(OFFSET(INDIRECT($H$3 &amp; "!A44"), 2, 0), "")</f>
        <v>아인스타이늄</v>
      </c>
      <c r="L33" s="39">
        <f t="shared" ca="1" si="9"/>
        <v>64.2</v>
      </c>
      <c r="M33" s="77">
        <f t="shared" ca="1" si="10"/>
        <v>-0.11934156379999999</v>
      </c>
      <c r="N33" s="86">
        <f t="shared" ca="1" si="14"/>
        <v>104011237.92083009</v>
      </c>
      <c r="O33" s="56" t="str">
        <f ca="1">IFERROR(OFFSET(INDIRECT($H$3 &amp; "!A71"), 2, 0), "")</f>
        <v>쎄타퓨엘</v>
      </c>
      <c r="P33" s="39">
        <f t="shared" ca="1" si="11"/>
        <v>659</v>
      </c>
      <c r="Q33" s="77">
        <f t="shared" ca="1" si="12"/>
        <v>-6.6572238000000006E-2</v>
      </c>
      <c r="R33" s="86">
        <f t="shared" ca="1" si="15"/>
        <v>148049389.57735047</v>
      </c>
    </row>
    <row r="34" spans="1:18">
      <c r="A34" s="40" t="s">
        <v>101</v>
      </c>
      <c r="B34" s="11" t="s">
        <v>102</v>
      </c>
      <c r="C34" s="95">
        <v>57110</v>
      </c>
      <c r="D34" s="92">
        <v>-5.5877004500000001E-2</v>
      </c>
      <c r="E34" s="93">
        <v>1583262.2610261401</v>
      </c>
      <c r="F34" s="35"/>
      <c r="G34" s="56" t="str">
        <f ca="1">IFERROR(OFFSET(INDIRECT($H$3 &amp; "!A98"), 3, 0), "")</f>
        <v>픽셀</v>
      </c>
      <c r="H34" s="39">
        <f t="shared" ca="1" si="7"/>
        <v>13.3</v>
      </c>
      <c r="I34" s="77">
        <f t="shared" ca="1" si="8"/>
        <v>-0.13636363639999999</v>
      </c>
      <c r="J34" s="86">
        <f t="shared" ca="1" si="13"/>
        <v>403592017.74029624</v>
      </c>
      <c r="K34" s="56" t="str">
        <f ca="1">IFERROR(OFFSET(INDIRECT($H$3 &amp; "!A44"), 3, 0), "")</f>
        <v>엘비알와이크레딧</v>
      </c>
      <c r="L34" s="39">
        <f t="shared" ca="1" si="9"/>
        <v>38.1</v>
      </c>
      <c r="M34" s="77">
        <f t="shared" ca="1" si="10"/>
        <v>-0.13995485329999999</v>
      </c>
      <c r="N34" s="86">
        <f t="shared" ca="1" si="14"/>
        <v>134880126.55312422</v>
      </c>
      <c r="O34" s="56" t="str">
        <f ca="1">IFERROR(OFFSET(INDIRECT($H$3 &amp; "!A71"), 3, 0), "")</f>
        <v>크립토닷컴체인</v>
      </c>
      <c r="P34" s="39">
        <f t="shared" ca="1" si="11"/>
        <v>120</v>
      </c>
      <c r="Q34" s="77">
        <f t="shared" ca="1" si="12"/>
        <v>-5.5118110200000001E-2</v>
      </c>
      <c r="R34" s="86">
        <f t="shared" ca="1" si="15"/>
        <v>10364648.206574989</v>
      </c>
    </row>
    <row r="35" spans="1:18">
      <c r="A35" s="40" t="s">
        <v>137</v>
      </c>
      <c r="B35" s="11" t="s">
        <v>138</v>
      </c>
      <c r="C35" s="95">
        <v>23210</v>
      </c>
      <c r="D35" s="92">
        <v>-5.6504064999999999E-2</v>
      </c>
      <c r="E35" s="93">
        <v>615350.28725982003</v>
      </c>
      <c r="F35" s="35"/>
      <c r="G35" s="58" t="str">
        <f ca="1">IFERROR(OFFSET(INDIRECT($H$3 &amp; "!A98"), 4, 0), "")</f>
        <v>아인스타이늄</v>
      </c>
      <c r="H35" s="44">
        <f t="shared" ca="1" si="7"/>
        <v>64.2</v>
      </c>
      <c r="I35" s="78">
        <f t="shared" ca="1" si="8"/>
        <v>-0.11934156379999999</v>
      </c>
      <c r="J35" s="90">
        <f t="shared" ca="1" si="13"/>
        <v>104011237.92083009</v>
      </c>
      <c r="K35" s="58" t="str">
        <f ca="1">IFERROR(OFFSET(INDIRECT($H$3 &amp; "!A44"), 4, 0), "")</f>
        <v>트웰브쉽스</v>
      </c>
      <c r="L35" s="44">
        <f t="shared" ca="1" si="9"/>
        <v>3</v>
      </c>
      <c r="M35" s="78">
        <f t="shared" ca="1" si="10"/>
        <v>-0.12790697670000001</v>
      </c>
      <c r="N35" s="90">
        <f t="shared" ca="1" si="14"/>
        <v>1715769812.4638326</v>
      </c>
      <c r="O35" s="58" t="str">
        <f ca="1">IFERROR(OFFSET(INDIRECT($H$3 &amp; "!A71"), 4, 0), "")</f>
        <v>디카르고</v>
      </c>
      <c r="P35" s="44">
        <f t="shared" ca="1" si="11"/>
        <v>98.8</v>
      </c>
      <c r="Q35" s="78">
        <f t="shared" ca="1" si="12"/>
        <v>-0.1333333333</v>
      </c>
      <c r="R35" s="90">
        <f t="shared" ca="1" si="15"/>
        <v>95530332.386874616</v>
      </c>
    </row>
    <row r="36" spans="1:18">
      <c r="A36" s="40" t="s">
        <v>64</v>
      </c>
      <c r="B36" s="11" t="s">
        <v>65</v>
      </c>
      <c r="C36" s="95">
        <v>27.2</v>
      </c>
      <c r="D36" s="92">
        <v>-5.8823529399999998E-2</v>
      </c>
      <c r="E36" s="93">
        <v>40772420.60272377</v>
      </c>
      <c r="F36" s="35"/>
      <c r="G36" s="56" t="str">
        <f ca="1">IFERROR(OFFSET(INDIRECT($H$3 &amp; "!A98"), 5, 0), "")</f>
        <v>스팀달러</v>
      </c>
      <c r="H36" s="39">
        <f t="shared" ca="1" si="7"/>
        <v>6750</v>
      </c>
      <c r="I36" s="77">
        <f t="shared" ca="1" si="8"/>
        <v>-9.2131808999999995E-2</v>
      </c>
      <c r="J36" s="99">
        <f t="shared" ca="1" si="13"/>
        <v>1159157.15291046</v>
      </c>
      <c r="K36" s="56" t="str">
        <f ca="1">IFERROR(OFFSET(INDIRECT($H$3 &amp; "!A44"), 5, 0), "")</f>
        <v>아하토큰</v>
      </c>
      <c r="L36" s="39">
        <f t="shared" ca="1" si="9"/>
        <v>7.94</v>
      </c>
      <c r="M36" s="77">
        <f t="shared" ca="1" si="10"/>
        <v>-0.1331877729</v>
      </c>
      <c r="N36" s="99">
        <f t="shared" ca="1" si="14"/>
        <v>527977164.68266314</v>
      </c>
      <c r="O36" s="56" t="str">
        <f ca="1">IFERROR(OFFSET(INDIRECT($H$3 &amp; "!A71"), 5, 0), "")</f>
        <v>베이직어텐션토큰</v>
      </c>
      <c r="P36" s="39">
        <f t="shared" ca="1" si="11"/>
        <v>677</v>
      </c>
      <c r="Q36" s="77">
        <f t="shared" ca="1" si="12"/>
        <v>-4.2432814700000002E-2</v>
      </c>
      <c r="R36" s="99">
        <f t="shared" ca="1" si="15"/>
        <v>2600153.8175871102</v>
      </c>
    </row>
    <row r="37" spans="1:18">
      <c r="A37" s="40" t="s">
        <v>91</v>
      </c>
      <c r="B37" s="11" t="s">
        <v>92</v>
      </c>
      <c r="C37" s="95">
        <v>847</v>
      </c>
      <c r="D37" s="92">
        <v>-5.9933407299999998E-2</v>
      </c>
      <c r="E37" s="93">
        <v>395346158.92363483</v>
      </c>
      <c r="F37" s="35"/>
      <c r="G37" s="56" t="str">
        <f ca="1">IFERROR(OFFSET(INDIRECT($H$3 &amp; "!A98"), 6, 0), "")</f>
        <v>엘비알와이크레딧</v>
      </c>
      <c r="H37" s="39">
        <f t="shared" ca="1" si="7"/>
        <v>38.1</v>
      </c>
      <c r="I37" s="77">
        <f t="shared" ca="1" si="8"/>
        <v>-0.13995485329999999</v>
      </c>
      <c r="J37" s="86">
        <f t="shared" ca="1" si="13"/>
        <v>134880126.55312422</v>
      </c>
      <c r="K37" s="56" t="str">
        <f ca="1">IFERROR(OFFSET(INDIRECT($H$3 &amp; "!A44"), 6, 0), "")</f>
        <v>엠블</v>
      </c>
      <c r="L37" s="39">
        <f t="shared" ca="1" si="9"/>
        <v>11.2</v>
      </c>
      <c r="M37" s="77">
        <f t="shared" ca="1" si="10"/>
        <v>-0.1181102362</v>
      </c>
      <c r="N37" s="86">
        <f t="shared" ca="1" si="14"/>
        <v>560047130.18687654</v>
      </c>
      <c r="O37" s="56" t="str">
        <f ca="1">IFERROR(OFFSET(INDIRECT($H$3 &amp; "!A71"), 6, 0), "")</f>
        <v>칠리즈</v>
      </c>
      <c r="P37" s="39">
        <f t="shared" ca="1" si="11"/>
        <v>328</v>
      </c>
      <c r="Q37" s="77">
        <f t="shared" ca="1" si="12"/>
        <v>-2.3809523799999999E-2</v>
      </c>
      <c r="R37" s="86">
        <f t="shared" ca="1" si="15"/>
        <v>138489696.52639189</v>
      </c>
    </row>
    <row r="38" spans="1:18">
      <c r="A38" s="40" t="s">
        <v>60</v>
      </c>
      <c r="B38" s="11" t="s">
        <v>61</v>
      </c>
      <c r="C38" s="95">
        <v>705</v>
      </c>
      <c r="D38" s="92">
        <v>-0.06</v>
      </c>
      <c r="E38" s="93">
        <v>11193486.40203871</v>
      </c>
      <c r="F38" s="35"/>
      <c r="G38" s="56" t="str">
        <f ca="1">IFERROR(OFFSET(INDIRECT($H$3 &amp; "!A98"), 7, 0), "")</f>
        <v>쎄타퓨엘</v>
      </c>
      <c r="H38" s="39">
        <f t="shared" ca="1" si="7"/>
        <v>659</v>
      </c>
      <c r="I38" s="77">
        <f t="shared" ca="1" si="8"/>
        <v>-6.6572238000000006E-2</v>
      </c>
      <c r="J38" s="86">
        <f t="shared" ca="1" si="13"/>
        <v>148049389.57735047</v>
      </c>
      <c r="K38" s="56" t="str">
        <f ca="1">IFERROR(OFFSET(INDIRECT($H$3 &amp; "!A44"), 7, 0), "")</f>
        <v>에브리피디아</v>
      </c>
      <c r="L38" s="39">
        <f t="shared" ca="1" si="9"/>
        <v>12.3</v>
      </c>
      <c r="M38" s="77">
        <f t="shared" ca="1" si="10"/>
        <v>-9.5588235300000005E-2</v>
      </c>
      <c r="N38" s="86">
        <f t="shared" ca="1" si="14"/>
        <v>219189948.73443747</v>
      </c>
      <c r="O38" s="56" t="str">
        <f ca="1">IFERROR(OFFSET(INDIRECT($H$3 &amp; "!A71"), 7, 0), "")</f>
        <v>비체인</v>
      </c>
      <c r="P38" s="39">
        <f t="shared" ca="1" si="11"/>
        <v>108</v>
      </c>
      <c r="Q38" s="77">
        <f t="shared" ca="1" si="12"/>
        <v>-6.0869565200000003E-2</v>
      </c>
      <c r="R38" s="86">
        <f t="shared" ca="1" si="15"/>
        <v>416718726.77817923</v>
      </c>
    </row>
    <row r="39" spans="1:18">
      <c r="A39" s="40" t="s">
        <v>117</v>
      </c>
      <c r="B39" s="11" t="s">
        <v>118</v>
      </c>
      <c r="C39" s="95">
        <v>4305</v>
      </c>
      <c r="D39" s="92">
        <v>-6.0043668100000003E-2</v>
      </c>
      <c r="E39" s="93">
        <v>436871.98155907</v>
      </c>
      <c r="F39" s="35"/>
      <c r="G39" s="56" t="str">
        <f ca="1">IFERROR(OFFSET(INDIRECT($H$3 &amp; "!A98"), 8, 0), "")</f>
        <v>스와이프</v>
      </c>
      <c r="H39" s="39">
        <f t="shared" ca="1" si="7"/>
        <v>2375</v>
      </c>
      <c r="I39" s="77">
        <f t="shared" ca="1" si="8"/>
        <v>-3.2586558000000002E-2</v>
      </c>
      <c r="J39" s="86">
        <f t="shared" ca="1" si="13"/>
        <v>3918040.7952718702</v>
      </c>
      <c r="K39" s="56" t="str">
        <f ca="1">IFERROR(OFFSET(INDIRECT($H$3 &amp; "!A44"), 8, 0), "")</f>
        <v>스톰엑스</v>
      </c>
      <c r="L39" s="39">
        <f t="shared" ca="1" si="9"/>
        <v>21</v>
      </c>
      <c r="M39" s="77">
        <f t="shared" ca="1" si="10"/>
        <v>-6.6666666700000002E-2</v>
      </c>
      <c r="N39" s="86">
        <f t="shared" ca="1" si="14"/>
        <v>174859625.95984459</v>
      </c>
      <c r="O39" s="56" t="str">
        <f ca="1">IFERROR(OFFSET(INDIRECT($H$3 &amp; "!A71"), 8, 0), "")</f>
        <v>스텔라루멘</v>
      </c>
      <c r="P39" s="39">
        <f t="shared" ca="1" si="11"/>
        <v>326</v>
      </c>
      <c r="Q39" s="77">
        <f t="shared" ca="1" si="12"/>
        <v>-4.9562682199999999E-2</v>
      </c>
      <c r="R39" s="86">
        <f t="shared" ca="1" si="15"/>
        <v>46930117.508238651</v>
      </c>
    </row>
    <row r="40" spans="1:18" ht="17.25" thickBot="1">
      <c r="A40" s="40" t="s">
        <v>53</v>
      </c>
      <c r="B40" s="11" t="s">
        <v>54</v>
      </c>
      <c r="C40" s="95">
        <v>218</v>
      </c>
      <c r="D40" s="92">
        <v>-6.0344827599999998E-2</v>
      </c>
      <c r="E40" s="93">
        <v>9282456.5616596993</v>
      </c>
      <c r="F40" s="35"/>
      <c r="G40" s="57" t="str">
        <f ca="1">IFERROR(OFFSET(INDIRECT($H$3 &amp; "!A98"), 9, 0), "")</f>
        <v>트웰브쉽스</v>
      </c>
      <c r="H40" s="37">
        <f t="shared" ca="1" si="7"/>
        <v>3</v>
      </c>
      <c r="I40" s="79">
        <f t="shared" ca="1" si="8"/>
        <v>-0.12790697670000001</v>
      </c>
      <c r="J40" s="87">
        <f t="shared" ca="1" si="13"/>
        <v>1715769812.4638326</v>
      </c>
      <c r="K40" s="57" t="str">
        <f ca="1">IFERROR(OFFSET(INDIRECT($H$3 &amp; "!A44"), 9, 0), "")</f>
        <v>람다</v>
      </c>
      <c r="L40" s="37">
        <f t="shared" ca="1" si="9"/>
        <v>19.8</v>
      </c>
      <c r="M40" s="79">
        <f t="shared" ca="1" si="10"/>
        <v>-0.13913043480000001</v>
      </c>
      <c r="N40" s="87">
        <f t="shared" ca="1" si="14"/>
        <v>277473983.90747172</v>
      </c>
      <c r="O40" s="57" t="str">
        <f ca="1">IFERROR(OFFSET(INDIRECT($H$3 &amp; "!A71"), 9, 0), "")</f>
        <v>제로엑스</v>
      </c>
      <c r="P40" s="37">
        <f t="shared" ca="1" si="11"/>
        <v>875</v>
      </c>
      <c r="Q40" s="79">
        <f t="shared" ca="1" si="12"/>
        <v>-6.8157614500000005E-2</v>
      </c>
      <c r="R40" s="87">
        <f t="shared" ca="1" si="15"/>
        <v>1284369.1049478201</v>
      </c>
    </row>
    <row r="41" spans="1:18">
      <c r="A41" s="40" t="s">
        <v>62</v>
      </c>
      <c r="B41" s="11" t="s">
        <v>63</v>
      </c>
      <c r="C41" s="95">
        <v>49600</v>
      </c>
      <c r="D41" s="92">
        <v>-6.0783942399999999E-2</v>
      </c>
      <c r="E41" s="93">
        <v>212475.01760435</v>
      </c>
      <c r="F41" s="35"/>
      <c r="G41" s="59" t="str">
        <f ca="1">IFERROR(OFFSET(INDIRECT($H$3 &amp; "!A98"), 10, 0), "")</f>
        <v>크립토닷컴체인</v>
      </c>
      <c r="H41" s="38">
        <f t="shared" ca="1" si="7"/>
        <v>120</v>
      </c>
      <c r="I41" s="76">
        <f t="shared" ca="1" si="8"/>
        <v>-5.5118110200000001E-2</v>
      </c>
      <c r="J41" s="85">
        <f t="shared" ca="1" si="13"/>
        <v>10364648.206574989</v>
      </c>
      <c r="K41" s="55" t="str">
        <f ca="1">IFERROR(OFFSET(INDIRECT($H$3 &amp; "!A44"), 10, 0), "")</f>
        <v>룸네트워크</v>
      </c>
      <c r="L41" s="38">
        <f t="shared" ca="1" si="9"/>
        <v>59.6</v>
      </c>
      <c r="M41" s="76">
        <f t="shared" ca="1" si="10"/>
        <v>-8.8685015300000003E-2</v>
      </c>
      <c r="N41" s="85">
        <f t="shared" ca="1" si="14"/>
        <v>20957674.131093942</v>
      </c>
      <c r="O41" s="55" t="str">
        <f ca="1">IFERROR(OFFSET(INDIRECT($H$3 &amp; "!A71"), 10, 0), "")</f>
        <v>디센트럴랜드</v>
      </c>
      <c r="P41" s="38">
        <f t="shared" ca="1" si="11"/>
        <v>705</v>
      </c>
      <c r="Q41" s="76">
        <f t="shared" ca="1" si="12"/>
        <v>-0.06</v>
      </c>
      <c r="R41" s="85">
        <f t="shared" ca="1" si="15"/>
        <v>11193486.40203871</v>
      </c>
    </row>
    <row r="42" spans="1:18">
      <c r="A42" s="40" t="s">
        <v>131</v>
      </c>
      <c r="B42" s="11" t="s">
        <v>132</v>
      </c>
      <c r="C42" s="95">
        <v>108</v>
      </c>
      <c r="D42" s="92">
        <v>-6.0869565200000003E-2</v>
      </c>
      <c r="E42" s="93">
        <v>416718726.77817923</v>
      </c>
      <c r="F42" s="35"/>
      <c r="G42" s="56" t="str">
        <f ca="1">IFERROR(OFFSET(INDIRECT($H$3 &amp; "!A98"), 11, 0), "")</f>
        <v>카바</v>
      </c>
      <c r="H42" s="39">
        <f t="shared" ca="1" si="7"/>
        <v>4305</v>
      </c>
      <c r="I42" s="77">
        <f t="shared" ca="1" si="8"/>
        <v>-6.0043668100000003E-2</v>
      </c>
      <c r="J42" s="86">
        <f t="shared" ca="1" si="13"/>
        <v>436871.98155907</v>
      </c>
      <c r="K42" s="56" t="str">
        <f ca="1">IFERROR(OFFSET(INDIRECT($H$3 &amp; "!A44"), 11, 0), "")</f>
        <v>앵커</v>
      </c>
      <c r="L42" s="39">
        <f t="shared" ca="1" si="9"/>
        <v>80.7</v>
      </c>
      <c r="M42" s="77">
        <f t="shared" ca="1" si="10"/>
        <v>-5.1703877799999999E-2</v>
      </c>
      <c r="N42" s="86">
        <f t="shared" ca="1" si="14"/>
        <v>23146587.486479022</v>
      </c>
      <c r="O42" s="56" t="str">
        <f ca="1">IFERROR(OFFSET(INDIRECT($H$3 &amp; "!A71"), 11, 0), "")</f>
        <v>골렘</v>
      </c>
      <c r="P42" s="39">
        <f t="shared" ca="1" si="11"/>
        <v>296</v>
      </c>
      <c r="Q42" s="77">
        <f t="shared" ca="1" si="12"/>
        <v>-3.8961039000000003E-2</v>
      </c>
      <c r="R42" s="86">
        <f t="shared" ca="1" si="15"/>
        <v>4806241.2871168796</v>
      </c>
    </row>
    <row r="43" spans="1:18">
      <c r="A43" s="40" t="s">
        <v>159</v>
      </c>
      <c r="B43" s="11" t="s">
        <v>160</v>
      </c>
      <c r="C43" s="95">
        <v>1380</v>
      </c>
      <c r="D43" s="92">
        <v>-6.1224489799999997E-2</v>
      </c>
      <c r="E43" s="93">
        <v>2859639.2052262598</v>
      </c>
      <c r="F43" s="35"/>
      <c r="G43" s="56" t="str">
        <f ca="1">IFERROR(OFFSET(INDIRECT($H$3 &amp; "!A98"), 12, 0), "")</f>
        <v>알파쿼크</v>
      </c>
      <c r="H43" s="39">
        <f t="shared" ca="1" si="7"/>
        <v>2015</v>
      </c>
      <c r="I43" s="77">
        <f t="shared" ca="1" si="8"/>
        <v>-0.1044444444</v>
      </c>
      <c r="J43" s="86">
        <f t="shared" ca="1" si="13"/>
        <v>1934031.32004467</v>
      </c>
      <c r="K43" s="56" t="str">
        <f ca="1">IFERROR(OFFSET(INDIRECT($H$3 &amp; "!A44"), 12, 0), "")</f>
        <v>트론</v>
      </c>
      <c r="L43" s="39">
        <f t="shared" ca="1" si="9"/>
        <v>76.5</v>
      </c>
      <c r="M43" s="77">
        <f t="shared" ca="1" si="10"/>
        <v>-5.5555555600000001E-2</v>
      </c>
      <c r="N43" s="86">
        <f t="shared" ca="1" si="14"/>
        <v>90163596.622407153</v>
      </c>
      <c r="O43" s="56" t="str">
        <f ca="1">IFERROR(OFFSET(INDIRECT($H$3 &amp; "!A71"), 12, 0), "")</f>
        <v>질리카</v>
      </c>
      <c r="P43" s="39">
        <f t="shared" ca="1" si="11"/>
        <v>118</v>
      </c>
      <c r="Q43" s="77">
        <f t="shared" ca="1" si="12"/>
        <v>0</v>
      </c>
      <c r="R43" s="86">
        <f t="shared" ca="1" si="15"/>
        <v>44252128.512452759</v>
      </c>
    </row>
    <row r="44" spans="1:18">
      <c r="A44" s="40" t="s">
        <v>182</v>
      </c>
      <c r="B44" s="11" t="s">
        <v>183</v>
      </c>
      <c r="C44" s="95">
        <v>1145</v>
      </c>
      <c r="D44" s="92">
        <v>-6.1475409799999998E-2</v>
      </c>
      <c r="E44" s="93">
        <v>1798619.1633363799</v>
      </c>
      <c r="F44" s="35"/>
      <c r="G44" s="56" t="str">
        <f ca="1">IFERROR(OFFSET(INDIRECT($H$3 &amp; "!A98"), 13, 0), "")</f>
        <v>디카르고</v>
      </c>
      <c r="H44" s="39">
        <f t="shared" ca="1" si="7"/>
        <v>98.8</v>
      </c>
      <c r="I44" s="77">
        <f t="shared" ca="1" si="8"/>
        <v>-0.1333333333</v>
      </c>
      <c r="J44" s="86">
        <f t="shared" ca="1" si="13"/>
        <v>95530332.386874616</v>
      </c>
      <c r="K44" s="56" t="str">
        <f ca="1">IFERROR(OFFSET(INDIRECT($H$3 &amp; "!A44"), 13, 0), "")</f>
        <v>아이오에스티</v>
      </c>
      <c r="L44" s="39">
        <f t="shared" ca="1" si="9"/>
        <v>27.2</v>
      </c>
      <c r="M44" s="77">
        <f t="shared" ca="1" si="10"/>
        <v>-5.8823529399999998E-2</v>
      </c>
      <c r="N44" s="86">
        <f t="shared" ca="1" si="14"/>
        <v>40772420.60272377</v>
      </c>
      <c r="O44" s="56" t="str">
        <f ca="1">IFERROR(OFFSET(INDIRECT($H$3 &amp; "!A71"), 13, 0), "")</f>
        <v>도지코인</v>
      </c>
      <c r="P44" s="39">
        <f t="shared" ca="1" si="11"/>
        <v>314</v>
      </c>
      <c r="Q44" s="77">
        <f t="shared" ca="1" si="12"/>
        <v>-7.6470588199999995E-2</v>
      </c>
      <c r="R44" s="86">
        <f t="shared" ca="1" si="15"/>
        <v>381889221.48617363</v>
      </c>
    </row>
    <row r="45" spans="1:18">
      <c r="A45" s="40" t="s">
        <v>103</v>
      </c>
      <c r="B45" s="11" t="s">
        <v>104</v>
      </c>
      <c r="C45" s="95">
        <v>931</v>
      </c>
      <c r="D45" s="92">
        <v>-6.1491935499999997E-2</v>
      </c>
      <c r="E45" s="93">
        <v>4675816.53829371</v>
      </c>
      <c r="F45" s="35"/>
      <c r="G45" s="58" t="str">
        <f ca="1">IFERROR(OFFSET(INDIRECT($H$3 &amp; "!A98"), 14, 0), "")</f>
        <v>아하토큰</v>
      </c>
      <c r="H45" s="44">
        <f t="shared" ca="1" si="7"/>
        <v>7.94</v>
      </c>
      <c r="I45" s="78">
        <f t="shared" ca="1" si="8"/>
        <v>-0.1331877729</v>
      </c>
      <c r="J45" s="90">
        <f t="shared" ca="1" si="13"/>
        <v>527977164.68266314</v>
      </c>
      <c r="K45" s="58" t="str">
        <f ca="1">IFERROR(OFFSET(INDIRECT($H$3 &amp; "!A44"), 14, 0), "")</f>
        <v>저스트</v>
      </c>
      <c r="L45" s="44">
        <f t="shared" ca="1" si="9"/>
        <v>62</v>
      </c>
      <c r="M45" s="78">
        <f t="shared" ca="1" si="10"/>
        <v>-7.87518574E-2</v>
      </c>
      <c r="N45" s="90">
        <f t="shared" ca="1" si="14"/>
        <v>13079700.29814928</v>
      </c>
      <c r="O45" s="58" t="str">
        <f ca="1">IFERROR(OFFSET(INDIRECT($H$3 &amp; "!A71"), 14, 0), "")</f>
        <v>보라</v>
      </c>
      <c r="P45" s="44">
        <f t="shared" ca="1" si="11"/>
        <v>92.3</v>
      </c>
      <c r="Q45" s="78">
        <f t="shared" ca="1" si="12"/>
        <v>-0.120952381</v>
      </c>
      <c r="R45" s="90">
        <f t="shared" ca="1" si="15"/>
        <v>57979189.265103959</v>
      </c>
    </row>
    <row r="46" spans="1:18">
      <c r="A46" s="40" t="s">
        <v>168</v>
      </c>
      <c r="B46" s="11" t="s">
        <v>169</v>
      </c>
      <c r="C46" s="95">
        <v>212</v>
      </c>
      <c r="D46" s="92">
        <v>-6.1946902700000001E-2</v>
      </c>
      <c r="E46" s="93">
        <v>5852198.8617601702</v>
      </c>
      <c r="F46" s="35"/>
      <c r="G46" s="56" t="str">
        <f ca="1">IFERROR(OFFSET(INDIRECT($H$3 &amp; "!A98"), 15, 0), "")</f>
        <v>엠블</v>
      </c>
      <c r="H46" s="39">
        <f t="shared" ca="1" si="7"/>
        <v>11.2</v>
      </c>
      <c r="I46" s="77">
        <f t="shared" ca="1" si="8"/>
        <v>-0.1181102362</v>
      </c>
      <c r="J46" s="99">
        <f t="shared" ca="1" si="13"/>
        <v>560047130.18687654</v>
      </c>
      <c r="K46" s="56" t="str">
        <f ca="1">IFERROR(OFFSET(INDIRECT($H$3 &amp; "!A44"), 15, 0), "")</f>
        <v>스테이터스네트워크토큰</v>
      </c>
      <c r="L46" s="39">
        <f t="shared" ca="1" si="9"/>
        <v>64.099999999999994</v>
      </c>
      <c r="M46" s="77">
        <f t="shared" ca="1" si="10"/>
        <v>-0.1009817672</v>
      </c>
      <c r="N46" s="99">
        <f t="shared" ca="1" si="14"/>
        <v>66983121.431315623</v>
      </c>
      <c r="O46" s="56" t="str">
        <f ca="1">IFERROR(OFFSET(INDIRECT($H$3 &amp; "!A71"), 15, 0), "")</f>
        <v>스택스</v>
      </c>
      <c r="P46" s="39">
        <f t="shared" ca="1" si="11"/>
        <v>903</v>
      </c>
      <c r="Q46" s="77">
        <f t="shared" ca="1" si="12"/>
        <v>-6.9072164899999997E-2</v>
      </c>
      <c r="R46" s="99">
        <f t="shared" ca="1" si="15"/>
        <v>3750489.2255621799</v>
      </c>
    </row>
    <row r="47" spans="1:18">
      <c r="A47" s="40" t="s">
        <v>224</v>
      </c>
      <c r="B47" s="11" t="s">
        <v>225</v>
      </c>
      <c r="C47" s="95">
        <v>6.65</v>
      </c>
      <c r="D47" s="92">
        <v>-6.4697609000000003E-2</v>
      </c>
      <c r="E47" s="93">
        <v>627956884.76161861</v>
      </c>
      <c r="F47" s="35"/>
      <c r="G47" s="56" t="str">
        <f ca="1">IFERROR(OFFSET(INDIRECT($H$3 &amp; "!A98"), 16, 0), "")</f>
        <v>베이직어텐션토큰</v>
      </c>
      <c r="H47" s="39">
        <f t="shared" ca="1" si="7"/>
        <v>677</v>
      </c>
      <c r="I47" s="77">
        <f t="shared" ca="1" si="8"/>
        <v>-4.2432814700000002E-2</v>
      </c>
      <c r="J47" s="86">
        <f t="shared" ca="1" si="13"/>
        <v>2600153.8175871102</v>
      </c>
      <c r="K47" s="56" t="str">
        <f ca="1">IFERROR(OFFSET(INDIRECT($H$3 &amp; "!A44"), 16, 0), "")</f>
        <v>이그니스</v>
      </c>
      <c r="L47" s="39">
        <f t="shared" ca="1" si="9"/>
        <v>48.8</v>
      </c>
      <c r="M47" s="77">
        <f t="shared" ca="1" si="10"/>
        <v>-0.14685314690000001</v>
      </c>
      <c r="N47" s="86">
        <f t="shared" ca="1" si="14"/>
        <v>308370614.19029981</v>
      </c>
      <c r="O47" s="56" t="str">
        <f ca="1">IFERROR(OFFSET(INDIRECT($H$3 &amp; "!A71"), 16, 0), "")</f>
        <v>리플</v>
      </c>
      <c r="P47" s="39">
        <f t="shared" ca="1" si="11"/>
        <v>847</v>
      </c>
      <c r="Q47" s="77">
        <f t="shared" ca="1" si="12"/>
        <v>-5.9933407299999998E-2</v>
      </c>
      <c r="R47" s="86">
        <f t="shared" ca="1" si="15"/>
        <v>395346158.92363483</v>
      </c>
    </row>
    <row r="48" spans="1:18">
      <c r="A48" s="40" t="s">
        <v>139</v>
      </c>
      <c r="B48" s="11" t="s">
        <v>140</v>
      </c>
      <c r="C48" s="95">
        <v>1935</v>
      </c>
      <c r="D48" s="92">
        <v>-6.5217391299999997E-2</v>
      </c>
      <c r="E48" s="93">
        <v>711425.40334463003</v>
      </c>
      <c r="F48" s="35"/>
      <c r="G48" s="56" t="str">
        <f ca="1">IFERROR(OFFSET(INDIRECT($H$3 &amp; "!A98"), 17, 0), "")</f>
        <v>비트코인캐시</v>
      </c>
      <c r="H48" s="39">
        <f t="shared" ca="1" si="7"/>
        <v>624100</v>
      </c>
      <c r="I48" s="77">
        <f t="shared" ca="1" si="8"/>
        <v>-4.7175572499999999E-2</v>
      </c>
      <c r="J48" s="86">
        <f t="shared" ca="1" si="13"/>
        <v>25732.1691326</v>
      </c>
      <c r="K48" s="56" t="str">
        <f ca="1">IFERROR(OFFSET(INDIRECT($H$3 &amp; "!A44"), 17, 0), "")</f>
        <v>무비블록</v>
      </c>
      <c r="L48" s="39">
        <f t="shared" ca="1" si="9"/>
        <v>6.65</v>
      </c>
      <c r="M48" s="77">
        <f t="shared" ca="1" si="10"/>
        <v>-6.4697609000000003E-2</v>
      </c>
      <c r="N48" s="86">
        <f t="shared" ca="1" si="14"/>
        <v>627956884.76161861</v>
      </c>
      <c r="O48" s="56" t="str">
        <f ca="1">IFERROR(OFFSET(INDIRECT($H$3 &amp; "!A71"), 17, 0), "")</f>
        <v>넴</v>
      </c>
      <c r="P48" s="39">
        <f t="shared" ca="1" si="11"/>
        <v>162</v>
      </c>
      <c r="Q48" s="77">
        <f t="shared" ca="1" si="12"/>
        <v>-6.8965517200000007E-2</v>
      </c>
      <c r="R48" s="86">
        <f t="shared" ca="1" si="15"/>
        <v>28143785.921409249</v>
      </c>
    </row>
    <row r="49" spans="1:18">
      <c r="A49" s="40" t="s">
        <v>141</v>
      </c>
      <c r="B49" s="11" t="s">
        <v>142</v>
      </c>
      <c r="C49" s="95">
        <v>659</v>
      </c>
      <c r="D49" s="92">
        <v>-6.6572238000000006E-2</v>
      </c>
      <c r="E49" s="93">
        <v>148049389.57735047</v>
      </c>
      <c r="F49" s="35"/>
      <c r="G49" s="56" t="str">
        <f ca="1">IFERROR(OFFSET(INDIRECT($H$3 &amp; "!A98"), 18, 0), "")</f>
        <v>밀크</v>
      </c>
      <c r="H49" s="39">
        <f t="shared" ca="1" si="7"/>
        <v>898</v>
      </c>
      <c r="I49" s="77">
        <f t="shared" ca="1" si="8"/>
        <v>-0.1323671498</v>
      </c>
      <c r="J49" s="86">
        <f t="shared" ca="1" si="13"/>
        <v>11133685.039157011</v>
      </c>
      <c r="K49" s="56" t="str">
        <f ca="1">IFERROR(OFFSET(INDIRECT($H$3 &amp; "!A44"), 18, 0), "")</f>
        <v>비트토렌트</v>
      </c>
      <c r="L49" s="39">
        <f t="shared" ca="1" si="9"/>
        <v>3.23</v>
      </c>
      <c r="M49" s="77">
        <f t="shared" ca="1" si="10"/>
        <v>-8.2386363599999998E-2</v>
      </c>
      <c r="N49" s="86">
        <f t="shared" ca="1" si="14"/>
        <v>9602404859.3865185</v>
      </c>
      <c r="O49" s="56" t="str">
        <f ca="1">IFERROR(OFFSET(INDIRECT($H$3 &amp; "!A71"), 18, 0), "")</f>
        <v>스토리지</v>
      </c>
      <c r="P49" s="39">
        <f t="shared" ca="1" si="11"/>
        <v>945</v>
      </c>
      <c r="Q49" s="77">
        <f t="shared" ca="1" si="12"/>
        <v>-3.7678207700000001E-2</v>
      </c>
      <c r="R49" s="86">
        <f t="shared" ca="1" si="15"/>
        <v>1349330.82146891</v>
      </c>
    </row>
    <row r="50" spans="1:18" ht="17.25" thickBot="1">
      <c r="A50" s="40" t="s">
        <v>125</v>
      </c>
      <c r="B50" s="11" t="s">
        <v>126</v>
      </c>
      <c r="C50" s="95">
        <v>21</v>
      </c>
      <c r="D50" s="92">
        <v>-6.6666666700000002E-2</v>
      </c>
      <c r="E50" s="93">
        <v>174859625.95984459</v>
      </c>
      <c r="F50" s="35"/>
      <c r="G50" s="57" t="str">
        <f ca="1">IFERROR(OFFSET(INDIRECT($H$3 &amp; "!A98"), 19, 0), "")</f>
        <v>칠리즈</v>
      </c>
      <c r="H50" s="37">
        <f t="shared" ca="1" si="7"/>
        <v>328</v>
      </c>
      <c r="I50" s="79">
        <f t="shared" ca="1" si="8"/>
        <v>-2.3809523799999999E-2</v>
      </c>
      <c r="J50" s="87">
        <f t="shared" ca="1" si="13"/>
        <v>138489696.52639189</v>
      </c>
      <c r="K50" s="57" t="str">
        <f ca="1">IFERROR(OFFSET(INDIRECT($H$3 &amp; "!A44"), 19, 0), "")</f>
        <v>썬더토큰</v>
      </c>
      <c r="L50" s="37">
        <f t="shared" ca="1" si="9"/>
        <v>7.13</v>
      </c>
      <c r="M50" s="79">
        <f t="shared" ca="1" si="10"/>
        <v>-0.1098626717</v>
      </c>
      <c r="N50" s="87">
        <f t="shared" ca="1" si="14"/>
        <v>236442683.19416407</v>
      </c>
      <c r="O50" s="57" t="str">
        <f ca="1">IFERROR(OFFSET(INDIRECT($H$3 &amp; "!A71"), 19, 0), "")</f>
        <v>엘프</v>
      </c>
      <c r="P50" s="37">
        <f t="shared" ca="1" si="11"/>
        <v>212</v>
      </c>
      <c r="Q50" s="79">
        <f t="shared" ca="1" si="12"/>
        <v>-6.1946902700000001E-2</v>
      </c>
      <c r="R50" s="87">
        <f t="shared" ca="1" si="15"/>
        <v>5852198.8617601702</v>
      </c>
    </row>
    <row r="51" spans="1:18">
      <c r="A51" s="40" t="s">
        <v>105</v>
      </c>
      <c r="B51" s="11" t="s">
        <v>106</v>
      </c>
      <c r="C51" s="95">
        <v>875</v>
      </c>
      <c r="D51" s="92">
        <v>-6.8157614500000005E-2</v>
      </c>
      <c r="E51" s="93">
        <v>1284369.1049478201</v>
      </c>
      <c r="F51" s="35"/>
    </row>
    <row r="52" spans="1:18" ht="17.25" thickBot="1">
      <c r="A52" s="40" t="s">
        <v>107</v>
      </c>
      <c r="B52" s="11" t="s">
        <v>108</v>
      </c>
      <c r="C52" s="95">
        <v>25380</v>
      </c>
      <c r="D52" s="92">
        <v>-6.8623853200000001E-2</v>
      </c>
      <c r="E52" s="93">
        <v>174953.58079625</v>
      </c>
      <c r="F52" s="35"/>
    </row>
    <row r="53" spans="1:18" ht="17.25" thickBot="1">
      <c r="A53" s="40" t="s">
        <v>56</v>
      </c>
      <c r="B53" s="11" t="s">
        <v>57</v>
      </c>
      <c r="C53" s="95">
        <v>162</v>
      </c>
      <c r="D53" s="92">
        <v>-6.8965517200000007E-2</v>
      </c>
      <c r="E53" s="93">
        <v>28143785.921409249</v>
      </c>
      <c r="F53" s="35"/>
      <c r="G53" s="262" t="s">
        <v>280</v>
      </c>
      <c r="H53" s="263"/>
      <c r="I53" s="263"/>
      <c r="J53" s="264"/>
      <c r="K53" s="262" t="s">
        <v>283</v>
      </c>
      <c r="L53" s="263"/>
      <c r="M53" s="263"/>
      <c r="N53" s="264"/>
      <c r="O53" s="262" t="s">
        <v>284</v>
      </c>
      <c r="P53" s="263"/>
      <c r="Q53" s="263"/>
      <c r="R53" s="264"/>
    </row>
    <row r="54" spans="1:18" ht="17.25" thickBot="1">
      <c r="A54" s="40" t="s">
        <v>174</v>
      </c>
      <c r="B54" s="11" t="s">
        <v>175</v>
      </c>
      <c r="C54" s="95">
        <v>903</v>
      </c>
      <c r="D54" s="92">
        <v>-6.9072164899999997E-2</v>
      </c>
      <c r="E54" s="93">
        <v>3750489.2255621799</v>
      </c>
      <c r="F54" s="35"/>
      <c r="G54" s="299" t="s">
        <v>55</v>
      </c>
      <c r="H54" s="315">
        <f ca="1">NOW()</f>
        <v>44367.897969097219</v>
      </c>
      <c r="I54" s="316"/>
      <c r="J54" s="317"/>
      <c r="K54" s="314" t="s">
        <v>55</v>
      </c>
      <c r="L54" s="315">
        <f ca="1">NOW()</f>
        <v>44367.897969097219</v>
      </c>
      <c r="M54" s="316"/>
      <c r="N54" s="317"/>
      <c r="O54" s="314" t="s">
        <v>55</v>
      </c>
      <c r="P54" s="315">
        <f ca="1">NOW()</f>
        <v>44367.897969097219</v>
      </c>
      <c r="Q54" s="316"/>
      <c r="R54" s="317"/>
    </row>
    <row r="55" spans="1:18" ht="17.25" thickBot="1">
      <c r="A55" s="40" t="s">
        <v>127</v>
      </c>
      <c r="B55" s="11" t="s">
        <v>128</v>
      </c>
      <c r="C55" s="95">
        <v>250</v>
      </c>
      <c r="D55" s="92">
        <v>-7.0631970299999999E-2</v>
      </c>
      <c r="E55" s="93">
        <v>23634595.576000899</v>
      </c>
      <c r="F55" s="35"/>
      <c r="G55" s="307"/>
      <c r="H55" s="36" t="s">
        <v>58</v>
      </c>
      <c r="I55" s="73" t="s">
        <v>59</v>
      </c>
      <c r="J55" s="69" t="s">
        <v>289</v>
      </c>
      <c r="K55" s="307"/>
      <c r="L55" s="36" t="s">
        <v>58</v>
      </c>
      <c r="M55" s="73" t="s">
        <v>59</v>
      </c>
      <c r="N55" s="69" t="s">
        <v>289</v>
      </c>
      <c r="O55" s="307"/>
      <c r="P55" s="36" t="s">
        <v>58</v>
      </c>
      <c r="Q55" s="73" t="s">
        <v>59</v>
      </c>
      <c r="R55" s="69" t="s">
        <v>289</v>
      </c>
    </row>
    <row r="56" spans="1:18">
      <c r="A56" s="40" t="s">
        <v>186</v>
      </c>
      <c r="B56" s="11" t="s">
        <v>187</v>
      </c>
      <c r="C56" s="95">
        <v>8445</v>
      </c>
      <c r="D56" s="92">
        <v>-7.4520547899999998E-2</v>
      </c>
      <c r="E56" s="93">
        <v>1214317.3626216799</v>
      </c>
      <c r="F56" s="35"/>
      <c r="G56" s="55" t="str">
        <f ca="1">IFERROR(OFFSET(INDIRECT($H$3 &amp; "!A179"), 0, 0), "")</f>
        <v>캐리프로토콜</v>
      </c>
      <c r="H56" s="38">
        <f t="shared" ref="H56:H65" ca="1" si="16">_xlfn.IFNA(VLOOKUP(G56, $B$2:$D$200, 2, FALSE), "")</f>
        <v>7.14</v>
      </c>
      <c r="I56" s="76">
        <f t="shared" ref="I56:I65" ca="1" si="17">_xlfn.IFNA(VLOOKUP(G56, $B$2:$D$200, 3, FALSE), "")</f>
        <v>-8.5787452E-2</v>
      </c>
      <c r="J56" s="85">
        <f ca="1">_xlfn.IFNA(VLOOKUP(G56, $B$2:$E$200, 4, FALSE), "")</f>
        <v>553492005.58343685</v>
      </c>
      <c r="K56" s="55" t="str">
        <f ca="1">IFERROR(OFFSET(INDIRECT($H$3 &amp; "!A125"), 0, 0), "")</f>
        <v>저스트</v>
      </c>
      <c r="L56" s="38">
        <f t="shared" ref="L56:L75" ca="1" si="18">_xlfn.IFNA(VLOOKUP(K56, $B$2:$D$200, 2, FALSE), "")</f>
        <v>62</v>
      </c>
      <c r="M56" s="76">
        <f t="shared" ref="M56:M75" ca="1" si="19">_xlfn.IFNA(VLOOKUP(K56, $B$2:$D$200, 3, FALSE), "")</f>
        <v>-7.87518574E-2</v>
      </c>
      <c r="N56" s="85">
        <f ca="1">_xlfn.IFNA(VLOOKUP(K56, $B$2:$E$200, 4, FALSE), "")</f>
        <v>13079700.29814928</v>
      </c>
      <c r="O56" s="55" t="str">
        <f ca="1">IFERROR(OFFSET(INDIRECT($H$3 &amp; "!A152"), 0, 0), "")</f>
        <v>보라</v>
      </c>
      <c r="P56" s="38">
        <f t="shared" ref="P56:P75" ca="1" si="20">_xlfn.IFNA(VLOOKUP(O56, $B$2:$D$200, 2, FALSE), "")</f>
        <v>92.3</v>
      </c>
      <c r="Q56" s="76">
        <f t="shared" ref="Q56:Q75" ca="1" si="21">_xlfn.IFNA(VLOOKUP(O56, $B$2:$D$200, 3, FALSE), "")</f>
        <v>-0.120952381</v>
      </c>
      <c r="R56" s="85">
        <f ca="1">_xlfn.IFNA(VLOOKUP(O56, $B$2:$E$200, 4, FALSE), "")</f>
        <v>57979189.265103959</v>
      </c>
    </row>
    <row r="57" spans="1:18">
      <c r="A57" s="40" t="s">
        <v>109</v>
      </c>
      <c r="B57" s="11" t="s">
        <v>110</v>
      </c>
      <c r="C57" s="95">
        <v>1055</v>
      </c>
      <c r="D57" s="92">
        <v>-7.4561403499999998E-2</v>
      </c>
      <c r="E57" s="93">
        <v>1673674.44494429</v>
      </c>
      <c r="F57" s="35"/>
      <c r="G57" s="56" t="str">
        <f ca="1">IFERROR(OFFSET(INDIRECT($H$3 &amp; "!A179"), 1, 0), "")</f>
        <v>스트라이크</v>
      </c>
      <c r="H57" s="39">
        <f t="shared" ca="1" si="16"/>
        <v>49660</v>
      </c>
      <c r="I57" s="77">
        <f t="shared" ca="1" si="17"/>
        <v>-5.0114766599999999E-2</v>
      </c>
      <c r="J57" s="86">
        <f t="shared" ref="J57:J75" ca="1" si="22">_xlfn.IFNA(VLOOKUP(G57, $B$2:$E$200, 4, FALSE), "")</f>
        <v>159319.62611491</v>
      </c>
      <c r="K57" s="56" t="str">
        <f ca="1">IFERROR(OFFSET(INDIRECT($H$3 &amp; "!A125"), 1, 0), "")</f>
        <v>스테이터스네트워크토큰</v>
      </c>
      <c r="L57" s="39">
        <f t="shared" ca="1" si="18"/>
        <v>64.099999999999994</v>
      </c>
      <c r="M57" s="77">
        <f t="shared" ca="1" si="19"/>
        <v>-0.1009817672</v>
      </c>
      <c r="N57" s="86">
        <f t="shared" ref="N57:N75" ca="1" si="23">_xlfn.IFNA(VLOOKUP(K57, $B$2:$E$200, 4, FALSE), "")</f>
        <v>66983121.431315623</v>
      </c>
      <c r="O57" s="56" t="str">
        <f ca="1">IFERROR(OFFSET(INDIRECT($H$3 &amp; "!A152"), 1, 0), "")</f>
        <v>스택스</v>
      </c>
      <c r="P57" s="39">
        <f t="shared" ca="1" si="20"/>
        <v>903</v>
      </c>
      <c r="Q57" s="77">
        <f t="shared" ca="1" si="21"/>
        <v>-6.9072164899999997E-2</v>
      </c>
      <c r="R57" s="86">
        <f t="shared" ref="R57:R75" ca="1" si="24">_xlfn.IFNA(VLOOKUP(O57, $B$2:$E$200, 4, FALSE), "")</f>
        <v>3750489.2255621799</v>
      </c>
    </row>
    <row r="58" spans="1:18">
      <c r="A58" s="40" t="s">
        <v>157</v>
      </c>
      <c r="B58" s="11" t="s">
        <v>158</v>
      </c>
      <c r="C58" s="95">
        <v>4625</v>
      </c>
      <c r="D58" s="92">
        <v>-7.4999999999999997E-2</v>
      </c>
      <c r="E58" s="93">
        <v>524701.26192742004</v>
      </c>
      <c r="F58" s="35"/>
      <c r="G58" s="56" t="str">
        <f ca="1">IFERROR(OFFSET(INDIRECT($H$3 &amp; "!A179"), 2, 0), "")</f>
        <v>코박토큰</v>
      </c>
      <c r="H58" s="39">
        <f t="shared" ca="1" si="16"/>
        <v>2750</v>
      </c>
      <c r="I58" s="77">
        <f t="shared" ca="1" si="17"/>
        <v>-0.12</v>
      </c>
      <c r="J58" s="86">
        <f t="shared" ca="1" si="22"/>
        <v>1466674.4923884701</v>
      </c>
      <c r="K58" s="56" t="str">
        <f ca="1">IFERROR(OFFSET(INDIRECT($H$3 &amp; "!A125"), 2, 0), "")</f>
        <v>이그니스</v>
      </c>
      <c r="L58" s="39">
        <f t="shared" ca="1" si="18"/>
        <v>48.8</v>
      </c>
      <c r="M58" s="77">
        <f t="shared" ca="1" si="19"/>
        <v>-0.14685314690000001</v>
      </c>
      <c r="N58" s="86">
        <f t="shared" ca="1" si="23"/>
        <v>308370614.19029981</v>
      </c>
      <c r="O58" s="56" t="str">
        <f ca="1">IFERROR(OFFSET(INDIRECT($H$3 &amp; "!A152"), 2, 0), "")</f>
        <v>리플</v>
      </c>
      <c r="P58" s="39">
        <f t="shared" ca="1" si="20"/>
        <v>847</v>
      </c>
      <c r="Q58" s="77">
        <f t="shared" ca="1" si="21"/>
        <v>-5.9933407299999998E-2</v>
      </c>
      <c r="R58" s="86">
        <f t="shared" ca="1" si="24"/>
        <v>395346158.92363483</v>
      </c>
    </row>
    <row r="59" spans="1:18">
      <c r="A59" s="40" t="s">
        <v>113</v>
      </c>
      <c r="B59" s="11" t="s">
        <v>114</v>
      </c>
      <c r="C59" s="95">
        <v>9695</v>
      </c>
      <c r="D59" s="92">
        <v>-7.5786463299999995E-2</v>
      </c>
      <c r="E59" s="93">
        <v>1203449.54573767</v>
      </c>
      <c r="F59" s="35"/>
      <c r="G59" s="56" t="str">
        <f ca="1">IFERROR(OFFSET(INDIRECT($H$3 &amp; "!A179"), 3, 0), "")</f>
        <v>모스코인</v>
      </c>
      <c r="H59" s="39">
        <f t="shared" ca="1" si="16"/>
        <v>86.8</v>
      </c>
      <c r="I59" s="77">
        <f t="shared" ca="1" si="17"/>
        <v>0.180952381</v>
      </c>
      <c r="J59" s="86">
        <f t="shared" ca="1" si="22"/>
        <v>1336322855.3713338</v>
      </c>
      <c r="K59" s="56" t="str">
        <f ca="1">IFERROR(OFFSET(INDIRECT($H$3 &amp; "!A125"), 3, 0), "")</f>
        <v>무비블록</v>
      </c>
      <c r="L59" s="39">
        <f t="shared" ca="1" si="18"/>
        <v>6.65</v>
      </c>
      <c r="M59" s="77">
        <f t="shared" ca="1" si="19"/>
        <v>-6.4697609000000003E-2</v>
      </c>
      <c r="N59" s="86">
        <f t="shared" ca="1" si="23"/>
        <v>627956884.76161861</v>
      </c>
      <c r="O59" s="56" t="str">
        <f ca="1">IFERROR(OFFSET(INDIRECT($H$3 &amp; "!A152"), 3, 0), "")</f>
        <v>넴</v>
      </c>
      <c r="P59" s="39">
        <f t="shared" ca="1" si="20"/>
        <v>162</v>
      </c>
      <c r="Q59" s="77">
        <f t="shared" ca="1" si="21"/>
        <v>-6.8965517200000007E-2</v>
      </c>
      <c r="R59" s="86">
        <f t="shared" ca="1" si="24"/>
        <v>28143785.921409249</v>
      </c>
    </row>
    <row r="60" spans="1:18">
      <c r="A60" s="40" t="s">
        <v>290</v>
      </c>
      <c r="B60" s="11" t="s">
        <v>291</v>
      </c>
      <c r="C60" s="95">
        <v>314</v>
      </c>
      <c r="D60" s="92">
        <v>-7.6470588199999995E-2</v>
      </c>
      <c r="E60" s="93">
        <v>381889221.48617363</v>
      </c>
      <c r="F60" s="35"/>
      <c r="G60" s="56" t="str">
        <f ca="1">IFERROR(OFFSET(INDIRECT($H$3 &amp; "!A179"), 4, 0), "")</f>
        <v>휴먼스케이프</v>
      </c>
      <c r="H60" s="39">
        <f t="shared" ca="1" si="16"/>
        <v>71.099999999999994</v>
      </c>
      <c r="I60" s="77">
        <f t="shared" ca="1" si="17"/>
        <v>-9.5419847299999999E-2</v>
      </c>
      <c r="J60" s="90">
        <f t="shared" ca="1" si="22"/>
        <v>159844812.27721131</v>
      </c>
      <c r="K60" s="58" t="str">
        <f ca="1">IFERROR(OFFSET(INDIRECT($H$3 &amp; "!A125"), 4, 0), "")</f>
        <v>비트토렌트</v>
      </c>
      <c r="L60" s="44">
        <f t="shared" ca="1" si="18"/>
        <v>3.23</v>
      </c>
      <c r="M60" s="78">
        <f t="shared" ca="1" si="19"/>
        <v>-8.2386363599999998E-2</v>
      </c>
      <c r="N60" s="90">
        <f t="shared" ca="1" si="23"/>
        <v>9602404859.3865185</v>
      </c>
      <c r="O60" s="58" t="str">
        <f ca="1">IFERROR(OFFSET(INDIRECT($H$3 &amp; "!A152"), 4, 0), "")</f>
        <v>스토리지</v>
      </c>
      <c r="P60" s="44">
        <f t="shared" ca="1" si="20"/>
        <v>945</v>
      </c>
      <c r="Q60" s="78">
        <f t="shared" ca="1" si="21"/>
        <v>-3.7678207700000001E-2</v>
      </c>
      <c r="R60" s="90">
        <f t="shared" ca="1" si="24"/>
        <v>1349330.82146891</v>
      </c>
    </row>
    <row r="61" spans="1:18">
      <c r="A61" s="40" t="s">
        <v>278</v>
      </c>
      <c r="B61" s="11" t="s">
        <v>279</v>
      </c>
      <c r="C61" s="95">
        <v>166</v>
      </c>
      <c r="D61" s="92">
        <v>-7.7777777800000003E-2</v>
      </c>
      <c r="E61" s="93">
        <v>10759135.715093059</v>
      </c>
      <c r="F61" s="35"/>
      <c r="G61" s="60" t="str">
        <f ca="1">IFERROR(OFFSET(INDIRECT($H$3 &amp; "!A179"), 5, 0), "")</f>
        <v>시아코인</v>
      </c>
      <c r="H61" s="45">
        <f t="shared" ca="1" si="16"/>
        <v>14.6</v>
      </c>
      <c r="I61" s="80">
        <f t="shared" ca="1" si="17"/>
        <v>-8.1761006299999994E-2</v>
      </c>
      <c r="J61" s="99">
        <f t="shared" ca="1" si="22"/>
        <v>301963139.20977378</v>
      </c>
      <c r="K61" s="56" t="str">
        <f ca="1">IFERROR(OFFSET(INDIRECT($H$3 &amp; "!A125"), 5, 0), "")</f>
        <v>썬더토큰</v>
      </c>
      <c r="L61" s="39">
        <f t="shared" ca="1" si="18"/>
        <v>7.13</v>
      </c>
      <c r="M61" s="77">
        <f t="shared" ca="1" si="19"/>
        <v>-0.1098626717</v>
      </c>
      <c r="N61" s="99">
        <f t="shared" ca="1" si="23"/>
        <v>236442683.19416407</v>
      </c>
      <c r="O61" s="56" t="str">
        <f ca="1">IFERROR(OFFSET(INDIRECT($H$3 &amp; "!A152"), 5, 0), "")</f>
        <v>엘프</v>
      </c>
      <c r="P61" s="39">
        <f t="shared" ca="1" si="20"/>
        <v>212</v>
      </c>
      <c r="Q61" s="77">
        <f t="shared" ca="1" si="21"/>
        <v>-6.1946902700000001E-2</v>
      </c>
      <c r="R61" s="99">
        <f t="shared" ca="1" si="24"/>
        <v>5852198.8617601702</v>
      </c>
    </row>
    <row r="62" spans="1:18">
      <c r="A62" s="40" t="s">
        <v>256</v>
      </c>
      <c r="B62" s="11" t="s">
        <v>257</v>
      </c>
      <c r="C62" s="95">
        <v>376</v>
      </c>
      <c r="D62" s="92">
        <v>-7.8431372499999999E-2</v>
      </c>
      <c r="E62" s="93">
        <v>7351586.5983748296</v>
      </c>
      <c r="F62" s="35"/>
      <c r="G62" s="56" t="str">
        <f ca="1">IFERROR(OFFSET(INDIRECT($H$3 &amp; "!A179"), 6, 0), "")</f>
        <v>그로스톨코인</v>
      </c>
      <c r="H62" s="39">
        <f t="shared" ca="1" si="16"/>
        <v>625</v>
      </c>
      <c r="I62" s="77">
        <f t="shared" ca="1" si="17"/>
        <v>-0.10586552220000001</v>
      </c>
      <c r="J62" s="86">
        <f t="shared" ca="1" si="22"/>
        <v>2251731.3481033398</v>
      </c>
      <c r="K62" s="56" t="str">
        <f ca="1">IFERROR(OFFSET(INDIRECT($H$3 &amp; "!A125"), 6, 0), "")</f>
        <v>오브스</v>
      </c>
      <c r="L62" s="39">
        <f t="shared" ca="1" si="18"/>
        <v>60.7</v>
      </c>
      <c r="M62" s="77">
        <f t="shared" ca="1" si="19"/>
        <v>-8.1694402400000005E-2</v>
      </c>
      <c r="N62" s="86">
        <f t="shared" ca="1" si="23"/>
        <v>43353970.306137659</v>
      </c>
      <c r="O62" s="56" t="str">
        <f ca="1">IFERROR(OFFSET(INDIRECT($H$3 &amp; "!A152"), 6, 0), "")</f>
        <v>왁스</v>
      </c>
      <c r="P62" s="39">
        <f t="shared" ca="1" si="20"/>
        <v>125</v>
      </c>
      <c r="Q62" s="77">
        <f t="shared" ca="1" si="21"/>
        <v>-3.8461538500000003E-2</v>
      </c>
      <c r="R62" s="86">
        <f t="shared" ca="1" si="24"/>
        <v>4990132.2504720204</v>
      </c>
    </row>
    <row r="63" spans="1:18">
      <c r="A63" s="40" t="s">
        <v>272</v>
      </c>
      <c r="B63" s="11" t="s">
        <v>273</v>
      </c>
      <c r="C63" s="95">
        <v>62</v>
      </c>
      <c r="D63" s="92">
        <v>-7.87518574E-2</v>
      </c>
      <c r="E63" s="93">
        <v>13079700.29814928</v>
      </c>
      <c r="F63" s="35"/>
      <c r="G63" s="56" t="str">
        <f ca="1">IFERROR(OFFSET(INDIRECT($H$3 &amp; "!A179"), 7, 0), "")</f>
        <v>폴리매쓰</v>
      </c>
      <c r="H63" s="39">
        <f t="shared" ca="1" si="16"/>
        <v>229</v>
      </c>
      <c r="I63" s="77">
        <f t="shared" ca="1" si="17"/>
        <v>2.69058296E-2</v>
      </c>
      <c r="J63" s="86">
        <f t="shared" ca="1" si="22"/>
        <v>286652272.06019866</v>
      </c>
      <c r="K63" s="56" t="str">
        <f ca="1">IFERROR(OFFSET(INDIRECT($H$3 &amp; "!A125"), 7, 0), "")</f>
        <v>리퍼리움</v>
      </c>
      <c r="L63" s="39">
        <f t="shared" ca="1" si="18"/>
        <v>7.69</v>
      </c>
      <c r="M63" s="77">
        <f t="shared" ca="1" si="19"/>
        <v>-9.9531615899999995E-2</v>
      </c>
      <c r="N63" s="86">
        <f t="shared" ca="1" si="23"/>
        <v>531157146.79148179</v>
      </c>
      <c r="O63" s="56" t="str">
        <f ca="1">IFERROR(OFFSET(INDIRECT($H$3 &amp; "!A152"), 7, 0), "")</f>
        <v>샌드박스</v>
      </c>
      <c r="P63" s="39">
        <f t="shared" ca="1" si="20"/>
        <v>268</v>
      </c>
      <c r="Q63" s="77">
        <f t="shared" ca="1" si="21"/>
        <v>-7.9037800699999994E-2</v>
      </c>
      <c r="R63" s="86">
        <f t="shared" ca="1" si="24"/>
        <v>16150560.004000099</v>
      </c>
    </row>
    <row r="64" spans="1:18">
      <c r="A64" s="40" t="s">
        <v>115</v>
      </c>
      <c r="B64" s="11" t="s">
        <v>116</v>
      </c>
      <c r="C64" s="95">
        <v>268</v>
      </c>
      <c r="D64" s="92">
        <v>-7.9037800699999994E-2</v>
      </c>
      <c r="E64" s="93">
        <v>16150560.004000099</v>
      </c>
      <c r="F64" s="35"/>
      <c r="G64" s="56" t="str">
        <f ca="1">IFERROR(OFFSET(INDIRECT($H$3 &amp; "!A179"), 8, 0), "")</f>
        <v>하이브</v>
      </c>
      <c r="H64" s="39">
        <f t="shared" ca="1" si="16"/>
        <v>326</v>
      </c>
      <c r="I64" s="77">
        <f t="shared" ca="1" si="17"/>
        <v>-8.42696629E-2</v>
      </c>
      <c r="J64" s="86">
        <f t="shared" ca="1" si="22"/>
        <v>3843304.4605664099</v>
      </c>
      <c r="K64" s="56" t="str">
        <f ca="1">IFERROR(OFFSET(INDIRECT($H$3 &amp; "!A125"), 8, 0), "")</f>
        <v>센티넬프로토콜</v>
      </c>
      <c r="L64" s="39">
        <f t="shared" ca="1" si="18"/>
        <v>81.400000000000006</v>
      </c>
      <c r="M64" s="77">
        <f t="shared" ca="1" si="19"/>
        <v>-4.3478260900000003E-2</v>
      </c>
      <c r="N64" s="86">
        <f t="shared" ca="1" si="23"/>
        <v>443561008.12862182</v>
      </c>
      <c r="O64" s="56" t="str">
        <f ca="1">IFERROR(OFFSET(INDIRECT($H$3 &amp; "!A152"), 8, 0), "")</f>
        <v>아더</v>
      </c>
      <c r="P64" s="39">
        <f t="shared" ca="1" si="20"/>
        <v>166</v>
      </c>
      <c r="Q64" s="77">
        <f t="shared" ca="1" si="21"/>
        <v>-7.7777777800000003E-2</v>
      </c>
      <c r="R64" s="86">
        <f t="shared" ca="1" si="24"/>
        <v>10759135.715093059</v>
      </c>
    </row>
    <row r="65" spans="1:18" ht="17.25" thickBot="1">
      <c r="A65" s="40" t="s">
        <v>237</v>
      </c>
      <c r="B65" s="11" t="s">
        <v>238</v>
      </c>
      <c r="C65" s="95">
        <v>2785</v>
      </c>
      <c r="D65" s="92">
        <v>-8.0858085800000007E-2</v>
      </c>
      <c r="E65" s="93">
        <v>693772.77191389003</v>
      </c>
      <c r="F65" s="35"/>
      <c r="G65" s="57" t="str">
        <f ca="1">IFERROR(OFFSET(INDIRECT($H$3 &amp; "!A179"), 9, 0), "")</f>
        <v>스팀</v>
      </c>
      <c r="H65" s="37">
        <f t="shared" ca="1" si="16"/>
        <v>376</v>
      </c>
      <c r="I65" s="79">
        <f t="shared" ca="1" si="17"/>
        <v>-7.8431372499999999E-2</v>
      </c>
      <c r="J65" s="87">
        <f t="shared" ca="1" si="22"/>
        <v>7351586.5983748296</v>
      </c>
      <c r="K65" s="57" t="str">
        <f ca="1">IFERROR(OFFSET(INDIRECT($H$3 &amp; "!A125"), 9, 0), "")</f>
        <v>쿼크체인</v>
      </c>
      <c r="L65" s="37">
        <f t="shared" ca="1" si="18"/>
        <v>14.9</v>
      </c>
      <c r="M65" s="79">
        <f t="shared" ca="1" si="19"/>
        <v>-0.1130952381</v>
      </c>
      <c r="N65" s="87">
        <f t="shared" ca="1" si="23"/>
        <v>103324288.16913599</v>
      </c>
      <c r="O65" s="57" t="str">
        <f ca="1">IFERROR(OFFSET(INDIRECT($H$3 &amp; "!A152"), 9, 0), "")</f>
        <v>온톨로지가스</v>
      </c>
      <c r="P65" s="37">
        <f t="shared" ca="1" si="20"/>
        <v>797</v>
      </c>
      <c r="Q65" s="79">
        <f t="shared" ca="1" si="21"/>
        <v>-0.1034870641</v>
      </c>
      <c r="R65" s="87">
        <f t="shared" ca="1" si="24"/>
        <v>4813338.3014962599</v>
      </c>
    </row>
    <row r="66" spans="1:18">
      <c r="A66" s="40" t="s">
        <v>133</v>
      </c>
      <c r="B66" s="11" t="s">
        <v>134</v>
      </c>
      <c r="C66" s="95">
        <v>60.7</v>
      </c>
      <c r="D66" s="92">
        <v>-8.1694402400000005E-2</v>
      </c>
      <c r="E66" s="93">
        <v>43353970.306137659</v>
      </c>
      <c r="F66" s="35"/>
      <c r="G66" s="56" t="str">
        <f ca="1">IFERROR(OFFSET(INDIRECT($H$3 &amp; "!A179"), 10, 0), "")</f>
        <v>헤데라해시그래프</v>
      </c>
      <c r="H66" s="38">
        <f t="shared" ref="H66:H75" ca="1" si="25">_xlfn.IFNA(VLOOKUP(G66, $B$2:$D$200, 2, FALSE), "")</f>
        <v>218</v>
      </c>
      <c r="I66" s="76">
        <f t="shared" ref="I66:I75" ca="1" si="26">_xlfn.IFNA(VLOOKUP(G66, $B$2:$D$200, 3, FALSE), "")</f>
        <v>-6.0344827599999998E-2</v>
      </c>
      <c r="J66" s="85">
        <f t="shared" ca="1" si="22"/>
        <v>9282456.5616596993</v>
      </c>
      <c r="K66" s="55" t="str">
        <f ca="1">IFERROR(OFFSET(INDIRECT($H$3 &amp; "!A125"), 10, 0), "")</f>
        <v>피르마체인</v>
      </c>
      <c r="L66" s="38">
        <f t="shared" ca="1" si="18"/>
        <v>75.5</v>
      </c>
      <c r="M66" s="76">
        <f t="shared" ca="1" si="19"/>
        <v>-2.4547803600000001E-2</v>
      </c>
      <c r="N66" s="85">
        <f t="shared" ca="1" si="23"/>
        <v>443346130.45476234</v>
      </c>
      <c r="O66" s="55" t="str">
        <f ca="1">IFERROR(OFFSET(INDIRECT($H$3 &amp; "!A152"), 10, 0), "")</f>
        <v>헌트</v>
      </c>
      <c r="P66" s="38">
        <f t="shared" ca="1" si="20"/>
        <v>208</v>
      </c>
      <c r="Q66" s="76">
        <f t="shared" ca="1" si="21"/>
        <v>-5.45454545E-2</v>
      </c>
      <c r="R66" s="85">
        <f t="shared" ca="1" si="24"/>
        <v>129388248.60915326</v>
      </c>
    </row>
    <row r="67" spans="1:18">
      <c r="A67" s="40" t="s">
        <v>151</v>
      </c>
      <c r="B67" s="11" t="s">
        <v>152</v>
      </c>
      <c r="C67" s="95">
        <v>14.6</v>
      </c>
      <c r="D67" s="92">
        <v>-8.1761006299999994E-2</v>
      </c>
      <c r="E67" s="93">
        <v>301963139.20977378</v>
      </c>
      <c r="F67" s="35"/>
      <c r="G67" s="56" t="str">
        <f ca="1">IFERROR(OFFSET(INDIRECT($H$3 &amp; "!A179"), 11, 0), "")</f>
        <v>플레이댑</v>
      </c>
      <c r="H67" s="39">
        <f t="shared" ca="1" si="25"/>
        <v>166</v>
      </c>
      <c r="I67" s="77">
        <f t="shared" ca="1" si="26"/>
        <v>-9.7826087000000006E-2</v>
      </c>
      <c r="J67" s="86">
        <f t="shared" ca="1" si="22"/>
        <v>10994932.83956304</v>
      </c>
      <c r="K67" s="56" t="str">
        <f ca="1">IFERROR(OFFSET(INDIRECT($H$3 &amp; "!A125"), 11, 0), "")</f>
        <v>캐리프로토콜</v>
      </c>
      <c r="L67" s="39">
        <f t="shared" ca="1" si="18"/>
        <v>7.14</v>
      </c>
      <c r="M67" s="77">
        <f t="shared" ca="1" si="19"/>
        <v>-8.5787452E-2</v>
      </c>
      <c r="N67" s="86">
        <f t="shared" ca="1" si="23"/>
        <v>553492005.58343685</v>
      </c>
      <c r="O67" s="56" t="str">
        <f ca="1">IFERROR(OFFSET(INDIRECT($H$3 &amp; "!A152"), 11, 0), "")</f>
        <v>시빅</v>
      </c>
      <c r="P67" s="39">
        <f t="shared" ca="1" si="20"/>
        <v>250</v>
      </c>
      <c r="Q67" s="77">
        <f t="shared" ca="1" si="21"/>
        <v>-7.0631970299999999E-2</v>
      </c>
      <c r="R67" s="86">
        <f t="shared" ca="1" si="24"/>
        <v>23634595.576000899</v>
      </c>
    </row>
    <row r="68" spans="1:18">
      <c r="A68" s="40" t="s">
        <v>99</v>
      </c>
      <c r="B68" s="11" t="s">
        <v>100</v>
      </c>
      <c r="C68" s="95">
        <v>3.23</v>
      </c>
      <c r="D68" s="92">
        <v>-8.2386363599999998E-2</v>
      </c>
      <c r="E68" s="93">
        <v>9602404859.3865185</v>
      </c>
      <c r="F68" s="35"/>
      <c r="G68" s="56" t="str">
        <f ca="1">IFERROR(OFFSET(INDIRECT($H$3 &amp; "!A179"), 12, 0), "")</f>
        <v>톤</v>
      </c>
      <c r="H68" s="39">
        <f t="shared" ca="1" si="25"/>
        <v>5025</v>
      </c>
      <c r="I68" s="77">
        <f t="shared" ca="1" si="26"/>
        <v>-0.1153169014</v>
      </c>
      <c r="J68" s="86">
        <f t="shared" ca="1" si="22"/>
        <v>798729.51065375004</v>
      </c>
      <c r="K68" s="56" t="str">
        <f ca="1">IFERROR(OFFSET(INDIRECT($H$3 &amp; "!A125"), 12, 0), "")</f>
        <v>모스코인</v>
      </c>
      <c r="L68" s="39">
        <f t="shared" ca="1" si="18"/>
        <v>86.8</v>
      </c>
      <c r="M68" s="77">
        <f t="shared" ca="1" si="19"/>
        <v>0.180952381</v>
      </c>
      <c r="N68" s="86">
        <f t="shared" ca="1" si="23"/>
        <v>1336322855.3713338</v>
      </c>
      <c r="O68" s="56" t="str">
        <f ca="1">IFERROR(OFFSET(INDIRECT($H$3 &amp; "!A152"), 12, 0), "")</f>
        <v>파워렛저</v>
      </c>
      <c r="P68" s="39">
        <f t="shared" ca="1" si="20"/>
        <v>183</v>
      </c>
      <c r="Q68" s="77">
        <f t="shared" ca="1" si="21"/>
        <v>-9.4059405900000004E-2</v>
      </c>
      <c r="R68" s="86">
        <f t="shared" ca="1" si="24"/>
        <v>8767042.5442807209</v>
      </c>
    </row>
    <row r="69" spans="1:18">
      <c r="A69" s="40" t="s">
        <v>93</v>
      </c>
      <c r="B69" s="11" t="s">
        <v>94</v>
      </c>
      <c r="C69" s="95">
        <v>57060</v>
      </c>
      <c r="D69" s="92">
        <v>-8.3226221099999997E-2</v>
      </c>
      <c r="E69" s="93">
        <v>242391.77989663999</v>
      </c>
      <c r="F69" s="35"/>
      <c r="G69" s="56" t="str">
        <f ca="1">IFERROR(OFFSET(INDIRECT($H$3 &amp; "!A179"), 13, 0), "")</f>
        <v>메인프레임</v>
      </c>
      <c r="H69" s="39">
        <f t="shared" ca="1" si="25"/>
        <v>8.65</v>
      </c>
      <c r="I69" s="77">
        <f t="shared" ca="1" si="26"/>
        <v>-8.8514225500000002E-2</v>
      </c>
      <c r="J69" s="86">
        <f t="shared" ca="1" si="22"/>
        <v>322537080.73804456</v>
      </c>
      <c r="K69" s="56" t="str">
        <f ca="1">IFERROR(OFFSET(INDIRECT($H$3 &amp; "!A125"), 13, 0), "")</f>
        <v>휴먼스케이프</v>
      </c>
      <c r="L69" s="39">
        <f t="shared" ca="1" si="18"/>
        <v>71.099999999999994</v>
      </c>
      <c r="M69" s="77">
        <f t="shared" ca="1" si="19"/>
        <v>-9.5419847299999999E-2</v>
      </c>
      <c r="N69" s="86">
        <f t="shared" ca="1" si="23"/>
        <v>159844812.27721131</v>
      </c>
      <c r="O69" s="56" t="str">
        <f ca="1">IFERROR(OFFSET(INDIRECT($H$3 &amp; "!A152"), 13, 0), "")</f>
        <v>그로스톨코인</v>
      </c>
      <c r="P69" s="39">
        <f t="shared" ca="1" si="20"/>
        <v>625</v>
      </c>
      <c r="Q69" s="77">
        <f t="shared" ca="1" si="21"/>
        <v>-0.10586552220000001</v>
      </c>
      <c r="R69" s="86">
        <f t="shared" ca="1" si="24"/>
        <v>2251731.3481033398</v>
      </c>
    </row>
    <row r="70" spans="1:18">
      <c r="A70" s="40" t="s">
        <v>252</v>
      </c>
      <c r="B70" s="11" t="s">
        <v>253</v>
      </c>
      <c r="C70" s="95">
        <v>326</v>
      </c>
      <c r="D70" s="92">
        <v>-8.42696629E-2</v>
      </c>
      <c r="E70" s="93">
        <v>3843304.4605664099</v>
      </c>
      <c r="F70" s="35"/>
      <c r="G70" s="56" t="str">
        <f ca="1">IFERROR(OFFSET(INDIRECT($H$3 &amp; "!A179"), 14, 0), "")</f>
        <v>썸씽</v>
      </c>
      <c r="H70" s="39">
        <f t="shared" ca="1" si="25"/>
        <v>41</v>
      </c>
      <c r="I70" s="77">
        <f t="shared" ca="1" si="26"/>
        <v>-0.12951167729999999</v>
      </c>
      <c r="J70" s="90">
        <f t="shared" ca="1" si="22"/>
        <v>147281792.65596309</v>
      </c>
      <c r="K70" s="58" t="str">
        <f ca="1">IFERROR(OFFSET(INDIRECT($H$3 &amp; "!A125"), 14, 0), "")</f>
        <v>시아코인</v>
      </c>
      <c r="L70" s="44">
        <f t="shared" ca="1" si="18"/>
        <v>14.6</v>
      </c>
      <c r="M70" s="78">
        <f t="shared" ca="1" si="19"/>
        <v>-8.1761006299999994E-2</v>
      </c>
      <c r="N70" s="90">
        <f t="shared" ca="1" si="23"/>
        <v>301963139.20977378</v>
      </c>
      <c r="O70" s="58" t="str">
        <f ca="1">IFERROR(OFFSET(INDIRECT($H$3 &amp; "!A152"), 14, 0), "")</f>
        <v>폴리매쓰</v>
      </c>
      <c r="P70" s="44">
        <f t="shared" ca="1" si="20"/>
        <v>229</v>
      </c>
      <c r="Q70" s="78">
        <f t="shared" ca="1" si="21"/>
        <v>2.69058296E-2</v>
      </c>
      <c r="R70" s="90">
        <f t="shared" ca="1" si="24"/>
        <v>286652272.06019866</v>
      </c>
    </row>
    <row r="71" spans="1:18">
      <c r="A71" s="40" t="s">
        <v>153</v>
      </c>
      <c r="B71" s="11" t="s">
        <v>154</v>
      </c>
      <c r="C71" s="95">
        <v>7.14</v>
      </c>
      <c r="D71" s="92">
        <v>-8.5787452E-2</v>
      </c>
      <c r="E71" s="93">
        <v>553492005.58343685</v>
      </c>
      <c r="F71" s="35"/>
      <c r="G71" s="60" t="str">
        <f ca="1">IFERROR(OFFSET(INDIRECT($H$3 &amp; "!A179"), 15, 0), "")</f>
        <v>던프로토콜</v>
      </c>
      <c r="H71" s="45">
        <f t="shared" ca="1" si="25"/>
        <v>2280</v>
      </c>
      <c r="I71" s="80">
        <f t="shared" ca="1" si="26"/>
        <v>-0.13472485770000001</v>
      </c>
      <c r="J71" s="99">
        <f t="shared" ca="1" si="22"/>
        <v>2555389.1206715801</v>
      </c>
      <c r="K71" s="56" t="str">
        <f ca="1">IFERROR(OFFSET(INDIRECT($H$3 &amp; "!A125"), 15, 0), "")</f>
        <v>메인프레임</v>
      </c>
      <c r="L71" s="39">
        <f t="shared" ca="1" si="18"/>
        <v>8.65</v>
      </c>
      <c r="M71" s="77">
        <f t="shared" ca="1" si="19"/>
        <v>-8.8514225500000002E-2</v>
      </c>
      <c r="N71" s="99">
        <f t="shared" ca="1" si="23"/>
        <v>322537080.73804456</v>
      </c>
      <c r="O71" s="56" t="str">
        <f ca="1">IFERROR(OFFSET(INDIRECT($H$3 &amp; "!A152"), 15, 0), "")</f>
        <v>하이브</v>
      </c>
      <c r="P71" s="39">
        <f t="shared" ca="1" si="20"/>
        <v>326</v>
      </c>
      <c r="Q71" s="77">
        <f t="shared" ca="1" si="21"/>
        <v>-8.42696629E-2</v>
      </c>
      <c r="R71" s="99">
        <f t="shared" ca="1" si="24"/>
        <v>3843304.4605664099</v>
      </c>
    </row>
    <row r="72" spans="1:18">
      <c r="A72" s="40" t="s">
        <v>266</v>
      </c>
      <c r="B72" s="11" t="s">
        <v>267</v>
      </c>
      <c r="C72" s="95">
        <v>1095</v>
      </c>
      <c r="D72" s="92">
        <v>-8.7499999999999994E-2</v>
      </c>
      <c r="E72" s="93">
        <v>1872025.2036659601</v>
      </c>
      <c r="F72" s="35"/>
      <c r="G72" s="56" t="str">
        <f ca="1">IFERROR(OFFSET(INDIRECT($H$3 &amp; "!A179"), 16, 0), "")</f>
        <v>메디블록</v>
      </c>
      <c r="H72" s="39">
        <f t="shared" ca="1" si="25"/>
        <v>43.7</v>
      </c>
      <c r="I72" s="77">
        <f t="shared" ca="1" si="26"/>
        <v>-5.2060737500000002E-2</v>
      </c>
      <c r="J72" s="86">
        <f t="shared" ca="1" si="22"/>
        <v>397177244.08670646</v>
      </c>
      <c r="K72" s="56" t="str">
        <f ca="1">IFERROR(OFFSET(INDIRECT($H$3 &amp; "!A125"), 16, 0), "")</f>
        <v>썸씽</v>
      </c>
      <c r="L72" s="39">
        <f t="shared" ca="1" si="18"/>
        <v>41</v>
      </c>
      <c r="M72" s="77">
        <f t="shared" ca="1" si="19"/>
        <v>-0.12951167729999999</v>
      </c>
      <c r="N72" s="86">
        <f t="shared" ca="1" si="23"/>
        <v>147281792.65596309</v>
      </c>
      <c r="O72" s="56" t="str">
        <f ca="1">IFERROR(OFFSET(INDIRECT($H$3 &amp; "!A152"), 16, 0), "")</f>
        <v>스팀</v>
      </c>
      <c r="P72" s="39">
        <f t="shared" ca="1" si="20"/>
        <v>376</v>
      </c>
      <c r="Q72" s="77">
        <f t="shared" ca="1" si="21"/>
        <v>-7.8431372499999999E-2</v>
      </c>
      <c r="R72" s="86">
        <f t="shared" ca="1" si="24"/>
        <v>7351586.5983748296</v>
      </c>
    </row>
    <row r="73" spans="1:18">
      <c r="A73" s="40" t="s">
        <v>239</v>
      </c>
      <c r="B73" s="11" t="s">
        <v>240</v>
      </c>
      <c r="C73" s="95">
        <v>1185</v>
      </c>
      <c r="D73" s="92">
        <v>-8.8461538500000006E-2</v>
      </c>
      <c r="E73" s="93">
        <v>2281206.5825687801</v>
      </c>
      <c r="F73" s="35"/>
      <c r="G73" s="56" t="str">
        <f ca="1">IFERROR(OFFSET(INDIRECT($H$3 &amp; "!A179"), 17, 0), "")</f>
        <v>아르고</v>
      </c>
      <c r="H73" s="39">
        <f t="shared" ca="1" si="25"/>
        <v>144</v>
      </c>
      <c r="I73" s="77">
        <f t="shared" ca="1" si="26"/>
        <v>-0.14792899409999999</v>
      </c>
      <c r="J73" s="86">
        <f t="shared" ca="1" si="22"/>
        <v>26780998.958076298</v>
      </c>
      <c r="K73" s="56" t="str">
        <f ca="1">IFERROR(OFFSET(INDIRECT($H$3 &amp; "!A125"), 17, 0), "")</f>
        <v>메디블록</v>
      </c>
      <c r="L73" s="39">
        <f t="shared" ca="1" si="18"/>
        <v>43.7</v>
      </c>
      <c r="M73" s="77">
        <f t="shared" ca="1" si="19"/>
        <v>-5.2060737500000002E-2</v>
      </c>
      <c r="N73" s="86">
        <f t="shared" ca="1" si="23"/>
        <v>397177244.08670646</v>
      </c>
      <c r="O73" s="56" t="str">
        <f ca="1">IFERROR(OFFSET(INDIRECT($H$3 &amp; "!A152"), 17, 0), "")</f>
        <v>헤데라해시그래프</v>
      </c>
      <c r="P73" s="39">
        <f t="shared" ca="1" si="20"/>
        <v>218</v>
      </c>
      <c r="Q73" s="77">
        <f t="shared" ca="1" si="21"/>
        <v>-6.0344827599999998E-2</v>
      </c>
      <c r="R73" s="86">
        <f t="shared" ca="1" si="24"/>
        <v>9282456.5616596993</v>
      </c>
    </row>
    <row r="74" spans="1:18">
      <c r="A74" s="40" t="s">
        <v>216</v>
      </c>
      <c r="B74" s="11" t="s">
        <v>217</v>
      </c>
      <c r="C74" s="95">
        <v>8.65</v>
      </c>
      <c r="D74" s="92">
        <v>-8.8514225500000002E-2</v>
      </c>
      <c r="E74" s="93">
        <v>322537080.73804456</v>
      </c>
      <c r="F74" s="35"/>
      <c r="G74" s="56" t="str">
        <f ca="1">IFERROR(OFFSET(INDIRECT($H$3 &amp; "!A179"), 18, 0), "")</f>
        <v>에스티피</v>
      </c>
      <c r="H74" s="39">
        <f t="shared" ca="1" si="25"/>
        <v>43.2</v>
      </c>
      <c r="I74" s="77">
        <f t="shared" ca="1" si="26"/>
        <v>-9.6234309599999998E-2</v>
      </c>
      <c r="J74" s="86">
        <f t="shared" ca="1" si="22"/>
        <v>61282938.62472713</v>
      </c>
      <c r="K74" s="56" t="str">
        <f ca="1">IFERROR(OFFSET(INDIRECT($H$3 &amp; "!A125"), 18, 0), "")</f>
        <v>에스티피</v>
      </c>
      <c r="L74" s="39">
        <f t="shared" ca="1" si="18"/>
        <v>43.2</v>
      </c>
      <c r="M74" s="77">
        <f t="shared" ca="1" si="19"/>
        <v>-9.6234309599999998E-2</v>
      </c>
      <c r="N74" s="86">
        <f t="shared" ca="1" si="23"/>
        <v>61282938.62472713</v>
      </c>
      <c r="O74" s="56" t="str">
        <f ca="1">IFERROR(OFFSET(INDIRECT($H$3 &amp; "!A152"), 18, 0), "")</f>
        <v>플레이댑</v>
      </c>
      <c r="P74" s="39">
        <f t="shared" ca="1" si="20"/>
        <v>166</v>
      </c>
      <c r="Q74" s="77">
        <f t="shared" ca="1" si="21"/>
        <v>-9.7826087000000006E-2</v>
      </c>
      <c r="R74" s="86">
        <f t="shared" ca="1" si="24"/>
        <v>10994932.83956304</v>
      </c>
    </row>
    <row r="75" spans="1:18" ht="17.25" thickBot="1">
      <c r="A75" s="40" t="s">
        <v>258</v>
      </c>
      <c r="B75" s="11" t="s">
        <v>259</v>
      </c>
      <c r="C75" s="95">
        <v>59.6</v>
      </c>
      <c r="D75" s="92">
        <v>-8.8685015300000003E-2</v>
      </c>
      <c r="E75" s="93">
        <v>20957674.131093942</v>
      </c>
      <c r="F75" s="35"/>
      <c r="G75" s="57" t="str">
        <f ca="1">IFERROR(OFFSET(INDIRECT($H$3 &amp; "!A179"), 19, 0), "")</f>
        <v>메타디움</v>
      </c>
      <c r="H75" s="37">
        <f t="shared" ca="1" si="25"/>
        <v>61.1</v>
      </c>
      <c r="I75" s="79">
        <f t="shared" ca="1" si="26"/>
        <v>-0.12962962959999999</v>
      </c>
      <c r="J75" s="87">
        <f t="shared" ca="1" si="22"/>
        <v>83238866.382912993</v>
      </c>
      <c r="K75" s="57" t="str">
        <f ca="1">IFERROR(OFFSET(INDIRECT($H$3 &amp; "!A125"), 19, 0), "")</f>
        <v>메타디움</v>
      </c>
      <c r="L75" s="37">
        <f t="shared" ca="1" si="18"/>
        <v>61.1</v>
      </c>
      <c r="M75" s="79">
        <f t="shared" ca="1" si="19"/>
        <v>-0.12962962959999999</v>
      </c>
      <c r="N75" s="87">
        <f t="shared" ca="1" si="23"/>
        <v>83238866.382912993</v>
      </c>
      <c r="O75" s="57" t="str">
        <f ca="1">IFERROR(OFFSET(INDIRECT($H$3 &amp; "!A152"), 19, 0), "")</f>
        <v>아르고</v>
      </c>
      <c r="P75" s="37">
        <f t="shared" ca="1" si="20"/>
        <v>144</v>
      </c>
      <c r="Q75" s="79">
        <f t="shared" ca="1" si="21"/>
        <v>-0.14792899409999999</v>
      </c>
      <c r="R75" s="87">
        <f t="shared" ca="1" si="24"/>
        <v>26780998.958076298</v>
      </c>
    </row>
    <row r="76" spans="1:18">
      <c r="A76" s="40" t="s">
        <v>268</v>
      </c>
      <c r="B76" s="11" t="s">
        <v>269</v>
      </c>
      <c r="C76" s="95">
        <v>6750</v>
      </c>
      <c r="D76" s="92">
        <v>-9.2131808999999995E-2</v>
      </c>
      <c r="E76" s="93">
        <v>1159157.15291046</v>
      </c>
      <c r="F76" s="35"/>
      <c r="G76" s="35"/>
      <c r="H76" s="35"/>
      <c r="I76" s="35"/>
    </row>
    <row r="77" spans="1:18">
      <c r="A77" s="40" t="s">
        <v>176</v>
      </c>
      <c r="B77" s="11" t="s">
        <v>177</v>
      </c>
      <c r="C77" s="95">
        <v>17990</v>
      </c>
      <c r="D77" s="92">
        <v>-9.3245967700000001E-2</v>
      </c>
      <c r="E77" s="93">
        <v>161454.10819554</v>
      </c>
      <c r="F77" s="35"/>
      <c r="G77" s="35"/>
      <c r="H77" s="35"/>
      <c r="I77" s="35"/>
    </row>
    <row r="78" spans="1:18">
      <c r="A78" s="40" t="s">
        <v>180</v>
      </c>
      <c r="B78" s="11" t="s">
        <v>181</v>
      </c>
      <c r="C78" s="95">
        <v>183</v>
      </c>
      <c r="D78" s="92">
        <v>-9.4059405900000004E-2</v>
      </c>
      <c r="E78" s="93">
        <v>8767042.5442807209</v>
      </c>
      <c r="F78" s="35"/>
      <c r="G78" s="35"/>
      <c r="H78" s="35"/>
      <c r="I78" s="35"/>
    </row>
    <row r="79" spans="1:18">
      <c r="A79" s="40" t="s">
        <v>145</v>
      </c>
      <c r="B79" s="11" t="s">
        <v>146</v>
      </c>
      <c r="C79" s="95">
        <v>7275</v>
      </c>
      <c r="D79" s="92">
        <v>-9.5149253700000005E-2</v>
      </c>
      <c r="E79" s="93">
        <v>272600.94321777002</v>
      </c>
      <c r="F79" s="35"/>
      <c r="G79" s="35"/>
      <c r="H79" s="35"/>
      <c r="I79" s="35"/>
    </row>
    <row r="80" spans="1:18">
      <c r="A80" s="40" t="s">
        <v>226</v>
      </c>
      <c r="B80" s="11" t="s">
        <v>227</v>
      </c>
      <c r="C80" s="95">
        <v>71.099999999999994</v>
      </c>
      <c r="D80" s="92">
        <v>-9.5419847299999999E-2</v>
      </c>
      <c r="E80" s="93">
        <v>159844812.27721131</v>
      </c>
      <c r="F80" s="35"/>
      <c r="G80" s="35"/>
      <c r="H80" s="35"/>
      <c r="I80" s="35"/>
    </row>
    <row r="81" spans="1:9">
      <c r="A81" s="40" t="s">
        <v>184</v>
      </c>
      <c r="B81" s="11" t="s">
        <v>185</v>
      </c>
      <c r="C81" s="95">
        <v>12.3</v>
      </c>
      <c r="D81" s="92">
        <v>-9.5588235300000005E-2</v>
      </c>
      <c r="E81" s="93">
        <v>219189948.73443747</v>
      </c>
      <c r="F81" s="35"/>
      <c r="G81" s="35"/>
      <c r="H81" s="35"/>
      <c r="I81" s="35"/>
    </row>
    <row r="82" spans="1:9">
      <c r="A82" s="40" t="s">
        <v>260</v>
      </c>
      <c r="B82" s="11" t="s">
        <v>261</v>
      </c>
      <c r="C82" s="95">
        <v>43.2</v>
      </c>
      <c r="D82" s="92">
        <v>-9.6234309599999998E-2</v>
      </c>
      <c r="E82" s="93">
        <v>61282938.62472713</v>
      </c>
      <c r="F82" s="35"/>
      <c r="G82" s="35"/>
      <c r="H82" s="35"/>
      <c r="I82" s="35"/>
    </row>
    <row r="83" spans="1:9">
      <c r="A83" s="40" t="s">
        <v>222</v>
      </c>
      <c r="B83" s="11" t="s">
        <v>223</v>
      </c>
      <c r="C83" s="95">
        <v>166</v>
      </c>
      <c r="D83" s="92">
        <v>-9.7826087000000006E-2</v>
      </c>
      <c r="E83" s="93">
        <v>10994932.83956304</v>
      </c>
      <c r="F83" s="35"/>
      <c r="G83" s="35"/>
      <c r="H83" s="35"/>
      <c r="I83" s="35"/>
    </row>
    <row r="84" spans="1:9">
      <c r="A84" s="40" t="s">
        <v>211</v>
      </c>
      <c r="B84" s="11" t="s">
        <v>212</v>
      </c>
      <c r="C84" s="95">
        <v>7.69</v>
      </c>
      <c r="D84" s="92">
        <v>-9.9531615899999995E-2</v>
      </c>
      <c r="E84" s="93">
        <v>531157146.79148179</v>
      </c>
      <c r="F84" s="35"/>
      <c r="G84" s="35"/>
      <c r="H84" s="35"/>
      <c r="I84" s="35"/>
    </row>
    <row r="85" spans="1:9">
      <c r="A85" s="40" t="s">
        <v>204</v>
      </c>
      <c r="B85" s="11" t="s">
        <v>205</v>
      </c>
      <c r="C85" s="95">
        <v>10640</v>
      </c>
      <c r="D85" s="92">
        <v>-0.100591716</v>
      </c>
      <c r="E85" s="93">
        <v>375102.72959263</v>
      </c>
      <c r="F85" s="35"/>
      <c r="G85" s="35"/>
      <c r="H85" s="35"/>
      <c r="I85" s="35"/>
    </row>
    <row r="86" spans="1:9">
      <c r="A86" s="40" t="s">
        <v>166</v>
      </c>
      <c r="B86" s="11" t="s">
        <v>167</v>
      </c>
      <c r="C86" s="95">
        <v>64.099999999999994</v>
      </c>
      <c r="D86" s="92">
        <v>-0.1009817672</v>
      </c>
      <c r="E86" s="93">
        <v>66983121.431315623</v>
      </c>
      <c r="F86" s="35"/>
      <c r="G86" s="35"/>
      <c r="H86" s="35"/>
      <c r="I86" s="35"/>
    </row>
    <row r="87" spans="1:9">
      <c r="A87" s="40" t="s">
        <v>178</v>
      </c>
      <c r="B87" s="11" t="s">
        <v>179</v>
      </c>
      <c r="C87" s="95">
        <v>1865</v>
      </c>
      <c r="D87" s="92">
        <v>-0.1033653846</v>
      </c>
      <c r="E87" s="93">
        <v>3169278.5624449998</v>
      </c>
      <c r="F87" s="35"/>
      <c r="G87" s="35"/>
      <c r="H87" s="35"/>
      <c r="I87" s="35"/>
    </row>
    <row r="88" spans="1:9">
      <c r="A88" s="40" t="s">
        <v>190</v>
      </c>
      <c r="B88" s="11" t="s">
        <v>191</v>
      </c>
      <c r="C88" s="95">
        <v>797</v>
      </c>
      <c r="D88" s="92">
        <v>-0.1034870641</v>
      </c>
      <c r="E88" s="93">
        <v>4813338.3014962599</v>
      </c>
      <c r="F88" s="35"/>
      <c r="G88" s="35"/>
      <c r="H88" s="35"/>
      <c r="I88" s="35"/>
    </row>
    <row r="89" spans="1:9">
      <c r="A89" s="40" t="s">
        <v>123</v>
      </c>
      <c r="B89" s="11" t="s">
        <v>124</v>
      </c>
      <c r="C89" s="95">
        <v>2015</v>
      </c>
      <c r="D89" s="92">
        <v>-0.1044444444</v>
      </c>
      <c r="E89" s="93">
        <v>1934031.32004467</v>
      </c>
      <c r="F89" s="35"/>
      <c r="G89" s="35"/>
      <c r="H89" s="35"/>
      <c r="I89" s="35"/>
    </row>
    <row r="90" spans="1:9">
      <c r="A90" s="40" t="s">
        <v>274</v>
      </c>
      <c r="B90" s="11" t="s">
        <v>275</v>
      </c>
      <c r="C90" s="95">
        <v>625</v>
      </c>
      <c r="D90" s="92">
        <v>-0.10586552220000001</v>
      </c>
      <c r="E90" s="93">
        <v>2251731.3481033398</v>
      </c>
      <c r="F90" s="35"/>
      <c r="G90" s="35"/>
      <c r="H90" s="35"/>
      <c r="I90" s="35"/>
    </row>
    <row r="91" spans="1:9">
      <c r="A91" s="40" t="s">
        <v>194</v>
      </c>
      <c r="B91" s="11" t="s">
        <v>195</v>
      </c>
      <c r="C91" s="95">
        <v>7.13</v>
      </c>
      <c r="D91" s="92">
        <v>-0.1098626717</v>
      </c>
      <c r="E91" s="93">
        <v>236442683.19416407</v>
      </c>
      <c r="F91" s="35"/>
      <c r="G91" s="35"/>
      <c r="H91" s="35"/>
      <c r="I91" s="35"/>
    </row>
    <row r="92" spans="1:9">
      <c r="A92" s="40" t="s">
        <v>71</v>
      </c>
      <c r="B92" s="11" t="s">
        <v>72</v>
      </c>
      <c r="C92" s="95">
        <v>14.9</v>
      </c>
      <c r="D92" s="92">
        <v>-0.1130952381</v>
      </c>
      <c r="E92" s="93">
        <v>103324288.16913599</v>
      </c>
      <c r="F92" s="35"/>
      <c r="G92" s="35"/>
      <c r="H92" s="35"/>
      <c r="I92" s="35"/>
    </row>
    <row r="93" spans="1:9">
      <c r="A93" s="40" t="s">
        <v>192</v>
      </c>
      <c r="B93" s="11" t="s">
        <v>193</v>
      </c>
      <c r="C93" s="95">
        <v>5025</v>
      </c>
      <c r="D93" s="92">
        <v>-0.1153169014</v>
      </c>
      <c r="E93" s="93">
        <v>798729.51065375004</v>
      </c>
      <c r="F93" s="35"/>
      <c r="G93" s="35"/>
      <c r="H93" s="35"/>
      <c r="I93" s="35"/>
    </row>
    <row r="94" spans="1:9">
      <c r="A94" s="40" t="s">
        <v>196</v>
      </c>
      <c r="B94" s="11" t="s">
        <v>197</v>
      </c>
      <c r="C94" s="95">
        <v>11.2</v>
      </c>
      <c r="D94" s="92">
        <v>-0.1181102362</v>
      </c>
      <c r="E94" s="93">
        <v>560047130.18687654</v>
      </c>
      <c r="F94" s="35"/>
      <c r="G94" s="35"/>
      <c r="H94" s="35"/>
      <c r="I94" s="35"/>
    </row>
    <row r="95" spans="1:9">
      <c r="A95" s="40" t="s">
        <v>270</v>
      </c>
      <c r="B95" s="11" t="s">
        <v>271</v>
      </c>
      <c r="C95" s="95">
        <v>1995</v>
      </c>
      <c r="D95" s="92">
        <v>-0.119205298</v>
      </c>
      <c r="E95" s="93">
        <v>778041.13482280006</v>
      </c>
      <c r="F95" s="35"/>
      <c r="G95" s="35"/>
      <c r="H95" s="35"/>
      <c r="I95" s="35"/>
    </row>
    <row r="96" spans="1:9">
      <c r="A96" s="40" t="s">
        <v>247</v>
      </c>
      <c r="B96" s="11" t="s">
        <v>248</v>
      </c>
      <c r="C96" s="95">
        <v>64.2</v>
      </c>
      <c r="D96" s="92">
        <v>-0.11934156379999999</v>
      </c>
      <c r="E96" s="93">
        <v>104011237.92083009</v>
      </c>
      <c r="F96" s="35"/>
      <c r="G96" s="35"/>
      <c r="H96" s="35"/>
      <c r="I96" s="35"/>
    </row>
    <row r="97" spans="1:9">
      <c r="A97" s="40" t="s">
        <v>66</v>
      </c>
      <c r="B97" s="11" t="s">
        <v>67</v>
      </c>
      <c r="C97" s="95">
        <v>2750</v>
      </c>
      <c r="D97" s="92">
        <v>-0.12</v>
      </c>
      <c r="E97" s="93">
        <v>1466674.4923884701</v>
      </c>
      <c r="F97" s="35"/>
      <c r="G97" s="35"/>
      <c r="H97" s="35"/>
      <c r="I97" s="35"/>
    </row>
    <row r="98" spans="1:9">
      <c r="A98" s="40" t="s">
        <v>172</v>
      </c>
      <c r="B98" s="11" t="s">
        <v>173</v>
      </c>
      <c r="C98" s="95">
        <v>92.3</v>
      </c>
      <c r="D98" s="92">
        <v>-0.120952381</v>
      </c>
      <c r="E98" s="93">
        <v>57979189.265103959</v>
      </c>
      <c r="F98" s="35"/>
      <c r="G98" s="35"/>
      <c r="H98" s="35"/>
      <c r="I98" s="35"/>
    </row>
    <row r="99" spans="1:9">
      <c r="A99" s="40" t="s">
        <v>81</v>
      </c>
      <c r="B99" s="11" t="s">
        <v>82</v>
      </c>
      <c r="C99" s="95">
        <v>708</v>
      </c>
      <c r="D99" s="92">
        <v>-0.12700369910000001</v>
      </c>
      <c r="E99" s="93">
        <v>24310421.603971399</v>
      </c>
      <c r="F99" s="35"/>
      <c r="G99" s="35"/>
      <c r="H99" s="35"/>
      <c r="I99" s="35"/>
    </row>
    <row r="100" spans="1:9">
      <c r="A100" s="40" t="s">
        <v>170</v>
      </c>
      <c r="B100" s="11" t="s">
        <v>171</v>
      </c>
      <c r="C100" s="95">
        <v>3</v>
      </c>
      <c r="D100" s="92">
        <v>-0.12790697670000001</v>
      </c>
      <c r="E100" s="93">
        <v>1715769812.4638326</v>
      </c>
      <c r="F100" s="35"/>
      <c r="G100" s="35"/>
      <c r="H100" s="35"/>
      <c r="I100" s="35"/>
    </row>
    <row r="101" spans="1:9">
      <c r="A101" s="40" t="s">
        <v>254</v>
      </c>
      <c r="B101" s="11" t="s">
        <v>255</v>
      </c>
      <c r="C101" s="95">
        <v>41</v>
      </c>
      <c r="D101" s="92">
        <v>-0.12951167729999999</v>
      </c>
      <c r="E101" s="93">
        <v>147281792.65596309</v>
      </c>
      <c r="F101" s="35"/>
      <c r="G101" s="35"/>
      <c r="H101" s="35"/>
      <c r="I101" s="35"/>
    </row>
    <row r="102" spans="1:9">
      <c r="A102" s="40" t="s">
        <v>200</v>
      </c>
      <c r="B102" s="11" t="s">
        <v>201</v>
      </c>
      <c r="C102" s="95">
        <v>61.1</v>
      </c>
      <c r="D102" s="92">
        <v>-0.12962962959999999</v>
      </c>
      <c r="E102" s="93">
        <v>83238866.382912993</v>
      </c>
      <c r="F102" s="35"/>
      <c r="G102" s="35"/>
      <c r="H102" s="35"/>
      <c r="I102" s="35"/>
    </row>
    <row r="103" spans="1:9">
      <c r="A103" s="40" t="s">
        <v>232</v>
      </c>
      <c r="B103" s="11" t="s">
        <v>233</v>
      </c>
      <c r="C103" s="95">
        <v>10.6</v>
      </c>
      <c r="D103" s="92">
        <v>-0.13114754100000001</v>
      </c>
      <c r="E103" s="93">
        <v>558984942.74312913</v>
      </c>
      <c r="F103" s="35"/>
      <c r="G103" s="35"/>
      <c r="H103" s="35"/>
      <c r="I103" s="35"/>
    </row>
    <row r="104" spans="1:9">
      <c r="A104" s="40" t="s">
        <v>220</v>
      </c>
      <c r="B104" s="11" t="s">
        <v>221</v>
      </c>
      <c r="C104" s="95">
        <v>898</v>
      </c>
      <c r="D104" s="92">
        <v>-0.1323671498</v>
      </c>
      <c r="E104" s="93">
        <v>11133685.039157011</v>
      </c>
      <c r="F104" s="35"/>
      <c r="G104" s="35"/>
      <c r="H104" s="35"/>
      <c r="I104" s="35"/>
    </row>
    <row r="105" spans="1:9">
      <c r="A105" s="40" t="s">
        <v>218</v>
      </c>
      <c r="B105" s="11" t="s">
        <v>219</v>
      </c>
      <c r="C105" s="95">
        <v>7.94</v>
      </c>
      <c r="D105" s="92">
        <v>-0.1331877729</v>
      </c>
      <c r="E105" s="93">
        <v>527977164.68266314</v>
      </c>
      <c r="F105" s="35"/>
      <c r="G105" s="35"/>
      <c r="H105" s="35"/>
      <c r="I105" s="35"/>
    </row>
    <row r="106" spans="1:9">
      <c r="A106" s="40" t="s">
        <v>111</v>
      </c>
      <c r="B106" s="11" t="s">
        <v>112</v>
      </c>
      <c r="C106" s="95">
        <v>98.8</v>
      </c>
      <c r="D106" s="92">
        <v>-0.1333333333</v>
      </c>
      <c r="E106" s="93">
        <v>95530332.386874616</v>
      </c>
      <c r="F106" s="35"/>
      <c r="G106" s="35"/>
      <c r="H106" s="35"/>
      <c r="I106" s="35"/>
    </row>
    <row r="107" spans="1:9">
      <c r="A107" s="40" t="s">
        <v>202</v>
      </c>
      <c r="B107" s="11" t="s">
        <v>203</v>
      </c>
      <c r="C107" s="95">
        <v>2280</v>
      </c>
      <c r="D107" s="92">
        <v>-0.13472485770000001</v>
      </c>
      <c r="E107" s="93">
        <v>2555389.1206715801</v>
      </c>
      <c r="F107" s="35"/>
      <c r="G107" s="35"/>
      <c r="H107" s="35"/>
      <c r="I107" s="35"/>
    </row>
    <row r="108" spans="1:9">
      <c r="A108" s="40" t="s">
        <v>121</v>
      </c>
      <c r="B108" s="11" t="s">
        <v>122</v>
      </c>
      <c r="C108" s="95">
        <v>13.3</v>
      </c>
      <c r="D108" s="92">
        <v>-0.13636363639999999</v>
      </c>
      <c r="E108" s="93">
        <v>403592017.74029624</v>
      </c>
      <c r="F108" s="35"/>
      <c r="G108" s="35"/>
      <c r="H108" s="35"/>
      <c r="I108" s="35"/>
    </row>
    <row r="109" spans="1:9">
      <c r="A109" s="40" t="s">
        <v>262</v>
      </c>
      <c r="B109" s="11" t="s">
        <v>263</v>
      </c>
      <c r="C109" s="95">
        <v>19.8</v>
      </c>
      <c r="D109" s="92">
        <v>-0.13913043480000001</v>
      </c>
      <c r="E109" s="41">
        <v>277473983.90747172</v>
      </c>
    </row>
    <row r="110" spans="1:9">
      <c r="A110" s="40" t="s">
        <v>245</v>
      </c>
      <c r="B110" s="11" t="s">
        <v>246</v>
      </c>
      <c r="C110" s="95">
        <v>38.1</v>
      </c>
      <c r="D110" s="92">
        <v>-0.13995485329999999</v>
      </c>
      <c r="E110" s="41">
        <v>134880126.55312422</v>
      </c>
    </row>
    <row r="111" spans="1:9">
      <c r="A111" s="40" t="s">
        <v>276</v>
      </c>
      <c r="B111" s="11" t="s">
        <v>277</v>
      </c>
      <c r="C111" s="95">
        <v>48.8</v>
      </c>
      <c r="D111" s="92">
        <v>-0.14685314690000001</v>
      </c>
      <c r="E111" s="41">
        <v>308370614.19029981</v>
      </c>
    </row>
    <row r="112" spans="1:9">
      <c r="A112" s="40" t="s">
        <v>198</v>
      </c>
      <c r="B112" s="11" t="s">
        <v>199</v>
      </c>
      <c r="C112" s="95">
        <v>144</v>
      </c>
      <c r="D112" s="92">
        <v>-0.14792899409999999</v>
      </c>
      <c r="E112" s="41">
        <v>26780998.958076298</v>
      </c>
    </row>
    <row r="113" spans="1:5">
      <c r="A113" s="40" t="s">
        <v>243</v>
      </c>
      <c r="B113" s="11" t="s">
        <v>244</v>
      </c>
      <c r="C113" s="95">
        <v>936</v>
      </c>
      <c r="D113" s="92">
        <v>-0.1490909091</v>
      </c>
      <c r="E113" s="41">
        <v>7107138.6568331299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235</v>
      </c>
      <c r="B2" s="11" t="s">
        <v>236</v>
      </c>
      <c r="C2" s="95">
        <v>86.8</v>
      </c>
      <c r="D2" s="92">
        <v>0.180952381</v>
      </c>
      <c r="E2" s="93">
        <v>1336322855.3713338</v>
      </c>
      <c r="F2" s="35"/>
      <c r="G2" s="54"/>
      <c r="H2" s="35"/>
      <c r="I2" s="35"/>
    </row>
    <row r="3" spans="1:18" ht="17.25" thickBot="1">
      <c r="A3" s="40" t="s">
        <v>162</v>
      </c>
      <c r="B3" s="11" t="s">
        <v>163</v>
      </c>
      <c r="C3" s="95">
        <v>19920</v>
      </c>
      <c r="D3" s="92">
        <v>5.7886351599999997E-2</v>
      </c>
      <c r="E3" s="93">
        <v>1298130.4306131899</v>
      </c>
      <c r="F3" s="35"/>
      <c r="G3" s="306" t="s">
        <v>285</v>
      </c>
      <c r="H3" s="318" t="s">
        <v>363</v>
      </c>
      <c r="I3" s="318"/>
      <c r="K3" s="262" t="s">
        <v>34</v>
      </c>
      <c r="L3" s="263"/>
      <c r="M3" s="263"/>
      <c r="N3" s="264"/>
      <c r="O3" s="262" t="s">
        <v>286</v>
      </c>
      <c r="P3" s="263"/>
      <c r="Q3" s="263"/>
      <c r="R3" s="264"/>
    </row>
    <row r="4" spans="1:18" ht="17.25" thickBot="1">
      <c r="A4" s="40" t="s">
        <v>230</v>
      </c>
      <c r="B4" s="11" t="s">
        <v>231</v>
      </c>
      <c r="C4" s="95">
        <v>293</v>
      </c>
      <c r="D4" s="92">
        <v>3.5335689000000003E-2</v>
      </c>
      <c r="E4" s="93">
        <v>304053443.97525799</v>
      </c>
      <c r="F4" s="35"/>
      <c r="G4" s="307"/>
      <c r="H4" s="319"/>
      <c r="I4" s="319"/>
      <c r="K4" s="299" t="s">
        <v>55</v>
      </c>
      <c r="L4" s="315">
        <f ca="1">NOW()</f>
        <v>44367.897969097219</v>
      </c>
      <c r="M4" s="316"/>
      <c r="N4" s="317"/>
      <c r="O4" s="314" t="s">
        <v>55</v>
      </c>
      <c r="P4" s="315">
        <f ca="1">NOW()</f>
        <v>44367.897969097219</v>
      </c>
      <c r="Q4" s="316"/>
      <c r="R4" s="317"/>
    </row>
    <row r="5" spans="1:18" ht="17.25" thickBot="1">
      <c r="A5" s="40" t="s">
        <v>213</v>
      </c>
      <c r="B5" s="11" t="s">
        <v>214</v>
      </c>
      <c r="C5" s="95">
        <v>229</v>
      </c>
      <c r="D5" s="92">
        <v>2.69058296E-2</v>
      </c>
      <c r="E5" s="93">
        <v>286652272.06019866</v>
      </c>
      <c r="F5" s="35"/>
      <c r="K5" s="307"/>
      <c r="L5" s="51" t="s">
        <v>58</v>
      </c>
      <c r="M5" s="73" t="s">
        <v>59</v>
      </c>
      <c r="N5" s="69" t="s">
        <v>289</v>
      </c>
      <c r="O5" s="285"/>
      <c r="P5" s="51" t="s">
        <v>58</v>
      </c>
      <c r="Q5" s="73" t="s">
        <v>59</v>
      </c>
      <c r="R5" s="91" t="s">
        <v>289</v>
      </c>
    </row>
    <row r="6" spans="1:18" ht="17.25" thickBot="1">
      <c r="A6" s="40" t="s">
        <v>135</v>
      </c>
      <c r="B6" s="11" t="s">
        <v>136</v>
      </c>
      <c r="C6" s="95">
        <v>118</v>
      </c>
      <c r="D6" s="92">
        <v>0</v>
      </c>
      <c r="E6" s="93">
        <v>44252128.512452759</v>
      </c>
      <c r="F6" s="35"/>
      <c r="G6" s="262" t="s">
        <v>52</v>
      </c>
      <c r="H6" s="263"/>
      <c r="I6" s="264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236</v>
      </c>
      <c r="P6" s="38">
        <f t="shared" ref="P6:P25" si="2">_xlfn.IFNA(VLOOKUP(O6, $B$2:$D$200, 2, FALSE), "")</f>
        <v>86.8</v>
      </c>
      <c r="Q6" s="76">
        <f t="shared" ref="Q6:Q25" si="3">_xlfn.IFNA(VLOOKUP(O6, $B$2:$D$200, 3, FALSE), "")</f>
        <v>0.180952381</v>
      </c>
      <c r="R6" s="85">
        <f>_xlfn.IFNA(VLOOKUP(O6, $B$2:$E$200, 4, FALSE), "")</f>
        <v>1336322855.3713338</v>
      </c>
    </row>
    <row r="7" spans="1:18">
      <c r="A7" s="40" t="s">
        <v>87</v>
      </c>
      <c r="B7" s="11" t="s">
        <v>88</v>
      </c>
      <c r="C7" s="95">
        <v>328</v>
      </c>
      <c r="D7" s="92">
        <v>-2.3809523799999999E-2</v>
      </c>
      <c r="E7" s="93">
        <v>138489696.52639189</v>
      </c>
      <c r="F7" s="35"/>
      <c r="G7" s="290" t="s">
        <v>36</v>
      </c>
      <c r="H7" s="291"/>
      <c r="I7" s="29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163</v>
      </c>
      <c r="P7" s="39">
        <f t="shared" si="2"/>
        <v>19920</v>
      </c>
      <c r="Q7" s="77">
        <f t="shared" si="3"/>
        <v>5.7886351599999997E-2</v>
      </c>
      <c r="R7" s="86">
        <f t="shared" ref="R7:R25" si="5">_xlfn.IFNA(VLOOKUP(O7, $B$2:$E$200, 4, FALSE), "")</f>
        <v>1298130.4306131899</v>
      </c>
    </row>
    <row r="8" spans="1:18" ht="17.25" thickBot="1">
      <c r="A8" s="40" t="s">
        <v>207</v>
      </c>
      <c r="B8" s="11" t="s">
        <v>208</v>
      </c>
      <c r="C8" s="95">
        <v>75.5</v>
      </c>
      <c r="D8" s="92">
        <v>-2.4547803600000001E-2</v>
      </c>
      <c r="E8" s="93">
        <v>443346130.45476234</v>
      </c>
      <c r="F8" s="35"/>
      <c r="G8" s="283"/>
      <c r="H8" s="284"/>
      <c r="I8" s="285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231</v>
      </c>
      <c r="P8" s="39">
        <f t="shared" si="2"/>
        <v>293</v>
      </c>
      <c r="Q8" s="77">
        <f t="shared" si="3"/>
        <v>3.5335689000000003E-2</v>
      </c>
      <c r="R8" s="86">
        <f t="shared" si="5"/>
        <v>304053443.97525799</v>
      </c>
    </row>
    <row r="9" spans="1:18" ht="17.25" thickBot="1">
      <c r="A9" s="40" t="s">
        <v>83</v>
      </c>
      <c r="B9" s="11" t="s">
        <v>84</v>
      </c>
      <c r="C9" s="95">
        <v>1595</v>
      </c>
      <c r="D9" s="92">
        <v>-3.03951368E-2</v>
      </c>
      <c r="E9" s="93">
        <v>25238395.846355122</v>
      </c>
      <c r="F9" s="35"/>
      <c r="G9" s="50" t="s">
        <v>38</v>
      </c>
      <c r="H9" s="263" t="s">
        <v>37</v>
      </c>
      <c r="I9" s="264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214</v>
      </c>
      <c r="P9" s="39">
        <f t="shared" si="2"/>
        <v>229</v>
      </c>
      <c r="Q9" s="77">
        <f t="shared" si="3"/>
        <v>2.69058296E-2</v>
      </c>
      <c r="R9" s="86">
        <f t="shared" si="5"/>
        <v>286652272.06019866</v>
      </c>
    </row>
    <row r="10" spans="1:18">
      <c r="A10" s="40" t="s">
        <v>149</v>
      </c>
      <c r="B10" s="11" t="s">
        <v>150</v>
      </c>
      <c r="C10" s="95">
        <v>2375</v>
      </c>
      <c r="D10" s="92">
        <v>-3.2586558000000002E-2</v>
      </c>
      <c r="E10" s="93">
        <v>3918040.7952718702</v>
      </c>
      <c r="F10" s="35"/>
      <c r="G10" s="308">
        <f>_xlfn.IFNA(VLOOKUP(G7, $B$2:$D$200, 3, FALSE), "-")</f>
        <v>-3.68275993E-2</v>
      </c>
      <c r="H10" s="310">
        <f>_xlfn.IFNA(VLOOKUP(G7, $B$2:$D$200, 2, FALSE), "-")</f>
        <v>40538000</v>
      </c>
      <c r="I10" s="31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136</v>
      </c>
      <c r="P10" s="39">
        <f t="shared" si="2"/>
        <v>118</v>
      </c>
      <c r="Q10" s="77">
        <f t="shared" si="3"/>
        <v>0</v>
      </c>
      <c r="R10" s="90">
        <f t="shared" si="5"/>
        <v>44252128.512452759</v>
      </c>
    </row>
    <row r="11" spans="1:18" ht="17.25" thickBot="1">
      <c r="A11" s="40" t="s">
        <v>75</v>
      </c>
      <c r="B11" s="11" t="s">
        <v>76</v>
      </c>
      <c r="C11" s="95">
        <v>23270</v>
      </c>
      <c r="D11" s="92">
        <v>-3.40390203E-2</v>
      </c>
      <c r="E11" s="93">
        <v>695906.49807215005</v>
      </c>
      <c r="F11" s="35"/>
      <c r="G11" s="309"/>
      <c r="H11" s="312"/>
      <c r="I11" s="31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88</v>
      </c>
      <c r="P11" s="45">
        <f t="shared" si="2"/>
        <v>328</v>
      </c>
      <c r="Q11" s="80">
        <f t="shared" si="3"/>
        <v>-2.3809523799999999E-2</v>
      </c>
      <c r="R11" s="99">
        <f t="shared" si="5"/>
        <v>138489696.52639189</v>
      </c>
    </row>
    <row r="12" spans="1:18" ht="17.25" thickBot="1">
      <c r="A12" s="40" t="s">
        <v>95</v>
      </c>
      <c r="B12" s="11" t="s">
        <v>96</v>
      </c>
      <c r="C12" s="95">
        <v>2485000</v>
      </c>
      <c r="D12" s="92">
        <v>-3.45765346E-2</v>
      </c>
      <c r="E12" s="93">
        <v>92067.951851549995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208</v>
      </c>
      <c r="P12" s="39">
        <f t="shared" si="2"/>
        <v>75.5</v>
      </c>
      <c r="Q12" s="77">
        <f t="shared" si="3"/>
        <v>-2.4547803600000001E-2</v>
      </c>
      <c r="R12" s="86">
        <f t="shared" si="5"/>
        <v>443346130.45476234</v>
      </c>
    </row>
    <row r="13" spans="1:18" ht="17.25" thickBot="1">
      <c r="A13" s="40" t="s">
        <v>129</v>
      </c>
      <c r="B13" s="11" t="s">
        <v>130</v>
      </c>
      <c r="C13" s="95">
        <v>174600</v>
      </c>
      <c r="D13" s="92">
        <v>-3.6157880199999999E-2</v>
      </c>
      <c r="E13" s="93">
        <v>42591.892271500001</v>
      </c>
      <c r="F13" s="35"/>
      <c r="G13" s="262" t="s">
        <v>70</v>
      </c>
      <c r="H13" s="263"/>
      <c r="I13" s="264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84</v>
      </c>
      <c r="P13" s="39">
        <f t="shared" si="2"/>
        <v>1595</v>
      </c>
      <c r="Q13" s="77">
        <f t="shared" si="3"/>
        <v>-3.03951368E-2</v>
      </c>
      <c r="R13" s="86">
        <f t="shared" si="5"/>
        <v>25238395.846355122</v>
      </c>
    </row>
    <row r="14" spans="1:18">
      <c r="A14" s="40" t="s">
        <v>97</v>
      </c>
      <c r="B14" s="11" t="s">
        <v>98</v>
      </c>
      <c r="C14" s="95">
        <v>3465</v>
      </c>
      <c r="D14" s="92">
        <v>-3.6161335199999999E-2</v>
      </c>
      <c r="E14" s="93">
        <v>945735.36649417004</v>
      </c>
      <c r="F14" s="35"/>
      <c r="G14" s="290" t="s">
        <v>36</v>
      </c>
      <c r="H14" s="291"/>
      <c r="I14" s="29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150</v>
      </c>
      <c r="P14" s="39">
        <f t="shared" si="2"/>
        <v>2375</v>
      </c>
      <c r="Q14" s="77">
        <f t="shared" si="3"/>
        <v>-3.2586558000000002E-2</v>
      </c>
      <c r="R14" s="86">
        <f t="shared" si="5"/>
        <v>3918040.7952718702</v>
      </c>
    </row>
    <row r="15" spans="1:18" ht="17.25" thickBot="1">
      <c r="A15" s="40" t="s">
        <v>48</v>
      </c>
      <c r="B15" s="11" t="s">
        <v>49</v>
      </c>
      <c r="C15" s="95">
        <v>40538000</v>
      </c>
      <c r="D15" s="92">
        <v>-3.68275993E-2</v>
      </c>
      <c r="E15" s="93">
        <v>7197.8413694000001</v>
      </c>
      <c r="F15" s="35"/>
      <c r="G15" s="283"/>
      <c r="H15" s="284"/>
      <c r="I15" s="285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76</v>
      </c>
      <c r="P15" s="37">
        <f t="shared" si="2"/>
        <v>23270</v>
      </c>
      <c r="Q15" s="79">
        <f t="shared" si="3"/>
        <v>-3.40390203E-2</v>
      </c>
      <c r="R15" s="87">
        <f t="shared" si="5"/>
        <v>695906.49807215005</v>
      </c>
    </row>
    <row r="16" spans="1:18" ht="17.25" thickBot="1">
      <c r="A16" s="40" t="s">
        <v>164</v>
      </c>
      <c r="B16" s="11" t="s">
        <v>165</v>
      </c>
      <c r="C16" s="95">
        <v>945</v>
      </c>
      <c r="D16" s="92">
        <v>-3.7678207700000001E-2</v>
      </c>
      <c r="E16" s="93">
        <v>1349330.82146891</v>
      </c>
      <c r="F16" s="35"/>
      <c r="G16" s="50" t="s">
        <v>38</v>
      </c>
      <c r="H16" s="263" t="s">
        <v>37</v>
      </c>
      <c r="I16" s="264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96</v>
      </c>
      <c r="P16" s="38">
        <f t="shared" si="2"/>
        <v>2485000</v>
      </c>
      <c r="Q16" s="76">
        <f t="shared" si="3"/>
        <v>-3.45765346E-2</v>
      </c>
      <c r="R16" s="85">
        <f t="shared" si="5"/>
        <v>92067.951851549995</v>
      </c>
    </row>
    <row r="17" spans="1:18">
      <c r="A17" s="40" t="s">
        <v>250</v>
      </c>
      <c r="B17" s="11" t="s">
        <v>251</v>
      </c>
      <c r="C17" s="95">
        <v>125</v>
      </c>
      <c r="D17" s="92">
        <v>-3.8461538500000003E-2</v>
      </c>
      <c r="E17" s="93">
        <v>4990132.2504720204</v>
      </c>
      <c r="F17" s="35"/>
      <c r="G17" s="308">
        <f>_xlfn.IFNA(VLOOKUP(G14, $B$2:$D$200, 3, FALSE), "-")</f>
        <v>-3.68275993E-2</v>
      </c>
      <c r="H17" s="310">
        <f>_xlfn.IFNA(VLOOKUP(G14, $B$2:$D$200, 2, FALSE), "-")</f>
        <v>40538000</v>
      </c>
      <c r="I17" s="31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130</v>
      </c>
      <c r="P17" s="39">
        <f t="shared" si="2"/>
        <v>174600</v>
      </c>
      <c r="Q17" s="77">
        <f t="shared" si="3"/>
        <v>-3.6157880199999999E-2</v>
      </c>
      <c r="R17" s="86">
        <f t="shared" si="5"/>
        <v>42591.892271500001</v>
      </c>
    </row>
    <row r="18" spans="1:18" ht="17.25" thickBot="1">
      <c r="A18" s="40" t="s">
        <v>264</v>
      </c>
      <c r="B18" s="11" t="s">
        <v>265</v>
      </c>
      <c r="C18" s="95">
        <v>296</v>
      </c>
      <c r="D18" s="92">
        <v>-3.8961039000000003E-2</v>
      </c>
      <c r="E18" s="93">
        <v>4806241.2871168796</v>
      </c>
      <c r="F18" s="35"/>
      <c r="G18" s="309"/>
      <c r="H18" s="312"/>
      <c r="I18" s="31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98</v>
      </c>
      <c r="P18" s="39">
        <f t="shared" si="2"/>
        <v>3465</v>
      </c>
      <c r="Q18" s="77">
        <f t="shared" si="3"/>
        <v>-3.6161335199999999E-2</v>
      </c>
      <c r="R18" s="86">
        <f t="shared" si="5"/>
        <v>945735.36649417004</v>
      </c>
    </row>
    <row r="19" spans="1:18" ht="17.25" thickBot="1">
      <c r="A19" s="40" t="s">
        <v>79</v>
      </c>
      <c r="B19" s="11" t="s">
        <v>80</v>
      </c>
      <c r="C19" s="95">
        <v>677</v>
      </c>
      <c r="D19" s="92">
        <v>-4.2432814700000002E-2</v>
      </c>
      <c r="E19" s="93">
        <v>2600153.8175871102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49</v>
      </c>
      <c r="P19" s="39">
        <f t="shared" si="2"/>
        <v>40538000</v>
      </c>
      <c r="Q19" s="77">
        <f t="shared" si="3"/>
        <v>-3.68275993E-2</v>
      </c>
      <c r="R19" s="86">
        <f t="shared" si="5"/>
        <v>7197.8413694000001</v>
      </c>
    </row>
    <row r="20" spans="1:18" ht="17.25" thickBot="1">
      <c r="A20" s="40" t="s">
        <v>228</v>
      </c>
      <c r="B20" s="11" t="s">
        <v>229</v>
      </c>
      <c r="C20" s="95">
        <v>81.400000000000006</v>
      </c>
      <c r="D20" s="92">
        <v>-4.3478260900000003E-2</v>
      </c>
      <c r="E20" s="93">
        <v>443561008.12862182</v>
      </c>
      <c r="F20" s="35"/>
      <c r="G20" s="262" t="s">
        <v>281</v>
      </c>
      <c r="H20" s="263"/>
      <c r="I20" s="264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165</v>
      </c>
      <c r="P20" s="39">
        <f t="shared" si="2"/>
        <v>945</v>
      </c>
      <c r="Q20" s="77">
        <f t="shared" si="3"/>
        <v>-3.7678207700000001E-2</v>
      </c>
      <c r="R20" s="90">
        <f t="shared" si="5"/>
        <v>1349330.82146891</v>
      </c>
    </row>
    <row r="21" spans="1:18">
      <c r="A21" s="40" t="s">
        <v>73</v>
      </c>
      <c r="B21" s="11" t="s">
        <v>74</v>
      </c>
      <c r="C21" s="95">
        <v>13460</v>
      </c>
      <c r="D21" s="92">
        <v>-4.5390070900000003E-2</v>
      </c>
      <c r="E21" s="93">
        <v>130529.25157957</v>
      </c>
      <c r="F21" s="35"/>
      <c r="G21" s="290" t="s">
        <v>36</v>
      </c>
      <c r="H21" s="291"/>
      <c r="I21" s="29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251</v>
      </c>
      <c r="P21" s="45">
        <f t="shared" si="2"/>
        <v>125</v>
      </c>
      <c r="Q21" s="80">
        <f t="shared" si="3"/>
        <v>-3.8461538500000003E-2</v>
      </c>
      <c r="R21" s="99">
        <f t="shared" si="5"/>
        <v>4990132.2504720204</v>
      </c>
    </row>
    <row r="22" spans="1:18" ht="17.25" thickBot="1">
      <c r="A22" s="40" t="s">
        <v>77</v>
      </c>
      <c r="B22" s="11" t="s">
        <v>78</v>
      </c>
      <c r="C22" s="95">
        <v>624100</v>
      </c>
      <c r="D22" s="92">
        <v>-4.7175572499999999E-2</v>
      </c>
      <c r="E22" s="93">
        <v>25732.1691326</v>
      </c>
      <c r="F22" s="35"/>
      <c r="G22" s="283"/>
      <c r="H22" s="284"/>
      <c r="I22" s="285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265</v>
      </c>
      <c r="P22" s="39">
        <f t="shared" si="2"/>
        <v>296</v>
      </c>
      <c r="Q22" s="77">
        <f t="shared" si="3"/>
        <v>-3.8961039000000003E-2</v>
      </c>
      <c r="R22" s="86">
        <f t="shared" si="5"/>
        <v>4806241.2871168796</v>
      </c>
    </row>
    <row r="23" spans="1:18" ht="17.25" thickBot="1">
      <c r="A23" s="40" t="s">
        <v>50</v>
      </c>
      <c r="B23" s="11" t="s">
        <v>51</v>
      </c>
      <c r="C23" s="95">
        <v>326</v>
      </c>
      <c r="D23" s="92">
        <v>-4.9562682199999999E-2</v>
      </c>
      <c r="E23" s="93">
        <v>46930117.508238651</v>
      </c>
      <c r="F23" s="35"/>
      <c r="G23" s="50" t="s">
        <v>38</v>
      </c>
      <c r="H23" s="263" t="s">
        <v>37</v>
      </c>
      <c r="I23" s="264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80</v>
      </c>
      <c r="P23" s="39">
        <f t="shared" si="2"/>
        <v>677</v>
      </c>
      <c r="Q23" s="77">
        <f t="shared" si="3"/>
        <v>-4.2432814700000002E-2</v>
      </c>
      <c r="R23" s="86">
        <f t="shared" si="5"/>
        <v>2600153.8175871102</v>
      </c>
    </row>
    <row r="24" spans="1:18">
      <c r="A24" s="40" t="s">
        <v>188</v>
      </c>
      <c r="B24" s="11" t="s">
        <v>189</v>
      </c>
      <c r="C24" s="95">
        <v>49660</v>
      </c>
      <c r="D24" s="92">
        <v>-5.0114766599999999E-2</v>
      </c>
      <c r="E24" s="93">
        <v>159319.62611491</v>
      </c>
      <c r="F24" s="35"/>
      <c r="G24" s="308">
        <f>_xlfn.IFNA(VLOOKUP(G21, $B$2:$D$200, 3, FALSE), "-")</f>
        <v>-3.68275993E-2</v>
      </c>
      <c r="H24" s="310">
        <f>_xlfn.IFNA(VLOOKUP(G21, $B$2:$D$200, 2, FALSE), "-")</f>
        <v>40538000</v>
      </c>
      <c r="I24" s="31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229</v>
      </c>
      <c r="P24" s="39">
        <f t="shared" si="2"/>
        <v>81.400000000000006</v>
      </c>
      <c r="Q24" s="77">
        <f t="shared" si="3"/>
        <v>-4.3478260900000003E-2</v>
      </c>
      <c r="R24" s="86">
        <f t="shared" si="5"/>
        <v>443561008.12862182</v>
      </c>
    </row>
    <row r="25" spans="1:18" ht="17.25" thickBot="1">
      <c r="A25" s="40" t="s">
        <v>147</v>
      </c>
      <c r="B25" s="11" t="s">
        <v>148</v>
      </c>
      <c r="C25" s="95">
        <v>80.7</v>
      </c>
      <c r="D25" s="92">
        <v>-5.1703877799999999E-2</v>
      </c>
      <c r="E25" s="93">
        <v>23146587.486479022</v>
      </c>
      <c r="F25" s="35"/>
      <c r="G25" s="309"/>
      <c r="H25" s="312"/>
      <c r="I25" s="313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74</v>
      </c>
      <c r="P25" s="37">
        <f t="shared" si="2"/>
        <v>13460</v>
      </c>
      <c r="Q25" s="79">
        <f t="shared" si="3"/>
        <v>-4.5390070900000003E-2</v>
      </c>
      <c r="R25" s="87">
        <f t="shared" si="5"/>
        <v>130529.25157957</v>
      </c>
    </row>
    <row r="26" spans="1:18">
      <c r="A26" s="40" t="s">
        <v>89</v>
      </c>
      <c r="B26" s="11" t="s">
        <v>90</v>
      </c>
      <c r="C26" s="95">
        <v>174450</v>
      </c>
      <c r="D26" s="92">
        <v>-5.1902173900000001E-2</v>
      </c>
      <c r="E26" s="93">
        <v>13508.702715810001</v>
      </c>
      <c r="F26" s="35"/>
    </row>
    <row r="27" spans="1:18" ht="17.25" thickBot="1">
      <c r="A27" s="40" t="s">
        <v>209</v>
      </c>
      <c r="B27" s="11" t="s">
        <v>210</v>
      </c>
      <c r="C27" s="95">
        <v>43.7</v>
      </c>
      <c r="D27" s="92">
        <v>-5.2060737500000002E-2</v>
      </c>
      <c r="E27" s="93">
        <v>397177244.08670646</v>
      </c>
      <c r="F27" s="35"/>
    </row>
    <row r="28" spans="1:18" ht="17.25" thickBot="1">
      <c r="A28" s="40" t="s">
        <v>85</v>
      </c>
      <c r="B28" s="11" t="s">
        <v>86</v>
      </c>
      <c r="C28" s="95">
        <v>5020</v>
      </c>
      <c r="D28" s="92">
        <v>-5.2830188700000003E-2</v>
      </c>
      <c r="E28" s="93">
        <v>7522788.5509661203</v>
      </c>
      <c r="F28" s="35"/>
      <c r="G28" s="262" t="s">
        <v>46</v>
      </c>
      <c r="H28" s="263"/>
      <c r="I28" s="263"/>
      <c r="J28" s="264"/>
      <c r="K28" s="262" t="s">
        <v>44</v>
      </c>
      <c r="L28" s="263"/>
      <c r="M28" s="263"/>
      <c r="N28" s="264"/>
      <c r="O28" s="262" t="s">
        <v>45</v>
      </c>
      <c r="P28" s="263"/>
      <c r="Q28" s="263"/>
      <c r="R28" s="264"/>
    </row>
    <row r="29" spans="1:18" ht="17.25" thickBot="1">
      <c r="A29" s="40" t="s">
        <v>68</v>
      </c>
      <c r="B29" s="11" t="s">
        <v>69</v>
      </c>
      <c r="C29" s="95">
        <v>4190</v>
      </c>
      <c r="D29" s="92">
        <v>-5.4176072200000001E-2</v>
      </c>
      <c r="E29" s="93">
        <v>274993.89077577001</v>
      </c>
      <c r="F29" s="35"/>
      <c r="G29" s="299" t="s">
        <v>55</v>
      </c>
      <c r="H29" s="315">
        <f ca="1">NOW()</f>
        <v>44367.897969097219</v>
      </c>
      <c r="I29" s="316"/>
      <c r="J29" s="317"/>
      <c r="K29" s="314" t="s">
        <v>55</v>
      </c>
      <c r="L29" s="315">
        <f ca="1">NOW()</f>
        <v>44367.897969097219</v>
      </c>
      <c r="M29" s="316"/>
      <c r="N29" s="317"/>
      <c r="O29" s="314" t="s">
        <v>55</v>
      </c>
      <c r="P29" s="315">
        <f ca="1">NOW()</f>
        <v>44367.897969097219</v>
      </c>
      <c r="Q29" s="316"/>
      <c r="R29" s="317"/>
    </row>
    <row r="30" spans="1:18" ht="17.25" thickBot="1">
      <c r="A30" s="40" t="s">
        <v>241</v>
      </c>
      <c r="B30" s="11" t="s">
        <v>242</v>
      </c>
      <c r="C30" s="95">
        <v>208</v>
      </c>
      <c r="D30" s="92">
        <v>-5.45454545E-2</v>
      </c>
      <c r="E30" s="93">
        <v>129388248.60915326</v>
      </c>
      <c r="F30" s="35"/>
      <c r="G30" s="307"/>
      <c r="H30" s="51" t="s">
        <v>58</v>
      </c>
      <c r="I30" s="73" t="s">
        <v>59</v>
      </c>
      <c r="J30" s="69" t="s">
        <v>289</v>
      </c>
      <c r="K30" s="285"/>
      <c r="L30" s="51" t="s">
        <v>58</v>
      </c>
      <c r="M30" s="73" t="s">
        <v>59</v>
      </c>
      <c r="N30" s="91" t="s">
        <v>289</v>
      </c>
      <c r="O30" s="285"/>
      <c r="P30" s="51" t="s">
        <v>58</v>
      </c>
      <c r="Q30" s="73" t="s">
        <v>59</v>
      </c>
      <c r="R30" s="91" t="s">
        <v>289</v>
      </c>
    </row>
    <row r="31" spans="1:18">
      <c r="A31" s="40" t="s">
        <v>119</v>
      </c>
      <c r="B31" s="11" t="s">
        <v>120</v>
      </c>
      <c r="C31" s="95">
        <v>120</v>
      </c>
      <c r="D31" s="92">
        <v>-5.5118110200000001E-2</v>
      </c>
      <c r="E31" s="93">
        <v>10364648.206574989</v>
      </c>
      <c r="F31" s="35"/>
      <c r="G31" s="52" t="s">
        <v>236</v>
      </c>
      <c r="H31" s="38">
        <f t="shared" ref="H31:H50" si="6">_xlfn.IFNA(VLOOKUP(G31, $B$2:$D$200, 2, FALSE), "")</f>
        <v>86.8</v>
      </c>
      <c r="I31" s="76">
        <f t="shared" ref="I31:I50" si="7">_xlfn.IFNA(VLOOKUP(G31, $B$2:$D$200, 3, FALSE), "")</f>
        <v>0.180952381</v>
      </c>
      <c r="J31" s="85">
        <f>_xlfn.IFNA(VLOOKUP(G31, $B$2:$E$200, 4, FALSE), "")</f>
        <v>1336322855.3713338</v>
      </c>
      <c r="K31" s="81" t="s">
        <v>236</v>
      </c>
      <c r="L31" s="38">
        <f t="shared" ref="L31:L50" si="8">_xlfn.IFNA(VLOOKUP(K31, $B$2:$D$200, 2, FALSE), "")</f>
        <v>86.8</v>
      </c>
      <c r="M31" s="76">
        <f t="shared" ref="M31:M50" si="9">_xlfn.IFNA(VLOOKUP(K31, $B$2:$D$200, 3, FALSE), "")</f>
        <v>0.180952381</v>
      </c>
      <c r="N31" s="85">
        <f>_xlfn.IFNA(VLOOKUP(K31, $B$2:$E$200, 4, FALSE), "")</f>
        <v>1336322855.3713338</v>
      </c>
      <c r="O31" s="81" t="s">
        <v>231</v>
      </c>
      <c r="P31" s="38">
        <f t="shared" ref="P31:P50" si="10">_xlfn.IFNA(VLOOKUP(O31, $B$2:$D$200, 2, FALSE), "")</f>
        <v>293</v>
      </c>
      <c r="Q31" s="76">
        <f t="shared" ref="Q31:Q50" si="11">_xlfn.IFNA(VLOOKUP(O31, $B$2:$D$200, 3, FALSE), "")</f>
        <v>3.5335689000000003E-2</v>
      </c>
      <c r="R31" s="85">
        <f>_xlfn.IFNA(VLOOKUP(O31, $B$2:$E$200, 4, FALSE), "")</f>
        <v>304053443.97525799</v>
      </c>
    </row>
    <row r="32" spans="1:18">
      <c r="A32" s="40" t="s">
        <v>143</v>
      </c>
      <c r="B32" s="11" t="s">
        <v>144</v>
      </c>
      <c r="C32" s="95">
        <v>5025</v>
      </c>
      <c r="D32" s="92">
        <v>-5.54511278E-2</v>
      </c>
      <c r="E32" s="93">
        <v>728773.47758716997</v>
      </c>
      <c r="F32" s="35"/>
      <c r="G32" s="47" t="s">
        <v>163</v>
      </c>
      <c r="H32" s="39">
        <f t="shared" si="6"/>
        <v>19920</v>
      </c>
      <c r="I32" s="77">
        <f t="shared" si="7"/>
        <v>5.7886351599999997E-2</v>
      </c>
      <c r="J32" s="86">
        <f t="shared" ref="J32:J50" si="12">_xlfn.IFNA(VLOOKUP(G32, $B$2:$E$200, 4, FALSE), "")</f>
        <v>1298130.4306131899</v>
      </c>
      <c r="K32" s="82" t="s">
        <v>208</v>
      </c>
      <c r="L32" s="39">
        <f t="shared" si="8"/>
        <v>75.5</v>
      </c>
      <c r="M32" s="77">
        <f t="shared" si="9"/>
        <v>-2.4547803600000001E-2</v>
      </c>
      <c r="N32" s="86">
        <f t="shared" ref="N32:N50" si="13">_xlfn.IFNA(VLOOKUP(K32, $B$2:$E$200, 4, FALSE), "")</f>
        <v>443346130.45476234</v>
      </c>
      <c r="O32" s="82" t="s">
        <v>214</v>
      </c>
      <c r="P32" s="39">
        <f t="shared" si="10"/>
        <v>229</v>
      </c>
      <c r="Q32" s="77">
        <f t="shared" si="11"/>
        <v>2.69058296E-2</v>
      </c>
      <c r="R32" s="86">
        <f t="shared" ref="R32:R50" si="14">_xlfn.IFNA(VLOOKUP(O32, $B$2:$E$200, 4, FALSE), "")</f>
        <v>286652272.06019866</v>
      </c>
    </row>
    <row r="33" spans="1:18">
      <c r="A33" s="40" t="s">
        <v>155</v>
      </c>
      <c r="B33" s="11" t="s">
        <v>156</v>
      </c>
      <c r="C33" s="95">
        <v>76.5</v>
      </c>
      <c r="D33" s="92">
        <v>-5.5555555600000001E-2</v>
      </c>
      <c r="E33" s="93">
        <v>90163596.622407153</v>
      </c>
      <c r="F33" s="35"/>
      <c r="G33" s="47" t="s">
        <v>231</v>
      </c>
      <c r="H33" s="39">
        <f t="shared" si="6"/>
        <v>293</v>
      </c>
      <c r="I33" s="77">
        <f t="shared" si="7"/>
        <v>3.5335689000000003E-2</v>
      </c>
      <c r="J33" s="86">
        <f t="shared" si="12"/>
        <v>304053443.97525799</v>
      </c>
      <c r="K33" s="82" t="s">
        <v>229</v>
      </c>
      <c r="L33" s="39">
        <f t="shared" si="8"/>
        <v>81.400000000000006</v>
      </c>
      <c r="M33" s="77">
        <f t="shared" si="9"/>
        <v>-4.3478260900000003E-2</v>
      </c>
      <c r="N33" s="86">
        <f t="shared" si="13"/>
        <v>443561008.12862182</v>
      </c>
      <c r="O33" s="82" t="s">
        <v>136</v>
      </c>
      <c r="P33" s="39">
        <f t="shared" si="10"/>
        <v>118</v>
      </c>
      <c r="Q33" s="77">
        <f t="shared" si="11"/>
        <v>0</v>
      </c>
      <c r="R33" s="86">
        <f t="shared" si="14"/>
        <v>44252128.512452759</v>
      </c>
    </row>
    <row r="34" spans="1:18">
      <c r="A34" s="40" t="s">
        <v>101</v>
      </c>
      <c r="B34" s="11" t="s">
        <v>102</v>
      </c>
      <c r="C34" s="95">
        <v>57110</v>
      </c>
      <c r="D34" s="92">
        <v>-5.5877004500000001E-2</v>
      </c>
      <c r="E34" s="93">
        <v>1583262.2610261401</v>
      </c>
      <c r="F34" s="35"/>
      <c r="G34" s="47" t="s">
        <v>214</v>
      </c>
      <c r="H34" s="39">
        <f t="shared" si="6"/>
        <v>229</v>
      </c>
      <c r="I34" s="77">
        <f t="shared" si="7"/>
        <v>2.69058296E-2</v>
      </c>
      <c r="J34" s="86">
        <f t="shared" si="12"/>
        <v>286652272.06019866</v>
      </c>
      <c r="K34" s="82" t="s">
        <v>148</v>
      </c>
      <c r="L34" s="39">
        <f t="shared" si="8"/>
        <v>80.7</v>
      </c>
      <c r="M34" s="77">
        <f t="shared" si="9"/>
        <v>-5.1703877799999999E-2</v>
      </c>
      <c r="N34" s="86">
        <f t="shared" si="13"/>
        <v>23146587.486479022</v>
      </c>
      <c r="O34" s="82" t="s">
        <v>88</v>
      </c>
      <c r="P34" s="39">
        <f t="shared" si="10"/>
        <v>328</v>
      </c>
      <c r="Q34" s="77">
        <f t="shared" si="11"/>
        <v>-2.3809523799999999E-2</v>
      </c>
      <c r="R34" s="86">
        <f t="shared" si="14"/>
        <v>138489696.52639189</v>
      </c>
    </row>
    <row r="35" spans="1:18">
      <c r="A35" s="40" t="s">
        <v>137</v>
      </c>
      <c r="B35" s="11" t="s">
        <v>138</v>
      </c>
      <c r="C35" s="95">
        <v>23210</v>
      </c>
      <c r="D35" s="92">
        <v>-5.6504064999999999E-2</v>
      </c>
      <c r="E35" s="93">
        <v>615350.28725982003</v>
      </c>
      <c r="F35" s="35"/>
      <c r="G35" s="47" t="s">
        <v>136</v>
      </c>
      <c r="H35" s="44">
        <f t="shared" si="6"/>
        <v>118</v>
      </c>
      <c r="I35" s="78">
        <f t="shared" si="7"/>
        <v>0</v>
      </c>
      <c r="J35" s="90">
        <f t="shared" si="12"/>
        <v>44252128.512452759</v>
      </c>
      <c r="K35" s="83" t="s">
        <v>210</v>
      </c>
      <c r="L35" s="44">
        <f t="shared" si="8"/>
        <v>43.7</v>
      </c>
      <c r="M35" s="78">
        <f t="shared" si="9"/>
        <v>-5.2060737500000002E-2</v>
      </c>
      <c r="N35" s="90">
        <f t="shared" si="13"/>
        <v>397177244.08670646</v>
      </c>
      <c r="O35" s="83" t="s">
        <v>165</v>
      </c>
      <c r="P35" s="44">
        <f t="shared" si="10"/>
        <v>945</v>
      </c>
      <c r="Q35" s="78">
        <f t="shared" si="11"/>
        <v>-3.7678207700000001E-2</v>
      </c>
      <c r="R35" s="90">
        <f t="shared" si="14"/>
        <v>1349330.82146891</v>
      </c>
    </row>
    <row r="36" spans="1:18">
      <c r="A36" s="40" t="s">
        <v>64</v>
      </c>
      <c r="B36" s="11" t="s">
        <v>65</v>
      </c>
      <c r="C36" s="95">
        <v>27.2</v>
      </c>
      <c r="D36" s="92">
        <v>-5.8823529399999998E-2</v>
      </c>
      <c r="E36" s="93">
        <v>40772420.60272377</v>
      </c>
      <c r="F36" s="35"/>
      <c r="G36" s="49" t="s">
        <v>88</v>
      </c>
      <c r="H36" s="39">
        <f t="shared" si="6"/>
        <v>328</v>
      </c>
      <c r="I36" s="77">
        <f t="shared" si="7"/>
        <v>-2.3809523799999999E-2</v>
      </c>
      <c r="J36" s="99">
        <f t="shared" si="12"/>
        <v>138489696.52639189</v>
      </c>
      <c r="K36" s="82" t="s">
        <v>156</v>
      </c>
      <c r="L36" s="39">
        <f t="shared" si="8"/>
        <v>76.5</v>
      </c>
      <c r="M36" s="77">
        <f t="shared" si="9"/>
        <v>-5.5555555600000001E-2</v>
      </c>
      <c r="N36" s="99">
        <f t="shared" si="13"/>
        <v>90163596.622407153</v>
      </c>
      <c r="O36" s="82" t="s">
        <v>251</v>
      </c>
      <c r="P36" s="39">
        <f t="shared" si="10"/>
        <v>125</v>
      </c>
      <c r="Q36" s="77">
        <f t="shared" si="11"/>
        <v>-3.8461538500000003E-2</v>
      </c>
      <c r="R36" s="99">
        <f t="shared" si="14"/>
        <v>4990132.2504720204</v>
      </c>
    </row>
    <row r="37" spans="1:18">
      <c r="A37" s="40" t="s">
        <v>91</v>
      </c>
      <c r="B37" s="11" t="s">
        <v>92</v>
      </c>
      <c r="C37" s="95">
        <v>847</v>
      </c>
      <c r="D37" s="92">
        <v>-5.9933407299999998E-2</v>
      </c>
      <c r="E37" s="93">
        <v>395346158.92363483</v>
      </c>
      <c r="F37" s="35"/>
      <c r="G37" s="47" t="s">
        <v>208</v>
      </c>
      <c r="H37" s="39">
        <f t="shared" si="6"/>
        <v>75.5</v>
      </c>
      <c r="I37" s="77">
        <f t="shared" si="7"/>
        <v>-2.4547803600000001E-2</v>
      </c>
      <c r="J37" s="86">
        <f t="shared" si="12"/>
        <v>443346130.45476234</v>
      </c>
      <c r="K37" s="82" t="s">
        <v>65</v>
      </c>
      <c r="L37" s="39">
        <f t="shared" si="8"/>
        <v>27.2</v>
      </c>
      <c r="M37" s="77">
        <f t="shared" si="9"/>
        <v>-5.8823529399999998E-2</v>
      </c>
      <c r="N37" s="86">
        <f t="shared" si="13"/>
        <v>40772420.60272377</v>
      </c>
      <c r="O37" s="82" t="s">
        <v>265</v>
      </c>
      <c r="P37" s="39">
        <f t="shared" si="10"/>
        <v>296</v>
      </c>
      <c r="Q37" s="77">
        <f t="shared" si="11"/>
        <v>-3.8961039000000003E-2</v>
      </c>
      <c r="R37" s="86">
        <f t="shared" si="14"/>
        <v>4806241.2871168796</v>
      </c>
    </row>
    <row r="38" spans="1:18">
      <c r="A38" s="40" t="s">
        <v>60</v>
      </c>
      <c r="B38" s="11" t="s">
        <v>61</v>
      </c>
      <c r="C38" s="95">
        <v>705</v>
      </c>
      <c r="D38" s="92">
        <v>-0.06</v>
      </c>
      <c r="E38" s="93">
        <v>11193486.40203871</v>
      </c>
      <c r="F38" s="35"/>
      <c r="G38" s="47" t="s">
        <v>84</v>
      </c>
      <c r="H38" s="39">
        <f t="shared" si="6"/>
        <v>1595</v>
      </c>
      <c r="I38" s="77">
        <f t="shared" si="7"/>
        <v>-3.03951368E-2</v>
      </c>
      <c r="J38" s="86">
        <f t="shared" si="12"/>
        <v>25238395.846355122</v>
      </c>
      <c r="K38" s="82" t="s">
        <v>225</v>
      </c>
      <c r="L38" s="39">
        <f t="shared" si="8"/>
        <v>6.65</v>
      </c>
      <c r="M38" s="77">
        <f t="shared" si="9"/>
        <v>-6.4697609000000003E-2</v>
      </c>
      <c r="N38" s="86">
        <f t="shared" si="13"/>
        <v>627956884.76161861</v>
      </c>
      <c r="O38" s="82" t="s">
        <v>80</v>
      </c>
      <c r="P38" s="39">
        <f t="shared" si="10"/>
        <v>677</v>
      </c>
      <c r="Q38" s="77">
        <f t="shared" si="11"/>
        <v>-4.2432814700000002E-2</v>
      </c>
      <c r="R38" s="86">
        <f t="shared" si="14"/>
        <v>2600153.8175871102</v>
      </c>
    </row>
    <row r="39" spans="1:18">
      <c r="A39" s="40" t="s">
        <v>117</v>
      </c>
      <c r="B39" s="11" t="s">
        <v>118</v>
      </c>
      <c r="C39" s="95">
        <v>4305</v>
      </c>
      <c r="D39" s="92">
        <v>-6.0043668100000003E-2</v>
      </c>
      <c r="E39" s="93">
        <v>436871.98155907</v>
      </c>
      <c r="F39" s="35"/>
      <c r="G39" s="47" t="s">
        <v>150</v>
      </c>
      <c r="H39" s="39">
        <f t="shared" si="6"/>
        <v>2375</v>
      </c>
      <c r="I39" s="77">
        <f t="shared" si="7"/>
        <v>-3.2586558000000002E-2</v>
      </c>
      <c r="J39" s="86">
        <f t="shared" si="12"/>
        <v>3918040.7952718702</v>
      </c>
      <c r="K39" s="82" t="s">
        <v>126</v>
      </c>
      <c r="L39" s="39">
        <f t="shared" si="8"/>
        <v>21</v>
      </c>
      <c r="M39" s="77">
        <f t="shared" si="9"/>
        <v>-6.6666666700000002E-2</v>
      </c>
      <c r="N39" s="86">
        <f t="shared" si="13"/>
        <v>174859625.95984459</v>
      </c>
      <c r="O39" s="82" t="s">
        <v>51</v>
      </c>
      <c r="P39" s="39">
        <f t="shared" si="10"/>
        <v>326</v>
      </c>
      <c r="Q39" s="77">
        <f t="shared" si="11"/>
        <v>-4.9562682199999999E-2</v>
      </c>
      <c r="R39" s="86">
        <f t="shared" si="14"/>
        <v>46930117.508238651</v>
      </c>
    </row>
    <row r="40" spans="1:18" ht="17.25" thickBot="1">
      <c r="A40" s="40" t="s">
        <v>53</v>
      </c>
      <c r="B40" s="11" t="s">
        <v>54</v>
      </c>
      <c r="C40" s="95">
        <v>218</v>
      </c>
      <c r="D40" s="92">
        <v>-6.0344827599999998E-2</v>
      </c>
      <c r="E40" s="93">
        <v>9282456.5616596993</v>
      </c>
      <c r="F40" s="35"/>
      <c r="G40" s="53" t="s">
        <v>76</v>
      </c>
      <c r="H40" s="37">
        <f t="shared" si="6"/>
        <v>23270</v>
      </c>
      <c r="I40" s="79">
        <f t="shared" si="7"/>
        <v>-3.40390203E-2</v>
      </c>
      <c r="J40" s="87">
        <f t="shared" si="12"/>
        <v>695906.49807215005</v>
      </c>
      <c r="K40" s="84" t="s">
        <v>273</v>
      </c>
      <c r="L40" s="37">
        <f t="shared" si="8"/>
        <v>62</v>
      </c>
      <c r="M40" s="79">
        <f t="shared" si="9"/>
        <v>-7.87518574E-2</v>
      </c>
      <c r="N40" s="87">
        <f t="shared" si="13"/>
        <v>13079700.29814928</v>
      </c>
      <c r="O40" s="84" t="s">
        <v>242</v>
      </c>
      <c r="P40" s="37">
        <f t="shared" si="10"/>
        <v>208</v>
      </c>
      <c r="Q40" s="79">
        <f t="shared" si="11"/>
        <v>-5.45454545E-2</v>
      </c>
      <c r="R40" s="87">
        <f t="shared" si="14"/>
        <v>129388248.60915326</v>
      </c>
    </row>
    <row r="41" spans="1:18">
      <c r="A41" s="40" t="s">
        <v>62</v>
      </c>
      <c r="B41" s="11" t="s">
        <v>63</v>
      </c>
      <c r="C41" s="95">
        <v>49600</v>
      </c>
      <c r="D41" s="92">
        <v>-6.0783942399999999E-2</v>
      </c>
      <c r="E41" s="93">
        <v>212475.01760435</v>
      </c>
      <c r="F41" s="35"/>
      <c r="G41" s="52" t="s">
        <v>96</v>
      </c>
      <c r="H41" s="38">
        <f t="shared" si="6"/>
        <v>2485000</v>
      </c>
      <c r="I41" s="76">
        <f t="shared" si="7"/>
        <v>-3.45765346E-2</v>
      </c>
      <c r="J41" s="85">
        <f t="shared" si="12"/>
        <v>92067.951851549995</v>
      </c>
      <c r="K41" s="81" t="s">
        <v>134</v>
      </c>
      <c r="L41" s="38">
        <f t="shared" si="8"/>
        <v>60.7</v>
      </c>
      <c r="M41" s="76">
        <f t="shared" si="9"/>
        <v>-8.1694402400000005E-2</v>
      </c>
      <c r="N41" s="85">
        <f t="shared" si="13"/>
        <v>43353970.306137659</v>
      </c>
      <c r="O41" s="81" t="s">
        <v>120</v>
      </c>
      <c r="P41" s="38">
        <f t="shared" si="10"/>
        <v>120</v>
      </c>
      <c r="Q41" s="76">
        <f t="shared" si="11"/>
        <v>-5.5118110200000001E-2</v>
      </c>
      <c r="R41" s="85">
        <f t="shared" si="14"/>
        <v>10364648.206574989</v>
      </c>
    </row>
    <row r="42" spans="1:18">
      <c r="A42" s="40" t="s">
        <v>131</v>
      </c>
      <c r="B42" s="11" t="s">
        <v>132</v>
      </c>
      <c r="C42" s="95">
        <v>108</v>
      </c>
      <c r="D42" s="92">
        <v>-6.0869565200000003E-2</v>
      </c>
      <c r="E42" s="93">
        <v>416718726.77817923</v>
      </c>
      <c r="F42" s="35"/>
      <c r="G42" s="47" t="s">
        <v>130</v>
      </c>
      <c r="H42" s="39">
        <f t="shared" si="6"/>
        <v>174600</v>
      </c>
      <c r="I42" s="77">
        <f t="shared" si="7"/>
        <v>-3.6157880199999999E-2</v>
      </c>
      <c r="J42" s="86">
        <f t="shared" si="12"/>
        <v>42591.892271500001</v>
      </c>
      <c r="K42" s="82" t="s">
        <v>152</v>
      </c>
      <c r="L42" s="39">
        <f t="shared" si="8"/>
        <v>14.6</v>
      </c>
      <c r="M42" s="77">
        <f t="shared" si="9"/>
        <v>-8.1761006299999994E-2</v>
      </c>
      <c r="N42" s="86">
        <f t="shared" si="13"/>
        <v>301963139.20977378</v>
      </c>
      <c r="O42" s="82" t="s">
        <v>92</v>
      </c>
      <c r="P42" s="39">
        <f t="shared" si="10"/>
        <v>847</v>
      </c>
      <c r="Q42" s="77">
        <f t="shared" si="11"/>
        <v>-5.9933407299999998E-2</v>
      </c>
      <c r="R42" s="86">
        <f t="shared" si="14"/>
        <v>395346158.92363483</v>
      </c>
    </row>
    <row r="43" spans="1:18">
      <c r="A43" s="40" t="s">
        <v>159</v>
      </c>
      <c r="B43" s="11" t="s">
        <v>160</v>
      </c>
      <c r="C43" s="95">
        <v>1380</v>
      </c>
      <c r="D43" s="92">
        <v>-6.1224489799999997E-2</v>
      </c>
      <c r="E43" s="93">
        <v>2859639.2052262598</v>
      </c>
      <c r="F43" s="35"/>
      <c r="G43" s="47" t="s">
        <v>98</v>
      </c>
      <c r="H43" s="39">
        <f t="shared" si="6"/>
        <v>3465</v>
      </c>
      <c r="I43" s="77">
        <f t="shared" si="7"/>
        <v>-3.6161335199999999E-2</v>
      </c>
      <c r="J43" s="86">
        <f t="shared" si="12"/>
        <v>945735.36649417004</v>
      </c>
      <c r="K43" s="82" t="s">
        <v>100</v>
      </c>
      <c r="L43" s="39">
        <f t="shared" si="8"/>
        <v>3.23</v>
      </c>
      <c r="M43" s="77">
        <f t="shared" si="9"/>
        <v>-8.2386363599999998E-2</v>
      </c>
      <c r="N43" s="86">
        <f t="shared" si="13"/>
        <v>9602404859.3865185</v>
      </c>
      <c r="O43" s="82" t="s">
        <v>61</v>
      </c>
      <c r="P43" s="39">
        <f t="shared" si="10"/>
        <v>705</v>
      </c>
      <c r="Q43" s="77">
        <f t="shared" si="11"/>
        <v>-0.06</v>
      </c>
      <c r="R43" s="86">
        <f t="shared" si="14"/>
        <v>11193486.40203871</v>
      </c>
    </row>
    <row r="44" spans="1:18">
      <c r="A44" s="40" t="s">
        <v>182</v>
      </c>
      <c r="B44" s="11" t="s">
        <v>183</v>
      </c>
      <c r="C44" s="95">
        <v>1145</v>
      </c>
      <c r="D44" s="92">
        <v>-6.1475409799999998E-2</v>
      </c>
      <c r="E44" s="93">
        <v>1798619.1633363799</v>
      </c>
      <c r="F44" s="35"/>
      <c r="G44" s="47" t="s">
        <v>49</v>
      </c>
      <c r="H44" s="39">
        <f t="shared" si="6"/>
        <v>40538000</v>
      </c>
      <c r="I44" s="77">
        <f t="shared" si="7"/>
        <v>-3.68275993E-2</v>
      </c>
      <c r="J44" s="86">
        <f t="shared" si="12"/>
        <v>7197.8413694000001</v>
      </c>
      <c r="K44" s="82" t="s">
        <v>154</v>
      </c>
      <c r="L44" s="39">
        <f t="shared" si="8"/>
        <v>7.14</v>
      </c>
      <c r="M44" s="77">
        <f t="shared" si="9"/>
        <v>-8.5787452E-2</v>
      </c>
      <c r="N44" s="86">
        <f t="shared" si="13"/>
        <v>553492005.58343685</v>
      </c>
      <c r="O44" s="82" t="s">
        <v>54</v>
      </c>
      <c r="P44" s="39">
        <f t="shared" si="10"/>
        <v>218</v>
      </c>
      <c r="Q44" s="77">
        <f t="shared" si="11"/>
        <v>-6.0344827599999998E-2</v>
      </c>
      <c r="R44" s="86">
        <f t="shared" si="14"/>
        <v>9282456.5616596993</v>
      </c>
    </row>
    <row r="45" spans="1:18">
      <c r="A45" s="40" t="s">
        <v>103</v>
      </c>
      <c r="B45" s="11" t="s">
        <v>104</v>
      </c>
      <c r="C45" s="95">
        <v>931</v>
      </c>
      <c r="D45" s="92">
        <v>-6.1491935499999997E-2</v>
      </c>
      <c r="E45" s="93">
        <v>4675816.53829371</v>
      </c>
      <c r="F45" s="35"/>
      <c r="G45" s="47" t="s">
        <v>165</v>
      </c>
      <c r="H45" s="44">
        <f t="shared" si="6"/>
        <v>945</v>
      </c>
      <c r="I45" s="78">
        <f t="shared" si="7"/>
        <v>-3.7678207700000001E-2</v>
      </c>
      <c r="J45" s="90">
        <f t="shared" si="12"/>
        <v>1349330.82146891</v>
      </c>
      <c r="K45" s="83" t="s">
        <v>217</v>
      </c>
      <c r="L45" s="44">
        <f t="shared" si="8"/>
        <v>8.65</v>
      </c>
      <c r="M45" s="78">
        <f t="shared" si="9"/>
        <v>-8.8514225500000002E-2</v>
      </c>
      <c r="N45" s="90">
        <f t="shared" si="13"/>
        <v>322537080.73804456</v>
      </c>
      <c r="O45" s="83" t="s">
        <v>132</v>
      </c>
      <c r="P45" s="44">
        <f t="shared" si="10"/>
        <v>108</v>
      </c>
      <c r="Q45" s="78">
        <f t="shared" si="11"/>
        <v>-6.0869565200000003E-2</v>
      </c>
      <c r="R45" s="90">
        <f t="shared" si="14"/>
        <v>416718726.77817923</v>
      </c>
    </row>
    <row r="46" spans="1:18">
      <c r="A46" s="40" t="s">
        <v>168</v>
      </c>
      <c r="B46" s="11" t="s">
        <v>169</v>
      </c>
      <c r="C46" s="95">
        <v>212</v>
      </c>
      <c r="D46" s="92">
        <v>-6.1946902700000001E-2</v>
      </c>
      <c r="E46" s="93">
        <v>5852198.8617601702</v>
      </c>
      <c r="F46" s="35"/>
      <c r="G46" s="49" t="s">
        <v>251</v>
      </c>
      <c r="H46" s="39">
        <f t="shared" si="6"/>
        <v>125</v>
      </c>
      <c r="I46" s="77">
        <f t="shared" si="7"/>
        <v>-3.8461538500000003E-2</v>
      </c>
      <c r="J46" s="99">
        <f t="shared" si="12"/>
        <v>4990132.2504720204</v>
      </c>
      <c r="K46" s="82" t="s">
        <v>259</v>
      </c>
      <c r="L46" s="39">
        <f t="shared" si="8"/>
        <v>59.6</v>
      </c>
      <c r="M46" s="77">
        <f t="shared" si="9"/>
        <v>-8.8685015300000003E-2</v>
      </c>
      <c r="N46" s="99">
        <f t="shared" si="13"/>
        <v>20957674.131093942</v>
      </c>
      <c r="O46" s="82" t="s">
        <v>104</v>
      </c>
      <c r="P46" s="39">
        <f t="shared" si="10"/>
        <v>931</v>
      </c>
      <c r="Q46" s="77">
        <f t="shared" si="11"/>
        <v>-6.1491935499999997E-2</v>
      </c>
      <c r="R46" s="99">
        <f t="shared" si="14"/>
        <v>4675816.53829371</v>
      </c>
    </row>
    <row r="47" spans="1:18">
      <c r="A47" s="40" t="s">
        <v>224</v>
      </c>
      <c r="B47" s="11" t="s">
        <v>225</v>
      </c>
      <c r="C47" s="95">
        <v>6.65</v>
      </c>
      <c r="D47" s="92">
        <v>-6.4697609000000003E-2</v>
      </c>
      <c r="E47" s="93">
        <v>627956884.76161861</v>
      </c>
      <c r="F47" s="35"/>
      <c r="G47" s="47" t="s">
        <v>265</v>
      </c>
      <c r="H47" s="39">
        <f t="shared" si="6"/>
        <v>296</v>
      </c>
      <c r="I47" s="77">
        <f t="shared" si="7"/>
        <v>-3.8961039000000003E-2</v>
      </c>
      <c r="J47" s="86">
        <f t="shared" si="12"/>
        <v>4806241.2871168796</v>
      </c>
      <c r="K47" s="82" t="s">
        <v>227</v>
      </c>
      <c r="L47" s="39">
        <f t="shared" si="8"/>
        <v>71.099999999999994</v>
      </c>
      <c r="M47" s="77">
        <f t="shared" si="9"/>
        <v>-9.5419847299999999E-2</v>
      </c>
      <c r="N47" s="86">
        <f t="shared" si="13"/>
        <v>159844812.27721131</v>
      </c>
      <c r="O47" s="82" t="s">
        <v>169</v>
      </c>
      <c r="P47" s="39">
        <f t="shared" si="10"/>
        <v>212</v>
      </c>
      <c r="Q47" s="77">
        <f t="shared" si="11"/>
        <v>-6.1946902700000001E-2</v>
      </c>
      <c r="R47" s="86">
        <f t="shared" si="14"/>
        <v>5852198.8617601702</v>
      </c>
    </row>
    <row r="48" spans="1:18">
      <c r="A48" s="40" t="s">
        <v>139</v>
      </c>
      <c r="B48" s="11" t="s">
        <v>140</v>
      </c>
      <c r="C48" s="95">
        <v>1935</v>
      </c>
      <c r="D48" s="92">
        <v>-6.5217391299999997E-2</v>
      </c>
      <c r="E48" s="93">
        <v>711425.40334463003</v>
      </c>
      <c r="F48" s="35"/>
      <c r="G48" s="47" t="s">
        <v>80</v>
      </c>
      <c r="H48" s="39">
        <f t="shared" si="6"/>
        <v>677</v>
      </c>
      <c r="I48" s="77">
        <f t="shared" si="7"/>
        <v>-4.2432814700000002E-2</v>
      </c>
      <c r="J48" s="86">
        <f t="shared" si="12"/>
        <v>2600153.8175871102</v>
      </c>
      <c r="K48" s="82" t="s">
        <v>185</v>
      </c>
      <c r="L48" s="39">
        <f t="shared" si="8"/>
        <v>12.3</v>
      </c>
      <c r="M48" s="77">
        <f t="shared" si="9"/>
        <v>-9.5588235300000005E-2</v>
      </c>
      <c r="N48" s="86">
        <f t="shared" si="13"/>
        <v>219189948.73443747</v>
      </c>
      <c r="O48" s="82" t="s">
        <v>142</v>
      </c>
      <c r="P48" s="39">
        <f t="shared" si="10"/>
        <v>659</v>
      </c>
      <c r="Q48" s="77">
        <f t="shared" si="11"/>
        <v>-6.6572238000000006E-2</v>
      </c>
      <c r="R48" s="86">
        <f t="shared" si="14"/>
        <v>148049389.57735047</v>
      </c>
    </row>
    <row r="49" spans="1:18">
      <c r="A49" s="40" t="s">
        <v>141</v>
      </c>
      <c r="B49" s="11" t="s">
        <v>142</v>
      </c>
      <c r="C49" s="95">
        <v>659</v>
      </c>
      <c r="D49" s="92">
        <v>-6.6572238000000006E-2</v>
      </c>
      <c r="E49" s="93">
        <v>148049389.57735047</v>
      </c>
      <c r="F49" s="35"/>
      <c r="G49" s="47" t="s">
        <v>229</v>
      </c>
      <c r="H49" s="39">
        <f t="shared" si="6"/>
        <v>81.400000000000006</v>
      </c>
      <c r="I49" s="77">
        <f t="shared" si="7"/>
        <v>-4.3478260900000003E-2</v>
      </c>
      <c r="J49" s="86">
        <f t="shared" si="12"/>
        <v>443561008.12862182</v>
      </c>
      <c r="K49" s="82" t="s">
        <v>261</v>
      </c>
      <c r="L49" s="39">
        <f t="shared" si="8"/>
        <v>43.2</v>
      </c>
      <c r="M49" s="77">
        <f t="shared" si="9"/>
        <v>-9.6234309599999998E-2</v>
      </c>
      <c r="N49" s="86">
        <f t="shared" si="13"/>
        <v>61282938.62472713</v>
      </c>
      <c r="O49" s="82" t="s">
        <v>106</v>
      </c>
      <c r="P49" s="39">
        <f t="shared" si="10"/>
        <v>875</v>
      </c>
      <c r="Q49" s="77">
        <f t="shared" si="11"/>
        <v>-6.8157614500000005E-2</v>
      </c>
      <c r="R49" s="86">
        <f t="shared" si="14"/>
        <v>1284369.1049478201</v>
      </c>
    </row>
    <row r="50" spans="1:18" ht="17.25" thickBot="1">
      <c r="A50" s="40" t="s">
        <v>125</v>
      </c>
      <c r="B50" s="11" t="s">
        <v>126</v>
      </c>
      <c r="C50" s="95">
        <v>21</v>
      </c>
      <c r="D50" s="92">
        <v>-6.6666666700000002E-2</v>
      </c>
      <c r="E50" s="93">
        <v>174859625.95984459</v>
      </c>
      <c r="F50" s="35"/>
      <c r="G50" s="53" t="s">
        <v>74</v>
      </c>
      <c r="H50" s="37">
        <f t="shared" si="6"/>
        <v>13460</v>
      </c>
      <c r="I50" s="79">
        <f t="shared" si="7"/>
        <v>-4.5390070900000003E-2</v>
      </c>
      <c r="J50" s="87">
        <f t="shared" si="12"/>
        <v>130529.25157957</v>
      </c>
      <c r="K50" s="84" t="s">
        <v>212</v>
      </c>
      <c r="L50" s="37">
        <f t="shared" si="8"/>
        <v>7.69</v>
      </c>
      <c r="M50" s="79">
        <f t="shared" si="9"/>
        <v>-9.9531615899999995E-2</v>
      </c>
      <c r="N50" s="87">
        <f t="shared" si="13"/>
        <v>531157146.79148179</v>
      </c>
      <c r="O50" s="84" t="s">
        <v>57</v>
      </c>
      <c r="P50" s="37">
        <f t="shared" si="10"/>
        <v>162</v>
      </c>
      <c r="Q50" s="79">
        <f t="shared" si="11"/>
        <v>-6.8965517200000007E-2</v>
      </c>
      <c r="R50" s="87">
        <f t="shared" si="14"/>
        <v>28143785.921409249</v>
      </c>
    </row>
    <row r="51" spans="1:18">
      <c r="A51" s="40" t="s">
        <v>105</v>
      </c>
      <c r="B51" s="11" t="s">
        <v>106</v>
      </c>
      <c r="C51" s="95">
        <v>875</v>
      </c>
      <c r="D51" s="92">
        <v>-6.8157614500000005E-2</v>
      </c>
      <c r="E51" s="93">
        <v>1284369.1049478201</v>
      </c>
      <c r="F51" s="35"/>
    </row>
    <row r="52" spans="1:18" ht="17.25" thickBot="1">
      <c r="A52" s="40" t="s">
        <v>107</v>
      </c>
      <c r="B52" s="11" t="s">
        <v>108</v>
      </c>
      <c r="C52" s="95">
        <v>25380</v>
      </c>
      <c r="D52" s="92">
        <v>-6.8623853200000001E-2</v>
      </c>
      <c r="E52" s="93">
        <v>174953.58079625</v>
      </c>
      <c r="F52" s="35"/>
    </row>
    <row r="53" spans="1:18" ht="17.25" thickBot="1">
      <c r="A53" s="40" t="s">
        <v>56</v>
      </c>
      <c r="B53" s="11" t="s">
        <v>57</v>
      </c>
      <c r="C53" s="95">
        <v>162</v>
      </c>
      <c r="D53" s="92">
        <v>-6.8965517200000007E-2</v>
      </c>
      <c r="E53" s="93">
        <v>28143785.921409249</v>
      </c>
      <c r="F53" s="35"/>
      <c r="G53" s="262" t="s">
        <v>280</v>
      </c>
      <c r="H53" s="263"/>
      <c r="I53" s="263"/>
      <c r="J53" s="264"/>
      <c r="K53" s="262" t="s">
        <v>283</v>
      </c>
      <c r="L53" s="263"/>
      <c r="M53" s="263"/>
      <c r="N53" s="264"/>
      <c r="O53" s="262" t="s">
        <v>284</v>
      </c>
      <c r="P53" s="263"/>
      <c r="Q53" s="263"/>
      <c r="R53" s="264"/>
    </row>
    <row r="54" spans="1:18" ht="17.25" thickBot="1">
      <c r="A54" s="40" t="s">
        <v>174</v>
      </c>
      <c r="B54" s="11" t="s">
        <v>175</v>
      </c>
      <c r="C54" s="95">
        <v>903</v>
      </c>
      <c r="D54" s="92">
        <v>-6.9072164899999997E-2</v>
      </c>
      <c r="E54" s="93">
        <v>3750489.2255621799</v>
      </c>
      <c r="F54" s="35"/>
      <c r="G54" s="299" t="s">
        <v>55</v>
      </c>
      <c r="H54" s="315">
        <f ca="1">NOW()</f>
        <v>44367.897969097219</v>
      </c>
      <c r="I54" s="316"/>
      <c r="J54" s="317"/>
      <c r="K54" s="314" t="s">
        <v>55</v>
      </c>
      <c r="L54" s="315">
        <f ca="1">NOW()</f>
        <v>44367.897969097219</v>
      </c>
      <c r="M54" s="316"/>
      <c r="N54" s="317"/>
      <c r="O54" s="314" t="s">
        <v>55</v>
      </c>
      <c r="P54" s="315">
        <f ca="1">NOW()</f>
        <v>44367.897969097219</v>
      </c>
      <c r="Q54" s="316"/>
      <c r="R54" s="317"/>
    </row>
    <row r="55" spans="1:18" ht="17.25" thickBot="1">
      <c r="A55" s="40" t="s">
        <v>127</v>
      </c>
      <c r="B55" s="11" t="s">
        <v>128</v>
      </c>
      <c r="C55" s="95">
        <v>250</v>
      </c>
      <c r="D55" s="92">
        <v>-7.0631970299999999E-2</v>
      </c>
      <c r="E55" s="93">
        <v>23634595.576000899</v>
      </c>
      <c r="F55" s="35"/>
      <c r="G55" s="307"/>
      <c r="H55" s="51" t="s">
        <v>58</v>
      </c>
      <c r="I55" s="73" t="s">
        <v>59</v>
      </c>
      <c r="J55" s="69" t="s">
        <v>289</v>
      </c>
      <c r="K55" s="285"/>
      <c r="L55" s="51" t="s">
        <v>58</v>
      </c>
      <c r="M55" s="73" t="s">
        <v>59</v>
      </c>
      <c r="N55" s="69" t="s">
        <v>289</v>
      </c>
      <c r="O55" s="285"/>
      <c r="P55" s="51" t="s">
        <v>58</v>
      </c>
      <c r="Q55" s="73" t="s">
        <v>59</v>
      </c>
      <c r="R55" s="69" t="s">
        <v>289</v>
      </c>
    </row>
    <row r="56" spans="1:18">
      <c r="A56" s="40" t="s">
        <v>186</v>
      </c>
      <c r="B56" s="11" t="s">
        <v>187</v>
      </c>
      <c r="C56" s="95">
        <v>8445</v>
      </c>
      <c r="D56" s="92">
        <v>-7.4520547899999998E-2</v>
      </c>
      <c r="E56" s="93">
        <v>1214317.3626216799</v>
      </c>
      <c r="F56" s="35"/>
      <c r="G56" s="55" t="s">
        <v>197</v>
      </c>
      <c r="H56" s="38">
        <f t="shared" ref="H56:H75" si="15">_xlfn.IFNA(VLOOKUP(G56, $B$2:$D$200, 2, FALSE), "")</f>
        <v>11.2</v>
      </c>
      <c r="I56" s="76">
        <f t="shared" ref="I56:I65" si="16">_xlfn.IFNA(VLOOKUP(G56, $B$2:$D$200, 3, FALSE), "")</f>
        <v>-0.1181102362</v>
      </c>
      <c r="J56" s="85">
        <f>_xlfn.IFNA(VLOOKUP(G56, $B$2:$E$200, 4, FALSE), "")</f>
        <v>560047130.18687654</v>
      </c>
      <c r="K56" s="81" t="s">
        <v>227</v>
      </c>
      <c r="L56" s="38">
        <f t="shared" ref="L56:L75" si="17">_xlfn.IFNA(VLOOKUP(K56, $B$2:$D$200, 2, FALSE), "")</f>
        <v>71.099999999999994</v>
      </c>
      <c r="M56" s="76">
        <f t="shared" ref="M56:M75" si="18">_xlfn.IFNA(VLOOKUP(K56, $B$2:$D$200, 3, FALSE), "")</f>
        <v>-9.5419847299999999E-2</v>
      </c>
      <c r="N56" s="85">
        <f>_xlfn.IFNA(VLOOKUP(K56, $B$2:$E$200, 4, FALSE), "")</f>
        <v>159844812.27721131</v>
      </c>
      <c r="O56" s="81" t="s">
        <v>104</v>
      </c>
      <c r="P56" s="38">
        <f t="shared" ref="P56:P75" si="19">_xlfn.IFNA(VLOOKUP(O56, $B$2:$D$200, 2, FALSE), "")</f>
        <v>931</v>
      </c>
      <c r="Q56" s="76">
        <f t="shared" ref="Q56:Q75" si="20">_xlfn.IFNA(VLOOKUP(O56, $B$2:$D$200, 3, FALSE), "")</f>
        <v>-6.1491935499999997E-2</v>
      </c>
      <c r="R56" s="85">
        <f>_xlfn.IFNA(VLOOKUP(O56, $B$2:$E$200, 4, FALSE), "")</f>
        <v>4675816.53829371</v>
      </c>
    </row>
    <row r="57" spans="1:18">
      <c r="A57" s="40" t="s">
        <v>109</v>
      </c>
      <c r="B57" s="11" t="s">
        <v>110</v>
      </c>
      <c r="C57" s="95">
        <v>1055</v>
      </c>
      <c r="D57" s="92">
        <v>-7.4561403499999998E-2</v>
      </c>
      <c r="E57" s="93">
        <v>1673674.44494429</v>
      </c>
      <c r="F57" s="35"/>
      <c r="G57" s="56" t="s">
        <v>271</v>
      </c>
      <c r="H57" s="39">
        <f t="shared" si="15"/>
        <v>1995</v>
      </c>
      <c r="I57" s="77">
        <f t="shared" si="16"/>
        <v>-0.119205298</v>
      </c>
      <c r="J57" s="86">
        <f t="shared" ref="J57:J75" si="21">_xlfn.IFNA(VLOOKUP(G57, $B$2:$E$200, 4, FALSE), "")</f>
        <v>778041.13482280006</v>
      </c>
      <c r="K57" s="82" t="s">
        <v>185</v>
      </c>
      <c r="L57" s="39">
        <f t="shared" si="17"/>
        <v>12.3</v>
      </c>
      <c r="M57" s="77">
        <f t="shared" si="18"/>
        <v>-9.5588235300000005E-2</v>
      </c>
      <c r="N57" s="86">
        <f t="shared" ref="N57:N75" si="22">_xlfn.IFNA(VLOOKUP(K57, $B$2:$E$200, 4, FALSE), "")</f>
        <v>219189948.73443747</v>
      </c>
      <c r="O57" s="82" t="s">
        <v>169</v>
      </c>
      <c r="P57" s="39">
        <f t="shared" si="19"/>
        <v>212</v>
      </c>
      <c r="Q57" s="77">
        <f t="shared" si="20"/>
        <v>-6.1946902700000001E-2</v>
      </c>
      <c r="R57" s="86">
        <f t="shared" ref="R57:R75" si="23">_xlfn.IFNA(VLOOKUP(O57, $B$2:$E$200, 4, FALSE), "")</f>
        <v>5852198.8617601702</v>
      </c>
    </row>
    <row r="58" spans="1:18">
      <c r="A58" s="40" t="s">
        <v>157</v>
      </c>
      <c r="B58" s="11" t="s">
        <v>158</v>
      </c>
      <c r="C58" s="95">
        <v>4625</v>
      </c>
      <c r="D58" s="92">
        <v>-7.4999999999999997E-2</v>
      </c>
      <c r="E58" s="93">
        <v>524701.26192742004</v>
      </c>
      <c r="F58" s="35"/>
      <c r="G58" s="56" t="s">
        <v>248</v>
      </c>
      <c r="H58" s="39">
        <f t="shared" si="15"/>
        <v>64.2</v>
      </c>
      <c r="I58" s="77">
        <f t="shared" si="16"/>
        <v>-0.11934156379999999</v>
      </c>
      <c r="J58" s="86">
        <f t="shared" si="21"/>
        <v>104011237.92083009</v>
      </c>
      <c r="K58" s="82" t="s">
        <v>261</v>
      </c>
      <c r="L58" s="39">
        <f t="shared" si="17"/>
        <v>43.2</v>
      </c>
      <c r="M58" s="77">
        <f t="shared" si="18"/>
        <v>-9.6234309599999998E-2</v>
      </c>
      <c r="N58" s="86">
        <f t="shared" si="22"/>
        <v>61282938.62472713</v>
      </c>
      <c r="O58" s="82" t="s">
        <v>142</v>
      </c>
      <c r="P58" s="39">
        <f t="shared" si="19"/>
        <v>659</v>
      </c>
      <c r="Q58" s="77">
        <f t="shared" si="20"/>
        <v>-6.6572238000000006E-2</v>
      </c>
      <c r="R58" s="86">
        <f t="shared" si="23"/>
        <v>148049389.57735047</v>
      </c>
    </row>
    <row r="59" spans="1:18">
      <c r="A59" s="40" t="s">
        <v>113</v>
      </c>
      <c r="B59" s="11" t="s">
        <v>114</v>
      </c>
      <c r="C59" s="95">
        <v>9695</v>
      </c>
      <c r="D59" s="92">
        <v>-7.5786463299999995E-2</v>
      </c>
      <c r="E59" s="93">
        <v>1203449.54573767</v>
      </c>
      <c r="F59" s="35"/>
      <c r="G59" s="56" t="s">
        <v>67</v>
      </c>
      <c r="H59" s="39">
        <f t="shared" si="15"/>
        <v>2750</v>
      </c>
      <c r="I59" s="77">
        <f t="shared" si="16"/>
        <v>-0.12</v>
      </c>
      <c r="J59" s="86">
        <f t="shared" si="21"/>
        <v>1466674.4923884701</v>
      </c>
      <c r="K59" s="82" t="s">
        <v>212</v>
      </c>
      <c r="L59" s="39">
        <f t="shared" si="17"/>
        <v>7.69</v>
      </c>
      <c r="M59" s="77">
        <f t="shared" si="18"/>
        <v>-9.9531615899999995E-2</v>
      </c>
      <c r="N59" s="86">
        <f t="shared" si="22"/>
        <v>531157146.79148179</v>
      </c>
      <c r="O59" s="82" t="s">
        <v>106</v>
      </c>
      <c r="P59" s="39">
        <f t="shared" si="19"/>
        <v>875</v>
      </c>
      <c r="Q59" s="77">
        <f t="shared" si="20"/>
        <v>-6.8157614500000005E-2</v>
      </c>
      <c r="R59" s="86">
        <f t="shared" si="23"/>
        <v>1284369.1049478201</v>
      </c>
    </row>
    <row r="60" spans="1:18">
      <c r="A60" s="40" t="s">
        <v>290</v>
      </c>
      <c r="B60" s="11" t="s">
        <v>291</v>
      </c>
      <c r="C60" s="95">
        <v>314</v>
      </c>
      <c r="D60" s="92">
        <v>-7.6470588199999995E-2</v>
      </c>
      <c r="E60" s="93">
        <v>381889221.48617363</v>
      </c>
      <c r="F60" s="35"/>
      <c r="G60" s="56" t="s">
        <v>173</v>
      </c>
      <c r="H60" s="39">
        <f t="shared" si="15"/>
        <v>92.3</v>
      </c>
      <c r="I60" s="77">
        <f t="shared" si="16"/>
        <v>-0.120952381</v>
      </c>
      <c r="J60" s="90">
        <f t="shared" si="21"/>
        <v>57979189.265103959</v>
      </c>
      <c r="K60" s="83" t="s">
        <v>167</v>
      </c>
      <c r="L60" s="44">
        <f t="shared" si="17"/>
        <v>64.099999999999994</v>
      </c>
      <c r="M60" s="78">
        <f t="shared" si="18"/>
        <v>-0.1009817672</v>
      </c>
      <c r="N60" s="90">
        <f t="shared" si="22"/>
        <v>66983121.431315623</v>
      </c>
      <c r="O60" s="83" t="s">
        <v>57</v>
      </c>
      <c r="P60" s="44">
        <f t="shared" si="19"/>
        <v>162</v>
      </c>
      <c r="Q60" s="78">
        <f t="shared" si="20"/>
        <v>-6.8965517200000007E-2</v>
      </c>
      <c r="R60" s="90">
        <f t="shared" si="23"/>
        <v>28143785.921409249</v>
      </c>
    </row>
    <row r="61" spans="1:18">
      <c r="A61" s="40" t="s">
        <v>278</v>
      </c>
      <c r="B61" s="11" t="s">
        <v>279</v>
      </c>
      <c r="C61" s="95">
        <v>166</v>
      </c>
      <c r="D61" s="92">
        <v>-7.7777777800000003E-2</v>
      </c>
      <c r="E61" s="93">
        <v>10759135.715093059</v>
      </c>
      <c r="F61" s="35"/>
      <c r="G61" s="60" t="s">
        <v>82</v>
      </c>
      <c r="H61" s="45">
        <f t="shared" si="15"/>
        <v>708</v>
      </c>
      <c r="I61" s="80">
        <f t="shared" si="16"/>
        <v>-0.12700369910000001</v>
      </c>
      <c r="J61" s="99">
        <f t="shared" si="21"/>
        <v>24310421.603971399</v>
      </c>
      <c r="K61" s="82" t="s">
        <v>195</v>
      </c>
      <c r="L61" s="39">
        <f t="shared" si="17"/>
        <v>7.13</v>
      </c>
      <c r="M61" s="77">
        <f t="shared" si="18"/>
        <v>-0.1098626717</v>
      </c>
      <c r="N61" s="99">
        <f t="shared" si="22"/>
        <v>236442683.19416407</v>
      </c>
      <c r="O61" s="82" t="s">
        <v>175</v>
      </c>
      <c r="P61" s="39">
        <f t="shared" si="19"/>
        <v>903</v>
      </c>
      <c r="Q61" s="77">
        <f t="shared" si="20"/>
        <v>-6.9072164899999997E-2</v>
      </c>
      <c r="R61" s="99">
        <f t="shared" si="23"/>
        <v>3750489.2255621799</v>
      </c>
    </row>
    <row r="62" spans="1:18">
      <c r="A62" s="40" t="s">
        <v>256</v>
      </c>
      <c r="B62" s="11" t="s">
        <v>257</v>
      </c>
      <c r="C62" s="95">
        <v>376</v>
      </c>
      <c r="D62" s="92">
        <v>-7.8431372499999999E-2</v>
      </c>
      <c r="E62" s="93">
        <v>7351586.5983748296</v>
      </c>
      <c r="F62" s="35"/>
      <c r="G62" s="56" t="s">
        <v>171</v>
      </c>
      <c r="H62" s="39">
        <f t="shared" si="15"/>
        <v>3</v>
      </c>
      <c r="I62" s="77">
        <f t="shared" si="16"/>
        <v>-0.12790697670000001</v>
      </c>
      <c r="J62" s="86">
        <f t="shared" si="21"/>
        <v>1715769812.4638326</v>
      </c>
      <c r="K62" s="82" t="s">
        <v>72</v>
      </c>
      <c r="L62" s="39">
        <f t="shared" si="17"/>
        <v>14.9</v>
      </c>
      <c r="M62" s="77">
        <f t="shared" si="18"/>
        <v>-0.1130952381</v>
      </c>
      <c r="N62" s="86">
        <f t="shared" si="22"/>
        <v>103324288.16913599</v>
      </c>
      <c r="O62" s="82" t="s">
        <v>128</v>
      </c>
      <c r="P62" s="39">
        <f t="shared" si="19"/>
        <v>250</v>
      </c>
      <c r="Q62" s="77">
        <f t="shared" si="20"/>
        <v>-7.0631970299999999E-2</v>
      </c>
      <c r="R62" s="86">
        <f t="shared" si="23"/>
        <v>23634595.576000899</v>
      </c>
    </row>
    <row r="63" spans="1:18">
      <c r="A63" s="40" t="s">
        <v>272</v>
      </c>
      <c r="B63" s="11" t="s">
        <v>273</v>
      </c>
      <c r="C63" s="95">
        <v>62</v>
      </c>
      <c r="D63" s="92">
        <v>-7.87518574E-2</v>
      </c>
      <c r="E63" s="93">
        <v>13079700.29814928</v>
      </c>
      <c r="F63" s="35"/>
      <c r="G63" s="56" t="s">
        <v>255</v>
      </c>
      <c r="H63" s="39">
        <f t="shared" si="15"/>
        <v>41</v>
      </c>
      <c r="I63" s="77">
        <f t="shared" si="16"/>
        <v>-0.12951167729999999</v>
      </c>
      <c r="J63" s="86">
        <f t="shared" si="21"/>
        <v>147281792.65596309</v>
      </c>
      <c r="K63" s="82" t="s">
        <v>197</v>
      </c>
      <c r="L63" s="39">
        <f t="shared" si="17"/>
        <v>11.2</v>
      </c>
      <c r="M63" s="77">
        <f t="shared" si="18"/>
        <v>-0.1181102362</v>
      </c>
      <c r="N63" s="86">
        <f t="shared" si="22"/>
        <v>560047130.18687654</v>
      </c>
      <c r="O63" s="82" t="s">
        <v>291</v>
      </c>
      <c r="P63" s="39">
        <f t="shared" si="19"/>
        <v>314</v>
      </c>
      <c r="Q63" s="77">
        <f t="shared" si="20"/>
        <v>-7.6470588199999995E-2</v>
      </c>
      <c r="R63" s="86">
        <f t="shared" si="23"/>
        <v>381889221.48617363</v>
      </c>
    </row>
    <row r="64" spans="1:18">
      <c r="A64" s="40" t="s">
        <v>115</v>
      </c>
      <c r="B64" s="11" t="s">
        <v>116</v>
      </c>
      <c r="C64" s="95">
        <v>268</v>
      </c>
      <c r="D64" s="92">
        <v>-7.9037800699999994E-2</v>
      </c>
      <c r="E64" s="93">
        <v>16150560.004000099</v>
      </c>
      <c r="F64" s="35"/>
      <c r="G64" s="56" t="s">
        <v>201</v>
      </c>
      <c r="H64" s="39">
        <f t="shared" si="15"/>
        <v>61.1</v>
      </c>
      <c r="I64" s="77">
        <f t="shared" si="16"/>
        <v>-0.12962962959999999</v>
      </c>
      <c r="J64" s="86">
        <f t="shared" si="21"/>
        <v>83238866.382912993</v>
      </c>
      <c r="K64" s="82" t="s">
        <v>248</v>
      </c>
      <c r="L64" s="39">
        <f t="shared" si="17"/>
        <v>64.2</v>
      </c>
      <c r="M64" s="77">
        <f t="shared" si="18"/>
        <v>-0.11934156379999999</v>
      </c>
      <c r="N64" s="86">
        <f t="shared" si="22"/>
        <v>104011237.92083009</v>
      </c>
      <c r="O64" s="82" t="s">
        <v>279</v>
      </c>
      <c r="P64" s="39">
        <f t="shared" si="19"/>
        <v>166</v>
      </c>
      <c r="Q64" s="77">
        <f t="shared" si="20"/>
        <v>-7.7777777800000003E-2</v>
      </c>
      <c r="R64" s="86">
        <f t="shared" si="23"/>
        <v>10759135.715093059</v>
      </c>
    </row>
    <row r="65" spans="1:18" ht="17.25" thickBot="1">
      <c r="A65" s="40" t="s">
        <v>237</v>
      </c>
      <c r="B65" s="11" t="s">
        <v>238</v>
      </c>
      <c r="C65" s="95">
        <v>2785</v>
      </c>
      <c r="D65" s="92">
        <v>-8.0858085800000007E-2</v>
      </c>
      <c r="E65" s="93">
        <v>693772.77191389003</v>
      </c>
      <c r="F65" s="35"/>
      <c r="G65" s="57" t="s">
        <v>233</v>
      </c>
      <c r="H65" s="37">
        <f t="shared" si="15"/>
        <v>10.6</v>
      </c>
      <c r="I65" s="79">
        <f t="shared" si="16"/>
        <v>-0.13114754100000001</v>
      </c>
      <c r="J65" s="87">
        <f t="shared" si="21"/>
        <v>558984942.74312913</v>
      </c>
      <c r="K65" s="84" t="s">
        <v>173</v>
      </c>
      <c r="L65" s="37">
        <f t="shared" si="17"/>
        <v>92.3</v>
      </c>
      <c r="M65" s="79">
        <f t="shared" si="18"/>
        <v>-0.120952381</v>
      </c>
      <c r="N65" s="87">
        <f t="shared" si="22"/>
        <v>57979189.265103959</v>
      </c>
      <c r="O65" s="84" t="s">
        <v>257</v>
      </c>
      <c r="P65" s="37">
        <f t="shared" si="19"/>
        <v>376</v>
      </c>
      <c r="Q65" s="79">
        <f t="shared" si="20"/>
        <v>-7.8431372499999999E-2</v>
      </c>
      <c r="R65" s="87">
        <f t="shared" si="23"/>
        <v>7351586.5983748296</v>
      </c>
    </row>
    <row r="66" spans="1:18">
      <c r="A66" s="40" t="s">
        <v>133</v>
      </c>
      <c r="B66" s="11" t="s">
        <v>134</v>
      </c>
      <c r="C66" s="95">
        <v>60.7</v>
      </c>
      <c r="D66" s="92">
        <v>-8.1694402400000005E-2</v>
      </c>
      <c r="E66" s="93">
        <v>43353970.306137659</v>
      </c>
      <c r="F66" s="35"/>
      <c r="G66" s="56" t="s">
        <v>221</v>
      </c>
      <c r="H66" s="38">
        <f t="shared" si="15"/>
        <v>898</v>
      </c>
      <c r="I66" s="76">
        <f t="shared" ref="I66:I75" si="24">_xlfn.IFNA(VLOOKUP(G66, $B$2:$D$200, 3, FALSE), "")</f>
        <v>-0.1323671498</v>
      </c>
      <c r="J66" s="85">
        <f t="shared" si="21"/>
        <v>11133685.039157011</v>
      </c>
      <c r="K66" s="81" t="s">
        <v>171</v>
      </c>
      <c r="L66" s="38">
        <f t="shared" si="17"/>
        <v>3</v>
      </c>
      <c r="M66" s="76">
        <f t="shared" si="18"/>
        <v>-0.12790697670000001</v>
      </c>
      <c r="N66" s="85">
        <f t="shared" si="22"/>
        <v>1715769812.4638326</v>
      </c>
      <c r="O66" s="81" t="s">
        <v>116</v>
      </c>
      <c r="P66" s="38">
        <f t="shared" si="19"/>
        <v>268</v>
      </c>
      <c r="Q66" s="76">
        <f t="shared" si="20"/>
        <v>-7.9037800699999994E-2</v>
      </c>
      <c r="R66" s="85">
        <f t="shared" si="23"/>
        <v>16150560.004000099</v>
      </c>
    </row>
    <row r="67" spans="1:18">
      <c r="A67" s="40" t="s">
        <v>151</v>
      </c>
      <c r="B67" s="11" t="s">
        <v>152</v>
      </c>
      <c r="C67" s="95">
        <v>14.6</v>
      </c>
      <c r="D67" s="92">
        <v>-8.1761006299999994E-2</v>
      </c>
      <c r="E67" s="93">
        <v>301963139.20977378</v>
      </c>
      <c r="F67" s="35"/>
      <c r="G67" s="56" t="s">
        <v>219</v>
      </c>
      <c r="H67" s="39">
        <f t="shared" si="15"/>
        <v>7.94</v>
      </c>
      <c r="I67" s="77">
        <f t="shared" si="24"/>
        <v>-0.1331877729</v>
      </c>
      <c r="J67" s="86">
        <f t="shared" si="21"/>
        <v>527977164.68266314</v>
      </c>
      <c r="K67" s="82" t="s">
        <v>255</v>
      </c>
      <c r="L67" s="39">
        <f t="shared" si="17"/>
        <v>41</v>
      </c>
      <c r="M67" s="77">
        <f t="shared" si="18"/>
        <v>-0.12951167729999999</v>
      </c>
      <c r="N67" s="86">
        <f t="shared" si="22"/>
        <v>147281792.65596309</v>
      </c>
      <c r="O67" s="82" t="s">
        <v>253</v>
      </c>
      <c r="P67" s="39">
        <f t="shared" si="19"/>
        <v>326</v>
      </c>
      <c r="Q67" s="77">
        <f t="shared" si="20"/>
        <v>-8.42696629E-2</v>
      </c>
      <c r="R67" s="86">
        <f t="shared" si="23"/>
        <v>3843304.4605664099</v>
      </c>
    </row>
    <row r="68" spans="1:18">
      <c r="A68" s="40" t="s">
        <v>99</v>
      </c>
      <c r="B68" s="11" t="s">
        <v>100</v>
      </c>
      <c r="C68" s="95">
        <v>3.23</v>
      </c>
      <c r="D68" s="92">
        <v>-8.2386363599999998E-2</v>
      </c>
      <c r="E68" s="93">
        <v>9602404859.3865185</v>
      </c>
      <c r="F68" s="35"/>
      <c r="G68" s="56" t="s">
        <v>112</v>
      </c>
      <c r="H68" s="39">
        <f t="shared" si="15"/>
        <v>98.8</v>
      </c>
      <c r="I68" s="77">
        <f t="shared" si="24"/>
        <v>-0.1333333333</v>
      </c>
      <c r="J68" s="86">
        <f t="shared" si="21"/>
        <v>95530332.386874616</v>
      </c>
      <c r="K68" s="82" t="s">
        <v>201</v>
      </c>
      <c r="L68" s="39">
        <f t="shared" si="17"/>
        <v>61.1</v>
      </c>
      <c r="M68" s="77">
        <f t="shared" si="18"/>
        <v>-0.12962962959999999</v>
      </c>
      <c r="N68" s="86">
        <f t="shared" si="22"/>
        <v>83238866.382912993</v>
      </c>
      <c r="O68" s="82" t="s">
        <v>181</v>
      </c>
      <c r="P68" s="39">
        <f t="shared" si="19"/>
        <v>183</v>
      </c>
      <c r="Q68" s="77">
        <f t="shared" si="20"/>
        <v>-9.4059405900000004E-2</v>
      </c>
      <c r="R68" s="86">
        <f t="shared" si="23"/>
        <v>8767042.5442807209</v>
      </c>
    </row>
    <row r="69" spans="1:18">
      <c r="A69" s="40" t="s">
        <v>93</v>
      </c>
      <c r="B69" s="11" t="s">
        <v>94</v>
      </c>
      <c r="C69" s="95">
        <v>57060</v>
      </c>
      <c r="D69" s="92">
        <v>-8.3226221099999997E-2</v>
      </c>
      <c r="E69" s="93">
        <v>242391.77989663999</v>
      </c>
      <c r="F69" s="35"/>
      <c r="G69" s="56" t="s">
        <v>203</v>
      </c>
      <c r="H69" s="39">
        <f t="shared" si="15"/>
        <v>2280</v>
      </c>
      <c r="I69" s="77">
        <f t="shared" si="24"/>
        <v>-0.13472485770000001</v>
      </c>
      <c r="J69" s="86">
        <f t="shared" si="21"/>
        <v>2555389.1206715801</v>
      </c>
      <c r="K69" s="82" t="s">
        <v>233</v>
      </c>
      <c r="L69" s="39">
        <f t="shared" si="17"/>
        <v>10.6</v>
      </c>
      <c r="M69" s="77">
        <f t="shared" si="18"/>
        <v>-0.13114754100000001</v>
      </c>
      <c r="N69" s="86">
        <f t="shared" si="22"/>
        <v>558984942.74312913</v>
      </c>
      <c r="O69" s="82" t="s">
        <v>223</v>
      </c>
      <c r="P69" s="39">
        <f t="shared" si="19"/>
        <v>166</v>
      </c>
      <c r="Q69" s="77">
        <f t="shared" si="20"/>
        <v>-9.7826087000000006E-2</v>
      </c>
      <c r="R69" s="86">
        <f t="shared" si="23"/>
        <v>10994932.83956304</v>
      </c>
    </row>
    <row r="70" spans="1:18">
      <c r="A70" s="40" t="s">
        <v>252</v>
      </c>
      <c r="B70" s="11" t="s">
        <v>253</v>
      </c>
      <c r="C70" s="95">
        <v>326</v>
      </c>
      <c r="D70" s="92">
        <v>-8.42696629E-2</v>
      </c>
      <c r="E70" s="93">
        <v>3843304.4605664099</v>
      </c>
      <c r="F70" s="35"/>
      <c r="G70" s="56" t="s">
        <v>122</v>
      </c>
      <c r="H70" s="39">
        <f t="shared" si="15"/>
        <v>13.3</v>
      </c>
      <c r="I70" s="77">
        <f t="shared" si="24"/>
        <v>-0.13636363639999999</v>
      </c>
      <c r="J70" s="90">
        <f t="shared" si="21"/>
        <v>403592017.74029624</v>
      </c>
      <c r="K70" s="83" t="s">
        <v>219</v>
      </c>
      <c r="L70" s="44">
        <f t="shared" si="17"/>
        <v>7.94</v>
      </c>
      <c r="M70" s="78">
        <f t="shared" si="18"/>
        <v>-0.1331877729</v>
      </c>
      <c r="N70" s="90">
        <f t="shared" si="22"/>
        <v>527977164.68266314</v>
      </c>
      <c r="O70" s="83" t="s">
        <v>191</v>
      </c>
      <c r="P70" s="44">
        <f t="shared" si="19"/>
        <v>797</v>
      </c>
      <c r="Q70" s="78">
        <f t="shared" si="20"/>
        <v>-0.1034870641</v>
      </c>
      <c r="R70" s="90">
        <f t="shared" si="23"/>
        <v>4813338.3014962599</v>
      </c>
    </row>
    <row r="71" spans="1:18">
      <c r="A71" s="40" t="s">
        <v>153</v>
      </c>
      <c r="B71" s="11" t="s">
        <v>154</v>
      </c>
      <c r="C71" s="95">
        <v>7.14</v>
      </c>
      <c r="D71" s="92">
        <v>-8.5787452E-2</v>
      </c>
      <c r="E71" s="93">
        <v>553492005.58343685</v>
      </c>
      <c r="F71" s="35"/>
      <c r="G71" s="60" t="s">
        <v>263</v>
      </c>
      <c r="H71" s="45">
        <f t="shared" si="15"/>
        <v>19.8</v>
      </c>
      <c r="I71" s="80">
        <f t="shared" si="24"/>
        <v>-0.13913043480000001</v>
      </c>
      <c r="J71" s="99">
        <f t="shared" si="21"/>
        <v>277473983.90747172</v>
      </c>
      <c r="K71" s="82" t="s">
        <v>112</v>
      </c>
      <c r="L71" s="39">
        <f t="shared" si="17"/>
        <v>98.8</v>
      </c>
      <c r="M71" s="77">
        <f t="shared" si="18"/>
        <v>-0.1333333333</v>
      </c>
      <c r="N71" s="99">
        <f t="shared" si="22"/>
        <v>95530332.386874616</v>
      </c>
      <c r="O71" s="82" t="s">
        <v>275</v>
      </c>
      <c r="P71" s="39">
        <f t="shared" si="19"/>
        <v>625</v>
      </c>
      <c r="Q71" s="77">
        <f t="shared" si="20"/>
        <v>-0.10586552220000001</v>
      </c>
      <c r="R71" s="99">
        <f t="shared" si="23"/>
        <v>2251731.3481033398</v>
      </c>
    </row>
    <row r="72" spans="1:18">
      <c r="A72" s="40" t="s">
        <v>266</v>
      </c>
      <c r="B72" s="11" t="s">
        <v>267</v>
      </c>
      <c r="C72" s="95">
        <v>1095</v>
      </c>
      <c r="D72" s="92">
        <v>-8.7499999999999994E-2</v>
      </c>
      <c r="E72" s="93">
        <v>1872025.2036659601</v>
      </c>
      <c r="F72" s="35"/>
      <c r="G72" s="56" t="s">
        <v>246</v>
      </c>
      <c r="H72" s="39">
        <f t="shared" si="15"/>
        <v>38.1</v>
      </c>
      <c r="I72" s="77">
        <f t="shared" si="24"/>
        <v>-0.13995485329999999</v>
      </c>
      <c r="J72" s="86">
        <f t="shared" si="21"/>
        <v>134880126.55312422</v>
      </c>
      <c r="K72" s="82" t="s">
        <v>122</v>
      </c>
      <c r="L72" s="39">
        <f t="shared" si="17"/>
        <v>13.3</v>
      </c>
      <c r="M72" s="77">
        <f t="shared" si="18"/>
        <v>-0.13636363639999999</v>
      </c>
      <c r="N72" s="86">
        <f t="shared" si="22"/>
        <v>403592017.74029624</v>
      </c>
      <c r="O72" s="82" t="s">
        <v>82</v>
      </c>
      <c r="P72" s="39">
        <f t="shared" si="19"/>
        <v>708</v>
      </c>
      <c r="Q72" s="77">
        <f t="shared" si="20"/>
        <v>-0.12700369910000001</v>
      </c>
      <c r="R72" s="86">
        <f t="shared" si="23"/>
        <v>24310421.603971399</v>
      </c>
    </row>
    <row r="73" spans="1:18">
      <c r="A73" s="40" t="s">
        <v>239</v>
      </c>
      <c r="B73" s="11" t="s">
        <v>240</v>
      </c>
      <c r="C73" s="95">
        <v>1185</v>
      </c>
      <c r="D73" s="92">
        <v>-8.8461538500000006E-2</v>
      </c>
      <c r="E73" s="93">
        <v>2281206.5825687801</v>
      </c>
      <c r="F73" s="35"/>
      <c r="G73" s="56" t="s">
        <v>277</v>
      </c>
      <c r="H73" s="39">
        <f t="shared" si="15"/>
        <v>48.8</v>
      </c>
      <c r="I73" s="77">
        <f t="shared" si="24"/>
        <v>-0.14685314690000001</v>
      </c>
      <c r="J73" s="86">
        <f t="shared" si="21"/>
        <v>308370614.19029981</v>
      </c>
      <c r="K73" s="82" t="s">
        <v>263</v>
      </c>
      <c r="L73" s="39">
        <f t="shared" si="17"/>
        <v>19.8</v>
      </c>
      <c r="M73" s="77">
        <f t="shared" si="18"/>
        <v>-0.13913043480000001</v>
      </c>
      <c r="N73" s="86">
        <f t="shared" si="22"/>
        <v>277473983.90747172</v>
      </c>
      <c r="O73" s="82" t="s">
        <v>221</v>
      </c>
      <c r="P73" s="39">
        <f t="shared" si="19"/>
        <v>898</v>
      </c>
      <c r="Q73" s="77">
        <f t="shared" si="20"/>
        <v>-0.1323671498</v>
      </c>
      <c r="R73" s="86">
        <f t="shared" si="23"/>
        <v>11133685.039157011</v>
      </c>
    </row>
    <row r="74" spans="1:18">
      <c r="A74" s="40" t="s">
        <v>216</v>
      </c>
      <c r="B74" s="11" t="s">
        <v>217</v>
      </c>
      <c r="C74" s="95">
        <v>8.65</v>
      </c>
      <c r="D74" s="92">
        <v>-8.8514225500000002E-2</v>
      </c>
      <c r="E74" s="93">
        <v>322537080.73804456</v>
      </c>
      <c r="F74" s="35"/>
      <c r="G74" s="56" t="s">
        <v>199</v>
      </c>
      <c r="H74" s="39">
        <f t="shared" si="15"/>
        <v>144</v>
      </c>
      <c r="I74" s="77">
        <f t="shared" si="24"/>
        <v>-0.14792899409999999</v>
      </c>
      <c r="J74" s="86">
        <f t="shared" si="21"/>
        <v>26780998.958076298</v>
      </c>
      <c r="K74" s="82" t="s">
        <v>246</v>
      </c>
      <c r="L74" s="39">
        <f t="shared" si="17"/>
        <v>38.1</v>
      </c>
      <c r="M74" s="77">
        <f t="shared" si="18"/>
        <v>-0.13995485329999999</v>
      </c>
      <c r="N74" s="86">
        <f t="shared" si="22"/>
        <v>134880126.55312422</v>
      </c>
      <c r="O74" s="82" t="s">
        <v>199</v>
      </c>
      <c r="P74" s="39">
        <f t="shared" si="19"/>
        <v>144</v>
      </c>
      <c r="Q74" s="77">
        <f t="shared" si="20"/>
        <v>-0.14792899409999999</v>
      </c>
      <c r="R74" s="86">
        <f t="shared" si="23"/>
        <v>26780998.958076298</v>
      </c>
    </row>
    <row r="75" spans="1:18" ht="17.25" thickBot="1">
      <c r="A75" s="40" t="s">
        <v>258</v>
      </c>
      <c r="B75" s="11" t="s">
        <v>259</v>
      </c>
      <c r="C75" s="95">
        <v>59.6</v>
      </c>
      <c r="D75" s="92">
        <v>-8.8685015300000003E-2</v>
      </c>
      <c r="E75" s="93">
        <v>20957674.131093942</v>
      </c>
      <c r="F75" s="35"/>
      <c r="G75" s="57" t="s">
        <v>244</v>
      </c>
      <c r="H75" s="37">
        <f t="shared" si="15"/>
        <v>936</v>
      </c>
      <c r="I75" s="79">
        <f t="shared" si="24"/>
        <v>-0.1490909091</v>
      </c>
      <c r="J75" s="87">
        <f t="shared" si="21"/>
        <v>7107138.6568331299</v>
      </c>
      <c r="K75" s="84" t="s">
        <v>277</v>
      </c>
      <c r="L75" s="37">
        <f t="shared" si="17"/>
        <v>48.8</v>
      </c>
      <c r="M75" s="79">
        <f t="shared" si="18"/>
        <v>-0.14685314690000001</v>
      </c>
      <c r="N75" s="87">
        <f t="shared" si="22"/>
        <v>308370614.19029981</v>
      </c>
      <c r="O75" s="84" t="s">
        <v>244</v>
      </c>
      <c r="P75" s="37">
        <f t="shared" si="19"/>
        <v>936</v>
      </c>
      <c r="Q75" s="79">
        <f t="shared" si="20"/>
        <v>-0.1490909091</v>
      </c>
      <c r="R75" s="87">
        <f t="shared" si="23"/>
        <v>7107138.6568331299</v>
      </c>
    </row>
    <row r="76" spans="1:18">
      <c r="A76" s="40" t="s">
        <v>268</v>
      </c>
      <c r="B76" s="11" t="s">
        <v>269</v>
      </c>
      <c r="C76" s="95">
        <v>6750</v>
      </c>
      <c r="D76" s="92">
        <v>-9.2131808999999995E-2</v>
      </c>
      <c r="E76" s="93">
        <v>1159157.15291046</v>
      </c>
      <c r="F76" s="35"/>
      <c r="G76" s="35"/>
      <c r="H76" s="35"/>
      <c r="I76" s="35"/>
    </row>
    <row r="77" spans="1:18">
      <c r="A77" s="40" t="s">
        <v>176</v>
      </c>
      <c r="B77" s="11" t="s">
        <v>177</v>
      </c>
      <c r="C77" s="95">
        <v>17990</v>
      </c>
      <c r="D77" s="92">
        <v>-9.3245967700000001E-2</v>
      </c>
      <c r="E77" s="93">
        <v>161454.10819554</v>
      </c>
      <c r="F77" s="35"/>
      <c r="G77" s="35"/>
      <c r="H77" s="35"/>
      <c r="I77" s="35"/>
    </row>
    <row r="78" spans="1:18">
      <c r="A78" s="40" t="s">
        <v>180</v>
      </c>
      <c r="B78" s="11" t="s">
        <v>181</v>
      </c>
      <c r="C78" s="95">
        <v>183</v>
      </c>
      <c r="D78" s="92">
        <v>-9.4059405900000004E-2</v>
      </c>
      <c r="E78" s="93">
        <v>8767042.5442807209</v>
      </c>
      <c r="F78" s="35"/>
      <c r="G78" s="35"/>
      <c r="H78" s="35"/>
      <c r="I78" s="35"/>
    </row>
    <row r="79" spans="1:18">
      <c r="A79" s="40" t="s">
        <v>145</v>
      </c>
      <c r="B79" s="11" t="s">
        <v>146</v>
      </c>
      <c r="C79" s="95">
        <v>7275</v>
      </c>
      <c r="D79" s="92">
        <v>-9.5149253700000005E-2</v>
      </c>
      <c r="E79" s="93">
        <v>272600.94321777002</v>
      </c>
      <c r="F79" s="35"/>
      <c r="G79" s="35"/>
      <c r="H79" s="35"/>
      <c r="I79" s="35"/>
    </row>
    <row r="80" spans="1:18">
      <c r="A80" s="40" t="s">
        <v>226</v>
      </c>
      <c r="B80" s="11" t="s">
        <v>227</v>
      </c>
      <c r="C80" s="95">
        <v>71.099999999999994</v>
      </c>
      <c r="D80" s="92">
        <v>-9.5419847299999999E-2</v>
      </c>
      <c r="E80" s="93">
        <v>159844812.27721131</v>
      </c>
      <c r="F80" s="35"/>
      <c r="G80" s="35"/>
      <c r="H80" s="35"/>
      <c r="I80" s="35"/>
    </row>
    <row r="81" spans="1:9">
      <c r="A81" s="40" t="s">
        <v>184</v>
      </c>
      <c r="B81" s="11" t="s">
        <v>185</v>
      </c>
      <c r="C81" s="95">
        <v>12.3</v>
      </c>
      <c r="D81" s="92">
        <v>-9.5588235300000005E-2</v>
      </c>
      <c r="E81" s="93">
        <v>219189948.73443747</v>
      </c>
      <c r="F81" s="35"/>
      <c r="G81" s="35"/>
      <c r="H81" s="35"/>
      <c r="I81" s="35"/>
    </row>
    <row r="82" spans="1:9">
      <c r="A82" s="40" t="s">
        <v>260</v>
      </c>
      <c r="B82" s="11" t="s">
        <v>261</v>
      </c>
      <c r="C82" s="95">
        <v>43.2</v>
      </c>
      <c r="D82" s="92">
        <v>-9.6234309599999998E-2</v>
      </c>
      <c r="E82" s="93">
        <v>61282938.62472713</v>
      </c>
      <c r="F82" s="35"/>
      <c r="G82" s="35"/>
      <c r="H82" s="35"/>
      <c r="I82" s="35"/>
    </row>
    <row r="83" spans="1:9">
      <c r="A83" s="40" t="s">
        <v>222</v>
      </c>
      <c r="B83" s="11" t="s">
        <v>223</v>
      </c>
      <c r="C83" s="95">
        <v>166</v>
      </c>
      <c r="D83" s="92">
        <v>-9.7826087000000006E-2</v>
      </c>
      <c r="E83" s="93">
        <v>10994932.83956304</v>
      </c>
      <c r="F83" s="35"/>
      <c r="G83" s="35"/>
      <c r="H83" s="35"/>
      <c r="I83" s="35"/>
    </row>
    <row r="84" spans="1:9">
      <c r="A84" s="40" t="s">
        <v>211</v>
      </c>
      <c r="B84" s="11" t="s">
        <v>212</v>
      </c>
      <c r="C84" s="95">
        <v>7.69</v>
      </c>
      <c r="D84" s="92">
        <v>-9.9531615899999995E-2</v>
      </c>
      <c r="E84" s="93">
        <v>531157146.79148179</v>
      </c>
      <c r="F84" s="35"/>
      <c r="G84" s="35"/>
      <c r="H84" s="35"/>
      <c r="I84" s="35"/>
    </row>
    <row r="85" spans="1:9">
      <c r="A85" s="40" t="s">
        <v>204</v>
      </c>
      <c r="B85" s="11" t="s">
        <v>205</v>
      </c>
      <c r="C85" s="95">
        <v>10640</v>
      </c>
      <c r="D85" s="92">
        <v>-0.100591716</v>
      </c>
      <c r="E85" s="93">
        <v>375102.72959263</v>
      </c>
      <c r="F85" s="35"/>
      <c r="G85" s="35"/>
      <c r="H85" s="35"/>
      <c r="I85" s="35"/>
    </row>
    <row r="86" spans="1:9">
      <c r="A86" s="40" t="s">
        <v>166</v>
      </c>
      <c r="B86" s="11" t="s">
        <v>167</v>
      </c>
      <c r="C86" s="95">
        <v>64.099999999999994</v>
      </c>
      <c r="D86" s="92">
        <v>-0.1009817672</v>
      </c>
      <c r="E86" s="93">
        <v>66983121.431315623</v>
      </c>
      <c r="F86" s="35"/>
      <c r="G86" s="35"/>
      <c r="H86" s="35"/>
      <c r="I86" s="35"/>
    </row>
    <row r="87" spans="1:9">
      <c r="A87" s="40" t="s">
        <v>178</v>
      </c>
      <c r="B87" s="11" t="s">
        <v>179</v>
      </c>
      <c r="C87" s="95">
        <v>1865</v>
      </c>
      <c r="D87" s="92">
        <v>-0.1033653846</v>
      </c>
      <c r="E87" s="93">
        <v>3169278.5624449998</v>
      </c>
      <c r="F87" s="35"/>
      <c r="G87" s="35"/>
      <c r="H87" s="35"/>
      <c r="I87" s="35"/>
    </row>
    <row r="88" spans="1:9">
      <c r="A88" s="40" t="s">
        <v>190</v>
      </c>
      <c r="B88" s="11" t="s">
        <v>191</v>
      </c>
      <c r="C88" s="95">
        <v>797</v>
      </c>
      <c r="D88" s="92">
        <v>-0.1034870641</v>
      </c>
      <c r="E88" s="93">
        <v>4813338.3014962599</v>
      </c>
      <c r="F88" s="35"/>
      <c r="G88" s="35"/>
      <c r="H88" s="35"/>
      <c r="I88" s="35"/>
    </row>
    <row r="89" spans="1:9">
      <c r="A89" s="40" t="s">
        <v>123</v>
      </c>
      <c r="B89" s="11" t="s">
        <v>124</v>
      </c>
      <c r="C89" s="95">
        <v>2015</v>
      </c>
      <c r="D89" s="92">
        <v>-0.1044444444</v>
      </c>
      <c r="E89" s="93">
        <v>1934031.32004467</v>
      </c>
      <c r="F89" s="35"/>
      <c r="G89" s="35"/>
      <c r="H89" s="35"/>
      <c r="I89" s="35"/>
    </row>
    <row r="90" spans="1:9">
      <c r="A90" s="40" t="s">
        <v>274</v>
      </c>
      <c r="B90" s="11" t="s">
        <v>275</v>
      </c>
      <c r="C90" s="95">
        <v>625</v>
      </c>
      <c r="D90" s="92">
        <v>-0.10586552220000001</v>
      </c>
      <c r="E90" s="93">
        <v>2251731.3481033398</v>
      </c>
      <c r="F90" s="35"/>
      <c r="G90" s="35"/>
      <c r="H90" s="35"/>
      <c r="I90" s="35"/>
    </row>
    <row r="91" spans="1:9">
      <c r="A91" s="40" t="s">
        <v>194</v>
      </c>
      <c r="B91" s="11" t="s">
        <v>195</v>
      </c>
      <c r="C91" s="95">
        <v>7.13</v>
      </c>
      <c r="D91" s="92">
        <v>-0.1098626717</v>
      </c>
      <c r="E91" s="93">
        <v>236442683.19416407</v>
      </c>
      <c r="F91" s="35"/>
      <c r="G91" s="35"/>
      <c r="H91" s="35"/>
      <c r="I91" s="35"/>
    </row>
    <row r="92" spans="1:9">
      <c r="A92" s="40" t="s">
        <v>71</v>
      </c>
      <c r="B92" s="11" t="s">
        <v>72</v>
      </c>
      <c r="C92" s="95">
        <v>14.9</v>
      </c>
      <c r="D92" s="92">
        <v>-0.1130952381</v>
      </c>
      <c r="E92" s="93">
        <v>103324288.16913599</v>
      </c>
      <c r="F92" s="35"/>
      <c r="G92" s="35"/>
      <c r="H92" s="35"/>
      <c r="I92" s="35"/>
    </row>
    <row r="93" spans="1:9">
      <c r="A93" s="40" t="s">
        <v>192</v>
      </c>
      <c r="B93" s="11" t="s">
        <v>193</v>
      </c>
      <c r="C93" s="95">
        <v>5025</v>
      </c>
      <c r="D93" s="92">
        <v>-0.1153169014</v>
      </c>
      <c r="E93" s="93">
        <v>798729.51065375004</v>
      </c>
      <c r="F93" s="35"/>
      <c r="G93" s="35"/>
      <c r="H93" s="35"/>
      <c r="I93" s="35"/>
    </row>
    <row r="94" spans="1:9">
      <c r="A94" s="40" t="s">
        <v>196</v>
      </c>
      <c r="B94" s="11" t="s">
        <v>197</v>
      </c>
      <c r="C94" s="95">
        <v>11.2</v>
      </c>
      <c r="D94" s="92">
        <v>-0.1181102362</v>
      </c>
      <c r="E94" s="93">
        <v>560047130.18687654</v>
      </c>
      <c r="F94" s="35"/>
      <c r="G94" s="35"/>
      <c r="H94" s="35"/>
      <c r="I94" s="35"/>
    </row>
    <row r="95" spans="1:9">
      <c r="A95" s="40" t="s">
        <v>270</v>
      </c>
      <c r="B95" s="11" t="s">
        <v>271</v>
      </c>
      <c r="C95" s="95">
        <v>1995</v>
      </c>
      <c r="D95" s="92">
        <v>-0.119205298</v>
      </c>
      <c r="E95" s="93">
        <v>778041.13482280006</v>
      </c>
      <c r="F95" s="35"/>
      <c r="G95" s="35"/>
      <c r="H95" s="35"/>
      <c r="I95" s="35"/>
    </row>
    <row r="96" spans="1:9">
      <c r="A96" s="40" t="s">
        <v>247</v>
      </c>
      <c r="B96" s="11" t="s">
        <v>248</v>
      </c>
      <c r="C96" s="95">
        <v>64.2</v>
      </c>
      <c r="D96" s="92">
        <v>-0.11934156379999999</v>
      </c>
      <c r="E96" s="93">
        <v>104011237.92083009</v>
      </c>
      <c r="F96" s="35"/>
      <c r="G96" s="35"/>
      <c r="H96" s="35"/>
      <c r="I96" s="35"/>
    </row>
    <row r="97" spans="1:9">
      <c r="A97" s="40" t="s">
        <v>66</v>
      </c>
      <c r="B97" s="11" t="s">
        <v>67</v>
      </c>
      <c r="C97" s="95">
        <v>2750</v>
      </c>
      <c r="D97" s="92">
        <v>-0.12</v>
      </c>
      <c r="E97" s="93">
        <v>1466674.4923884701</v>
      </c>
      <c r="F97" s="35"/>
      <c r="G97" s="35"/>
      <c r="H97" s="35"/>
      <c r="I97" s="35"/>
    </row>
    <row r="98" spans="1:9">
      <c r="A98" s="40" t="s">
        <v>172</v>
      </c>
      <c r="B98" s="11" t="s">
        <v>173</v>
      </c>
      <c r="C98" s="95">
        <v>92.3</v>
      </c>
      <c r="D98" s="92">
        <v>-0.120952381</v>
      </c>
      <c r="E98" s="93">
        <v>57979189.265103959</v>
      </c>
      <c r="F98" s="35"/>
      <c r="G98" s="35"/>
      <c r="H98" s="35"/>
      <c r="I98" s="35"/>
    </row>
    <row r="99" spans="1:9">
      <c r="A99" s="40" t="s">
        <v>81</v>
      </c>
      <c r="B99" s="11" t="s">
        <v>82</v>
      </c>
      <c r="C99" s="95">
        <v>708</v>
      </c>
      <c r="D99" s="92">
        <v>-0.12700369910000001</v>
      </c>
      <c r="E99" s="93">
        <v>24310421.603971399</v>
      </c>
      <c r="F99" s="35"/>
      <c r="G99" s="35"/>
      <c r="H99" s="35"/>
      <c r="I99" s="35"/>
    </row>
    <row r="100" spans="1:9">
      <c r="A100" s="40" t="s">
        <v>170</v>
      </c>
      <c r="B100" s="11" t="s">
        <v>171</v>
      </c>
      <c r="C100" s="95">
        <v>3</v>
      </c>
      <c r="D100" s="92">
        <v>-0.12790697670000001</v>
      </c>
      <c r="E100" s="93">
        <v>1715769812.4638326</v>
      </c>
      <c r="F100" s="35"/>
      <c r="G100" s="35"/>
      <c r="H100" s="35"/>
      <c r="I100" s="35"/>
    </row>
    <row r="101" spans="1:9">
      <c r="A101" s="40" t="s">
        <v>254</v>
      </c>
      <c r="B101" s="11" t="s">
        <v>255</v>
      </c>
      <c r="C101" s="95">
        <v>41</v>
      </c>
      <c r="D101" s="92">
        <v>-0.12951167729999999</v>
      </c>
      <c r="E101" s="93">
        <v>147281792.65596309</v>
      </c>
      <c r="F101" s="35"/>
      <c r="G101" s="35"/>
      <c r="H101" s="35"/>
      <c r="I101" s="35"/>
    </row>
    <row r="102" spans="1:9">
      <c r="A102" s="40" t="s">
        <v>200</v>
      </c>
      <c r="B102" s="11" t="s">
        <v>201</v>
      </c>
      <c r="C102" s="95">
        <v>61.1</v>
      </c>
      <c r="D102" s="92">
        <v>-0.12962962959999999</v>
      </c>
      <c r="E102" s="93">
        <v>83238866.382912993</v>
      </c>
      <c r="F102" s="35"/>
      <c r="G102" s="35"/>
      <c r="H102" s="35"/>
      <c r="I102" s="35"/>
    </row>
    <row r="103" spans="1:9">
      <c r="A103" s="40" t="s">
        <v>232</v>
      </c>
      <c r="B103" s="11" t="s">
        <v>233</v>
      </c>
      <c r="C103" s="95">
        <v>10.6</v>
      </c>
      <c r="D103" s="92">
        <v>-0.13114754100000001</v>
      </c>
      <c r="E103" s="93">
        <v>558984942.74312913</v>
      </c>
      <c r="F103" s="35"/>
      <c r="G103" s="35"/>
      <c r="H103" s="35"/>
      <c r="I103" s="35"/>
    </row>
    <row r="104" spans="1:9">
      <c r="A104" s="40" t="s">
        <v>220</v>
      </c>
      <c r="B104" s="11" t="s">
        <v>221</v>
      </c>
      <c r="C104" s="95">
        <v>898</v>
      </c>
      <c r="D104" s="92">
        <v>-0.1323671498</v>
      </c>
      <c r="E104" s="93">
        <v>11133685.039157011</v>
      </c>
      <c r="F104" s="35"/>
      <c r="G104" s="35"/>
      <c r="H104" s="35"/>
      <c r="I104" s="35"/>
    </row>
    <row r="105" spans="1:9">
      <c r="A105" s="40" t="s">
        <v>218</v>
      </c>
      <c r="B105" s="11" t="s">
        <v>219</v>
      </c>
      <c r="C105" s="95">
        <v>7.94</v>
      </c>
      <c r="D105" s="92">
        <v>-0.1331877729</v>
      </c>
      <c r="E105" s="93">
        <v>527977164.68266314</v>
      </c>
      <c r="F105" s="35"/>
      <c r="G105" s="35"/>
      <c r="H105" s="35"/>
      <c r="I105" s="35"/>
    </row>
    <row r="106" spans="1:9">
      <c r="A106" s="40" t="s">
        <v>111</v>
      </c>
      <c r="B106" s="11" t="s">
        <v>112</v>
      </c>
      <c r="C106" s="95">
        <v>98.8</v>
      </c>
      <c r="D106" s="92">
        <v>-0.1333333333</v>
      </c>
      <c r="E106" s="93">
        <v>95530332.386874616</v>
      </c>
      <c r="F106" s="35"/>
      <c r="G106" s="35"/>
      <c r="H106" s="35"/>
      <c r="I106" s="35"/>
    </row>
    <row r="107" spans="1:9">
      <c r="A107" s="40" t="s">
        <v>202</v>
      </c>
      <c r="B107" s="11" t="s">
        <v>203</v>
      </c>
      <c r="C107" s="95">
        <v>2280</v>
      </c>
      <c r="D107" s="92">
        <v>-0.13472485770000001</v>
      </c>
      <c r="E107" s="93">
        <v>2555389.1206715801</v>
      </c>
      <c r="F107" s="35"/>
      <c r="G107" s="35"/>
      <c r="H107" s="35"/>
      <c r="I107" s="35"/>
    </row>
    <row r="108" spans="1:9">
      <c r="A108" s="40" t="s">
        <v>121</v>
      </c>
      <c r="B108" s="11" t="s">
        <v>122</v>
      </c>
      <c r="C108" s="95">
        <v>13.3</v>
      </c>
      <c r="D108" s="92">
        <v>-0.13636363639999999</v>
      </c>
      <c r="E108" s="93">
        <v>403592017.74029624</v>
      </c>
      <c r="F108" s="35"/>
      <c r="G108" s="35"/>
      <c r="H108" s="35"/>
      <c r="I108" s="35"/>
    </row>
    <row r="109" spans="1:9">
      <c r="A109" s="40" t="s">
        <v>262</v>
      </c>
      <c r="B109" s="11" t="s">
        <v>263</v>
      </c>
      <c r="C109" s="95">
        <v>19.8</v>
      </c>
      <c r="D109" s="92">
        <v>-0.13913043480000001</v>
      </c>
      <c r="E109" s="41">
        <v>277473983.90747172</v>
      </c>
    </row>
    <row r="110" spans="1:9">
      <c r="A110" s="40" t="s">
        <v>245</v>
      </c>
      <c r="B110" s="11" t="s">
        <v>246</v>
      </c>
      <c r="C110" s="95">
        <v>38.1</v>
      </c>
      <c r="D110" s="92">
        <v>-0.13995485329999999</v>
      </c>
      <c r="E110" s="41">
        <v>134880126.55312422</v>
      </c>
    </row>
    <row r="111" spans="1:9">
      <c r="A111" s="40" t="s">
        <v>276</v>
      </c>
      <c r="B111" s="11" t="s">
        <v>277</v>
      </c>
      <c r="C111" s="95">
        <v>48.8</v>
      </c>
      <c r="D111" s="92">
        <v>-0.14685314690000001</v>
      </c>
      <c r="E111" s="41">
        <v>308370614.19029981</v>
      </c>
    </row>
    <row r="112" spans="1:9">
      <c r="A112" s="40" t="s">
        <v>198</v>
      </c>
      <c r="B112" s="11" t="s">
        <v>199</v>
      </c>
      <c r="C112" s="95">
        <v>144</v>
      </c>
      <c r="D112" s="92">
        <v>-0.14792899409999999</v>
      </c>
      <c r="E112" s="41">
        <v>26780998.958076298</v>
      </c>
    </row>
    <row r="113" spans="1:5">
      <c r="A113" s="40" t="s">
        <v>243</v>
      </c>
      <c r="B113" s="11" t="s">
        <v>244</v>
      </c>
      <c r="C113" s="95">
        <v>936</v>
      </c>
      <c r="D113" s="92">
        <v>-0.1490909091</v>
      </c>
      <c r="E113" s="41">
        <v>7107138.6568331299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93" t="str">
        <f>TEXT(투자전략!$G$1, "[$-ko-KR]yyyy년 mm월") &amp; " 총결산"</f>
        <v>2021년 06월 총결산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295"/>
    </row>
    <row r="2" spans="1:15" ht="16.5" customHeight="1" thickBot="1">
      <c r="A2" s="290" t="s">
        <v>314</v>
      </c>
      <c r="B2" s="291"/>
      <c r="C2" s="291"/>
      <c r="D2" s="263" t="s">
        <v>310</v>
      </c>
      <c r="E2" s="263"/>
      <c r="F2" s="264"/>
      <c r="G2" s="293" t="s">
        <v>311</v>
      </c>
      <c r="H2" s="294"/>
      <c r="I2" s="295"/>
      <c r="J2" s="262" t="s">
        <v>312</v>
      </c>
      <c r="K2" s="263"/>
      <c r="L2" s="263"/>
      <c r="M2" s="263" t="s">
        <v>313</v>
      </c>
      <c r="N2" s="263"/>
      <c r="O2" s="264"/>
    </row>
    <row r="3" spans="1:15" ht="16.5" customHeight="1">
      <c r="A3" s="320">
        <v>1</v>
      </c>
      <c r="B3" s="2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92"/>
      <c r="D3" s="290" t="s">
        <v>315</v>
      </c>
      <c r="E3" s="291"/>
      <c r="F3" s="292"/>
      <c r="G3" s="290" t="s">
        <v>322</v>
      </c>
      <c r="H3" s="291"/>
      <c r="I3" s="292"/>
      <c r="J3" s="290" t="s">
        <v>329</v>
      </c>
      <c r="K3" s="291"/>
      <c r="L3" s="292"/>
      <c r="M3" s="290" t="s">
        <v>336</v>
      </c>
      <c r="N3" s="291"/>
      <c r="O3" s="292"/>
    </row>
    <row r="4" spans="1:15" ht="16.5" customHeight="1" thickBot="1">
      <c r="A4" s="321"/>
      <c r="B4" s="2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186,119 KRW (9.31%)</v>
      </c>
      <c r="C4" s="285"/>
      <c r="D4" s="283" t="str">
        <f ca="1" xml:space="preserve"> TEXT($F$92, "#,##0") &amp; " KRW (" &amp; TEXT($E$92, "0.00%)")</f>
        <v>186,119 KRW (9.31%)</v>
      </c>
      <c r="E4" s="284"/>
      <c r="F4" s="285"/>
      <c r="G4" s="283" t="str">
        <f ca="1" xml:space="preserve"> TEXT($I$92, "#,##0") &amp; " KRW (" &amp; TEXT($H$92, "0.00%)")</f>
        <v>-317,947 KRW (-15.90%)</v>
      </c>
      <c r="H4" s="284"/>
      <c r="I4" s="285"/>
      <c r="J4" s="283" t="str">
        <f ca="1" xml:space="preserve"> TEXT($L$92, "#,##0") &amp; " KRW (" &amp; TEXT($K$92, "0.00%)")</f>
        <v>-581,438 KRW (-29.07%)</v>
      </c>
      <c r="K4" s="284"/>
      <c r="L4" s="285"/>
      <c r="M4" s="283" t="str">
        <f ca="1" xml:space="preserve"> TEXT($O$92, "#,##0") &amp; " KRW (" &amp; TEXT($N$92, "0.00%)")</f>
        <v>-647,681 KRW (-32.38%)</v>
      </c>
      <c r="N4" s="284"/>
      <c r="O4" s="285"/>
    </row>
    <row r="5" spans="1:15" ht="16.5" customHeight="1">
      <c r="A5" s="320">
        <v>2</v>
      </c>
      <c r="B5" s="29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292"/>
      <c r="D5" s="290" t="s">
        <v>316</v>
      </c>
      <c r="E5" s="291"/>
      <c r="F5" s="292"/>
      <c r="G5" s="290" t="s">
        <v>323</v>
      </c>
      <c r="H5" s="291"/>
      <c r="I5" s="292"/>
      <c r="J5" s="290" t="s">
        <v>330</v>
      </c>
      <c r="K5" s="291"/>
      <c r="L5" s="292"/>
      <c r="M5" s="290" t="s">
        <v>337</v>
      </c>
      <c r="N5" s="291"/>
      <c r="O5" s="292"/>
    </row>
    <row r="6" spans="1:15" ht="16.5" customHeight="1" thickBot="1">
      <c r="A6" s="321"/>
      <c r="B6" s="2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158,566 KRW (7.93%)</v>
      </c>
      <c r="C6" s="285"/>
      <c r="D6" s="283" t="str">
        <f ca="1" xml:space="preserve"> TEXT($F$130, "#,##0") &amp; " KRW (" &amp; TEXT($E$130, "0.00%)")</f>
        <v>-75,053 KRW (-3.75%)</v>
      </c>
      <c r="E6" s="284"/>
      <c r="F6" s="285"/>
      <c r="G6" s="283" t="str">
        <f ca="1" xml:space="preserve"> TEXT($I$130, "#,##0") &amp; " KRW (" &amp; TEXT($H$130, "0.00%)")</f>
        <v>-497,185 KRW (-24.86%)</v>
      </c>
      <c r="H6" s="284"/>
      <c r="I6" s="285"/>
      <c r="J6" s="283" t="str">
        <f ca="1" xml:space="preserve"> TEXT($L$130, "#,##0") &amp; " KRW (" &amp; TEXT($K$130, "0.00%)")</f>
        <v>-686,024 KRW (-34.30%)</v>
      </c>
      <c r="K6" s="284"/>
      <c r="L6" s="285"/>
      <c r="M6" s="283" t="str">
        <f ca="1" xml:space="preserve"> TEXT($O$130, "#,##0") &amp; " KRW (" &amp; TEXT($N$130, "0.00%)")</f>
        <v>-637,046 KRW (-31.85%)</v>
      </c>
      <c r="N6" s="284"/>
      <c r="O6" s="285"/>
    </row>
    <row r="7" spans="1:15" ht="16.5" customHeight="1">
      <c r="A7" s="320">
        <v>3</v>
      </c>
      <c r="B7" s="29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실거래종목</v>
      </c>
      <c r="C7" s="292"/>
      <c r="D7" s="290" t="s">
        <v>317</v>
      </c>
      <c r="E7" s="291"/>
      <c r="F7" s="292"/>
      <c r="G7" s="290" t="s">
        <v>324</v>
      </c>
      <c r="H7" s="291"/>
      <c r="I7" s="292"/>
      <c r="J7" s="290" t="s">
        <v>331</v>
      </c>
      <c r="K7" s="291"/>
      <c r="L7" s="292"/>
      <c r="M7" s="290" t="s">
        <v>338</v>
      </c>
      <c r="N7" s="291"/>
      <c r="O7" s="292"/>
    </row>
    <row r="8" spans="1:15" ht="16.5" customHeight="1" thickBot="1">
      <c r="A8" s="321"/>
      <c r="B8" s="2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49,434 KRW (5.62%)</v>
      </c>
      <c r="C8" s="285"/>
      <c r="D8" s="283" t="str">
        <f ca="1" xml:space="preserve"> TEXT($F$206, "#,##0") &amp; " KRW (" &amp; TEXT($E$206, "0.00%)")</f>
        <v>-4,568 KRW (-0.23%)</v>
      </c>
      <c r="E8" s="284"/>
      <c r="F8" s="285"/>
      <c r="G8" s="283" t="str">
        <f ca="1" xml:space="preserve"> TEXT($I$206, "#,##0") &amp; " KRW (" &amp; TEXT($H$206, "0.00%)")</f>
        <v>-274,282 KRW (-13.71%)</v>
      </c>
      <c r="H8" s="284"/>
      <c r="I8" s="285"/>
      <c r="J8" s="283" t="str">
        <f ca="1" xml:space="preserve"> TEXT($L$206, "#,##0") &amp; " KRW (" &amp; TEXT($K$206, "0.00%)")</f>
        <v>-759,234 KRW (-37.96%)</v>
      </c>
      <c r="K8" s="284"/>
      <c r="L8" s="285"/>
      <c r="M8" s="283" t="str">
        <f ca="1" xml:space="preserve"> TEXT($O$206, "#,##0") &amp; " KRW (" &amp; TEXT($N$206, "0.00%)")</f>
        <v>-917,165 KRW (-45.86%)</v>
      </c>
      <c r="N8" s="284"/>
      <c r="O8" s="285"/>
    </row>
    <row r="9" spans="1:15" ht="16.5" customHeight="1">
      <c r="A9" s="320">
        <v>4</v>
      </c>
      <c r="B9" s="29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실거래종목</v>
      </c>
      <c r="C9" s="292"/>
      <c r="D9" s="290" t="s">
        <v>318</v>
      </c>
      <c r="E9" s="291"/>
      <c r="F9" s="292"/>
      <c r="G9" s="290" t="s">
        <v>325</v>
      </c>
      <c r="H9" s="291"/>
      <c r="I9" s="292"/>
      <c r="J9" s="290" t="s">
        <v>332</v>
      </c>
      <c r="K9" s="291"/>
      <c r="L9" s="292"/>
      <c r="M9" s="290" t="s">
        <v>339</v>
      </c>
      <c r="N9" s="291"/>
      <c r="O9" s="292"/>
    </row>
    <row r="10" spans="1:15" ht="16.5" customHeight="1" thickBot="1">
      <c r="A10" s="321"/>
      <c r="B10" s="2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26,106 KRW (2.97%)</v>
      </c>
      <c r="C10" s="285"/>
      <c r="D10" s="283" t="str">
        <f ca="1" xml:space="preserve"> TEXT($F$244, "#,##0") &amp; " KRW (" &amp; TEXT($E$244, "0.00%)")</f>
        <v>-123,785 KRW (-6.19%)</v>
      </c>
      <c r="E10" s="284"/>
      <c r="F10" s="285"/>
      <c r="G10" s="283" t="str">
        <f ca="1" xml:space="preserve"> TEXT($I$244, "#,##0") &amp; " KRW (" &amp; TEXT($H$244, "0.00%)")</f>
        <v>-162,774 KRW (-8.14%)</v>
      </c>
      <c r="H10" s="284"/>
      <c r="I10" s="285"/>
      <c r="J10" s="283" t="str">
        <f ca="1" xml:space="preserve"> TEXT($L$244, "#,##0") &amp; " KRW (" &amp; TEXT($K$244, "0.00%)")</f>
        <v>-430,425 KRW (-21.52%)</v>
      </c>
      <c r="K10" s="284"/>
      <c r="L10" s="285"/>
      <c r="M10" s="283" t="str">
        <f ca="1" xml:space="preserve"> TEXT($O$244, "#,##0") &amp; " KRW (" &amp; TEXT($N$244, "0.00%)")</f>
        <v>-467,897 KRW (-23.39%)</v>
      </c>
      <c r="N10" s="284"/>
      <c r="O10" s="285"/>
    </row>
    <row r="11" spans="1:15" ht="16.5" customHeight="1">
      <c r="A11" s="320">
        <v>5</v>
      </c>
      <c r="B11" s="29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실거래종목</v>
      </c>
      <c r="C11" s="292"/>
      <c r="D11" s="290" t="s">
        <v>319</v>
      </c>
      <c r="E11" s="291"/>
      <c r="F11" s="292"/>
      <c r="G11" s="290" t="s">
        <v>326</v>
      </c>
      <c r="H11" s="291"/>
      <c r="I11" s="292"/>
      <c r="J11" s="290" t="s">
        <v>333</v>
      </c>
      <c r="K11" s="291"/>
      <c r="L11" s="292"/>
      <c r="M11" s="290" t="s">
        <v>340</v>
      </c>
      <c r="N11" s="291"/>
      <c r="O11" s="292"/>
    </row>
    <row r="12" spans="1:15" ht="16.5" customHeight="1" thickBot="1">
      <c r="A12" s="321"/>
      <c r="B12" s="2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-2,610 KRW (-0.30%)</v>
      </c>
      <c r="C12" s="285"/>
      <c r="D12" s="283" t="str">
        <f ca="1" xml:space="preserve"> TEXT($F$168, "#,##0") &amp; " KRW (" &amp; TEXT($E$168, "0.00%)")</f>
        <v>158,566 KRW (7.93%)</v>
      </c>
      <c r="E12" s="284"/>
      <c r="F12" s="285"/>
      <c r="G12" s="283" t="str">
        <f ca="1" xml:space="preserve"> TEXT($I$168, "#,##0") &amp; " KRW (" &amp; TEXT($H$168, "0.00%)")</f>
        <v>-520,737 KRW (-26.04%)</v>
      </c>
      <c r="H12" s="284"/>
      <c r="I12" s="285"/>
      <c r="J12" s="283" t="str">
        <f ca="1" xml:space="preserve"> TEXT($L$168, "#,##0") &amp; " KRW (" &amp; TEXT($K$168, "0.00%)")</f>
        <v>-764,682 KRW (-38.23%)</v>
      </c>
      <c r="K12" s="284"/>
      <c r="L12" s="285"/>
      <c r="M12" s="283" t="str">
        <f ca="1" xml:space="preserve"> TEXT($O$168, "#,##0") &amp; " KRW (" &amp; TEXT($N$168, "0.00%)")</f>
        <v>-737,407 KRW (-36.87%)</v>
      </c>
      <c r="N12" s="284"/>
      <c r="O12" s="285"/>
    </row>
    <row r="13" spans="1:15" ht="16.5" customHeight="1">
      <c r="A13" s="320">
        <v>6</v>
      </c>
      <c r="B13" s="29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Bottom20</v>
      </c>
      <c r="C13" s="292"/>
      <c r="D13" s="290" t="s">
        <v>320</v>
      </c>
      <c r="E13" s="291"/>
      <c r="F13" s="292"/>
      <c r="G13" s="290" t="s">
        <v>327</v>
      </c>
      <c r="H13" s="291"/>
      <c r="I13" s="292"/>
      <c r="J13" s="290" t="s">
        <v>334</v>
      </c>
      <c r="K13" s="291"/>
      <c r="L13" s="292"/>
      <c r="M13" s="290" t="s">
        <v>341</v>
      </c>
      <c r="N13" s="291"/>
      <c r="O13" s="292"/>
    </row>
    <row r="14" spans="1:15" ht="16.5" customHeight="1" thickBot="1">
      <c r="A14" s="321"/>
      <c r="B14" s="2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-4,568 KRW (-0.23%)</v>
      </c>
      <c r="C14" s="285"/>
      <c r="D14" s="283" t="str">
        <f ca="1" xml:space="preserve"> TEXT($F$282, "#,##0") &amp; " KRW (" &amp; TEXT($E$282, "0.00%)")</f>
        <v>-347,959 KRW (-17.40%)</v>
      </c>
      <c r="E14" s="284"/>
      <c r="F14" s="285"/>
      <c r="G14" s="283" t="str">
        <f ca="1" xml:space="preserve"> TEXT($I$282, "#,##0") &amp; " KRW (" &amp; TEXT($H$282, "0.00%)")</f>
        <v>-350,064 KRW (-17.50%)</v>
      </c>
      <c r="H14" s="284"/>
      <c r="I14" s="285"/>
      <c r="J14" s="283" t="str">
        <f ca="1" xml:space="preserve"> TEXT($L$282, "#,##0") &amp; " KRW (" &amp; TEXT($K$282, "0.00%)")</f>
        <v>-889,697 KRW (-44.48%)</v>
      </c>
      <c r="K14" s="284"/>
      <c r="L14" s="285"/>
      <c r="M14" s="283" t="str">
        <f ca="1" xml:space="preserve"> TEXT($O$282, "#,##0") &amp; " KRW (" &amp; TEXT($N$282, "0.00%)")</f>
        <v>-951,791 KRW (-47.59%)</v>
      </c>
      <c r="N14" s="284"/>
      <c r="O14" s="285"/>
    </row>
    <row r="15" spans="1:15" ht="16.5" customHeight="1">
      <c r="A15" s="320">
        <v>7</v>
      </c>
      <c r="B15" s="29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실거래종목</v>
      </c>
      <c r="C15" s="292"/>
      <c r="D15" s="290" t="s">
        <v>321</v>
      </c>
      <c r="E15" s="291"/>
      <c r="F15" s="292"/>
      <c r="G15" s="290" t="s">
        <v>328</v>
      </c>
      <c r="H15" s="291"/>
      <c r="I15" s="292"/>
      <c r="J15" s="290" t="s">
        <v>335</v>
      </c>
      <c r="K15" s="291"/>
      <c r="L15" s="292"/>
      <c r="M15" s="290" t="s">
        <v>342</v>
      </c>
      <c r="N15" s="291"/>
      <c r="O15" s="292"/>
    </row>
    <row r="16" spans="1:15" ht="16.5" customHeight="1" thickBot="1">
      <c r="A16" s="321"/>
      <c r="B16" s="2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-74,936 KRW (-8.52%)</v>
      </c>
      <c r="C16" s="285"/>
      <c r="D16" s="283" t="str">
        <f ca="1" xml:space="preserve"> TEXT($F$54, "#,##0") &amp; " KRW (" &amp; TEXT($E$54, "0.00%)")</f>
        <v>49,434 KRW (5.62%)</v>
      </c>
      <c r="E16" s="284"/>
      <c r="F16" s="285"/>
      <c r="G16" s="283" t="str">
        <f ca="1" xml:space="preserve"> TEXT($I$54, "#,##0") &amp; " KRW (" &amp; TEXT($H$54, "0.00%)")</f>
        <v>26,106 KRW (2.97%)</v>
      </c>
      <c r="H16" s="284"/>
      <c r="I16" s="285"/>
      <c r="J16" s="283" t="str">
        <f ca="1" xml:space="preserve"> TEXT($L$54, "#,##0") &amp; " KRW (" &amp; TEXT($K$54, "0.00%)")</f>
        <v>-2,610 KRW (-0.30%)</v>
      </c>
      <c r="K16" s="284"/>
      <c r="L16" s="285"/>
      <c r="M16" s="283" t="str">
        <f ca="1" xml:space="preserve"> TEXT($O$54, "#,##0") &amp; " KRW (" &amp; TEXT($N$54, "0.00%)")</f>
        <v>-74,936 KRW (-8.52%)</v>
      </c>
      <c r="N16" s="284"/>
      <c r="O16" s="285"/>
    </row>
    <row r="18" spans="1:15" ht="16.5" customHeight="1" thickBot="1"/>
    <row r="19" spans="1:15" ht="16.5" customHeight="1" thickBot="1">
      <c r="A19" s="262" t="str">
        <f>TEXT(투자전략!$G$1, "[$-ko-KR]yyyy년 mm월 ") &amp; "실거래 월말결산"</f>
        <v>2021년 06월 실거래 월말결산</v>
      </c>
      <c r="B19" s="263"/>
      <c r="C19" s="263"/>
      <c r="D19" s="263"/>
      <c r="E19" s="263"/>
      <c r="F19" s="263"/>
      <c r="G19" s="263"/>
      <c r="H19" s="263"/>
      <c r="I19" s="263"/>
      <c r="J19" s="263"/>
      <c r="K19" s="263"/>
      <c r="L19" s="263"/>
      <c r="M19" s="263"/>
      <c r="N19" s="263"/>
      <c r="O19" s="264"/>
    </row>
    <row r="20" spans="1:15" ht="16.5" customHeight="1" thickBot="1">
      <c r="A20" s="306" t="s">
        <v>309</v>
      </c>
      <c r="B20" s="283" t="s">
        <v>307</v>
      </c>
      <c r="C20" s="285"/>
      <c r="D20" s="283" t="s">
        <v>299</v>
      </c>
      <c r="E20" s="284"/>
      <c r="F20" s="285"/>
      <c r="G20" s="283" t="s">
        <v>300</v>
      </c>
      <c r="H20" s="284"/>
      <c r="I20" s="285"/>
      <c r="J20" s="283" t="s">
        <v>301</v>
      </c>
      <c r="K20" s="284"/>
      <c r="L20" s="285"/>
      <c r="M20" s="283" t="s">
        <v>302</v>
      </c>
      <c r="N20" s="284"/>
      <c r="O20" s="285"/>
    </row>
    <row r="21" spans="1:15" ht="16.5" customHeight="1" thickBot="1">
      <c r="A21" s="299"/>
      <c r="B21" s="146" t="s">
        <v>297</v>
      </c>
      <c r="C21" s="146" t="s">
        <v>42</v>
      </c>
      <c r="D21" s="121" t="s">
        <v>298</v>
      </c>
      <c r="E21" s="133" t="s">
        <v>40</v>
      </c>
      <c r="F21" s="149" t="s">
        <v>41</v>
      </c>
      <c r="G21" s="121" t="s">
        <v>298</v>
      </c>
      <c r="H21" s="133" t="s">
        <v>40</v>
      </c>
      <c r="I21" s="149" t="s">
        <v>41</v>
      </c>
      <c r="J21" s="121" t="s">
        <v>298</v>
      </c>
      <c r="K21" s="133" t="s">
        <v>40</v>
      </c>
      <c r="L21" s="149" t="s">
        <v>41</v>
      </c>
      <c r="M21" s="121" t="s">
        <v>298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490159.67418890295</v>
      </c>
      <c r="N34" s="77">
        <f t="shared" ca="1" si="11"/>
        <v>-1.968065162219413E-2</v>
      </c>
      <c r="O34" s="137">
        <f t="shared" ca="1" si="12"/>
        <v>-9840.3258110970637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>
        <f t="shared" ca="1" si="0"/>
        <v>1500000</v>
      </c>
      <c r="D35" s="140">
        <f t="shared" ca="1" si="1"/>
        <v>1548020.679510361</v>
      </c>
      <c r="E35" s="79">
        <f t="shared" ca="1" si="2"/>
        <v>3.2013786340240678E-2</v>
      </c>
      <c r="F35" s="138">
        <f t="shared" ca="1" si="3"/>
        <v>48020.67951036102</v>
      </c>
      <c r="G35" s="140">
        <f t="shared" ca="1" si="4"/>
        <v>1561738.9577073879</v>
      </c>
      <c r="H35" s="79">
        <f t="shared" ca="1" si="5"/>
        <v>4.1159305138258502E-2</v>
      </c>
      <c r="I35" s="138">
        <f t="shared" ca="1" si="6"/>
        <v>61738.957707387752</v>
      </c>
      <c r="J35" s="140">
        <f t="shared" ca="1" si="7"/>
        <v>1552036.5587276146</v>
      </c>
      <c r="K35" s="79">
        <f t="shared" ca="1" si="8"/>
        <v>3.4691039151743035E-2</v>
      </c>
      <c r="L35" s="138">
        <f t="shared" ca="1" si="9"/>
        <v>52036.558727614552</v>
      </c>
      <c r="M35" s="140">
        <f t="shared" ca="1" si="10"/>
        <v>1588699.6054396774</v>
      </c>
      <c r="N35" s="79">
        <f t="shared" ca="1" si="11"/>
        <v>5.9133070293118407E-2</v>
      </c>
      <c r="O35" s="138">
        <f t="shared" ca="1" si="12"/>
        <v>88699.605439677602</v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>
        <f t="shared" ca="1" si="0"/>
        <v>1500000</v>
      </c>
      <c r="D36" s="142">
        <f t="shared" ca="1" si="1"/>
        <v>1505627.8228459791</v>
      </c>
      <c r="E36" s="76">
        <f t="shared" ca="1" si="2"/>
        <v>3.7518818973195367E-3</v>
      </c>
      <c r="F36" s="141">
        <f t="shared" ca="1" si="3"/>
        <v>5627.8228459793054</v>
      </c>
      <c r="G36" s="142">
        <f t="shared" ca="1" si="4"/>
        <v>1505734.0418959549</v>
      </c>
      <c r="H36" s="76">
        <f t="shared" ca="1" si="5"/>
        <v>3.8226945973032084E-3</v>
      </c>
      <c r="I36" s="141">
        <f t="shared" ca="1" si="6"/>
        <v>5734.0418959548133</v>
      </c>
      <c r="J36" s="142">
        <f t="shared" ca="1" si="7"/>
        <v>1505010.6168541352</v>
      </c>
      <c r="K36" s="76">
        <f t="shared" ca="1" si="8"/>
        <v>3.3404112360902877E-3</v>
      </c>
      <c r="L36" s="141">
        <f t="shared" ca="1" si="9"/>
        <v>5010.6168541354318</v>
      </c>
      <c r="M36" s="142">
        <f t="shared" ca="1" si="10"/>
        <v>1493421.5215191708</v>
      </c>
      <c r="N36" s="76">
        <f t="shared" ca="1" si="11"/>
        <v>-4.3856523205527687E-3</v>
      </c>
      <c r="O36" s="141">
        <f t="shared" ca="1" si="12"/>
        <v>-6578.4784808291524</v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>
        <f t="shared" ca="1" si="0"/>
        <v>400000</v>
      </c>
      <c r="D37" s="139">
        <f t="shared" ca="1" si="1"/>
        <v>405135.98944268655</v>
      </c>
      <c r="E37" s="77">
        <f t="shared" ca="1" si="2"/>
        <v>1.2839973606716501E-2</v>
      </c>
      <c r="F37" s="137">
        <f t="shared" ca="1" si="3"/>
        <v>5135.9894426866003</v>
      </c>
      <c r="G37" s="139">
        <f t="shared" ca="1" si="4"/>
        <v>394494.33187186474</v>
      </c>
      <c r="H37" s="77">
        <f t="shared" ca="1" si="5"/>
        <v>-1.3764170320338134E-2</v>
      </c>
      <c r="I37" s="137">
        <f t="shared" ca="1" si="6"/>
        <v>-5505.668128135253</v>
      </c>
      <c r="J37" s="139">
        <f t="shared" ca="1" si="7"/>
        <v>384269.25810536067</v>
      </c>
      <c r="K37" s="77">
        <f t="shared" ca="1" si="8"/>
        <v>-3.9326854736598332E-2</v>
      </c>
      <c r="L37" s="137">
        <f t="shared" ca="1" si="9"/>
        <v>-15730.741894639334</v>
      </c>
      <c r="M37" s="139">
        <f t="shared" ca="1" si="10"/>
        <v>383391.58206856315</v>
      </c>
      <c r="N37" s="77">
        <f t="shared" ca="1" si="11"/>
        <v>-4.1521044828592119E-2</v>
      </c>
      <c r="O37" s="137">
        <f t="shared" ca="1" si="12"/>
        <v>-16608.417931436845</v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>
        <f t="shared" ca="1" si="0"/>
        <v>400000</v>
      </c>
      <c r="D38" s="139">
        <f t="shared" ca="1" si="1"/>
        <v>403342.11970198143</v>
      </c>
      <c r="E38" s="77">
        <f t="shared" ca="1" si="2"/>
        <v>8.3552992549536624E-3</v>
      </c>
      <c r="F38" s="137">
        <f t="shared" ca="1" si="3"/>
        <v>3342.1197019814658</v>
      </c>
      <c r="G38" s="139">
        <f t="shared" ca="1" si="4"/>
        <v>397149.47823481326</v>
      </c>
      <c r="H38" s="77">
        <f t="shared" ca="1" si="5"/>
        <v>-7.1263044129669115E-3</v>
      </c>
      <c r="I38" s="137">
        <f t="shared" ca="1" si="6"/>
        <v>-2850.5217651867647</v>
      </c>
      <c r="J38" s="139">
        <f t="shared" ca="1" si="7"/>
        <v>395211.77702720393</v>
      </c>
      <c r="K38" s="77">
        <f t="shared" ca="1" si="8"/>
        <v>-1.197055743199012E-2</v>
      </c>
      <c r="L38" s="137">
        <f t="shared" ca="1" si="9"/>
        <v>-4788.2229727960475</v>
      </c>
      <c r="M38" s="139">
        <f t="shared" ca="1" si="10"/>
        <v>393995.88929908624</v>
      </c>
      <c r="N38" s="77">
        <f t="shared" ca="1" si="11"/>
        <v>-1.5010276752284422E-2</v>
      </c>
      <c r="O38" s="137">
        <f t="shared" ca="1" si="12"/>
        <v>-6004.1107009137686</v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>
        <f t="shared" ca="1" si="0"/>
        <v>2000000</v>
      </c>
      <c r="D39" s="139">
        <f t="shared" ca="1" si="1"/>
        <v>1974154.4304069362</v>
      </c>
      <c r="E39" s="77">
        <f t="shared" ca="1" si="2"/>
        <v>-1.2922784796531833E-2</v>
      </c>
      <c r="F39" s="137">
        <f t="shared" ca="1" si="3"/>
        <v>-25845.569593063668</v>
      </c>
      <c r="G39" s="139">
        <f t="shared" ca="1" si="4"/>
        <v>1941209.2725400585</v>
      </c>
      <c r="H39" s="77">
        <f t="shared" ca="1" si="5"/>
        <v>-2.9395363729970807E-2</v>
      </c>
      <c r="I39" s="137">
        <f t="shared" ca="1" si="6"/>
        <v>-58790.727459941612</v>
      </c>
      <c r="J39" s="139">
        <f t="shared" ca="1" si="7"/>
        <v>1940773.7533750087</v>
      </c>
      <c r="K39" s="77">
        <f t="shared" ca="1" si="8"/>
        <v>-2.9613123312495694E-2</v>
      </c>
      <c r="L39" s="137">
        <f t="shared" ca="1" si="9"/>
        <v>-59226.246624991385</v>
      </c>
      <c r="M39" s="139">
        <f t="shared" ca="1" si="10"/>
        <v>1894272.963990754</v>
      </c>
      <c r="N39" s="77">
        <f t="shared" ca="1" si="11"/>
        <v>-5.2863518004622967E-2</v>
      </c>
      <c r="O39" s="137">
        <f t="shared" ca="1" si="12"/>
        <v>-105727.03600924595</v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>
        <f t="shared" ca="1" si="0"/>
        <v>2000000</v>
      </c>
      <c r="D40" s="139">
        <f t="shared" ca="1" si="1"/>
        <v>1953993.8330998456</v>
      </c>
      <c r="E40" s="77">
        <f t="shared" ca="1" si="2"/>
        <v>-2.300308345007715E-2</v>
      </c>
      <c r="F40" s="137">
        <f t="shared" ca="1" si="3"/>
        <v>-46006.16690015429</v>
      </c>
      <c r="G40" s="139">
        <f t="shared" ca="1" si="4"/>
        <v>1963215.7727300641</v>
      </c>
      <c r="H40" s="77">
        <f t="shared" ca="1" si="5"/>
        <v>-1.839211363496792E-2</v>
      </c>
      <c r="I40" s="137">
        <f t="shared" ca="1" si="6"/>
        <v>-36784.227269935844</v>
      </c>
      <c r="J40" s="139">
        <f t="shared" ca="1" si="7"/>
        <v>1981598.2740977684</v>
      </c>
      <c r="K40" s="77">
        <f t="shared" ca="1" si="8"/>
        <v>-9.2008629511157215E-3</v>
      </c>
      <c r="L40" s="137">
        <f t="shared" ca="1" si="9"/>
        <v>-18401.725902231439</v>
      </c>
      <c r="M40" s="139">
        <f t="shared" ca="1" si="10"/>
        <v>1978481.0254998705</v>
      </c>
      <c r="N40" s="77">
        <f t="shared" ca="1" si="11"/>
        <v>-1.0759487250064755E-2</v>
      </c>
      <c r="O40" s="137">
        <f t="shared" ca="1" si="12"/>
        <v>-21518.974500129512</v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90" t="s">
        <v>308</v>
      </c>
      <c r="B53" s="292"/>
      <c r="C53" s="132" t="s">
        <v>303</v>
      </c>
      <c r="D53" s="143" t="s">
        <v>304</v>
      </c>
      <c r="E53" s="144" t="s">
        <v>305</v>
      </c>
      <c r="F53" s="145" t="s">
        <v>306</v>
      </c>
      <c r="G53" s="143" t="s">
        <v>304</v>
      </c>
      <c r="H53" s="144" t="s">
        <v>305</v>
      </c>
      <c r="I53" s="145" t="s">
        <v>306</v>
      </c>
      <c r="J53" s="143" t="s">
        <v>304</v>
      </c>
      <c r="K53" s="144" t="s">
        <v>305</v>
      </c>
      <c r="L53" s="145" t="s">
        <v>306</v>
      </c>
      <c r="M53" s="143" t="s">
        <v>304</v>
      </c>
      <c r="N53" s="144" t="s">
        <v>305</v>
      </c>
      <c r="O53" s="145" t="s">
        <v>306</v>
      </c>
    </row>
    <row r="54" spans="1:15" ht="16.5" customHeight="1" thickBot="1">
      <c r="A54" s="283"/>
      <c r="B54" s="285"/>
      <c r="C54" s="136">
        <f ca="1">SUM(C22:C52)</f>
        <v>17600000</v>
      </c>
      <c r="D54" s="140">
        <f ca="1">SUM(D22:D52)</f>
        <v>17649433.645863947</v>
      </c>
      <c r="E54" s="79">
        <f ca="1">IFERROR(F54 / (SUM($C22:$C52) / COUNT($C22:$C52)), 0)</f>
        <v>5.6174597572668822E-2</v>
      </c>
      <c r="F54" s="138">
        <f ca="1">SUM(F22:F52)</f>
        <v>49433.645863948565</v>
      </c>
      <c r="G54" s="140">
        <f ca="1">SUM(G22:G52)</f>
        <v>17626105.792340074</v>
      </c>
      <c r="H54" s="79">
        <f ca="1">IFERROR(I54 / (SUM($C22:$C52) / COUNT($C22:$C52)), 0)</f>
        <v>2.9665673113714978E-2</v>
      </c>
      <c r="I54" s="138">
        <f ca="1">SUM(I22:I52)</f>
        <v>26105.79234006918</v>
      </c>
      <c r="J54" s="140">
        <f ca="1">SUM(J22:J52)</f>
        <v>17597389.654228419</v>
      </c>
      <c r="K54" s="79">
        <f ca="1">IFERROR(L54 / (SUM($C22:$C52) / COUNT($C22:$C52)), 0)</f>
        <v>-2.9663020131567132E-3</v>
      </c>
      <c r="L54" s="138">
        <f ca="1">SUM(L22:L52)</f>
        <v>-2610.3457715779077</v>
      </c>
      <c r="M54" s="140">
        <f ca="1">SUM(M22:M52)</f>
        <v>17525063.670158636</v>
      </c>
      <c r="N54" s="79">
        <f ca="1">IFERROR(O54 / (SUM($C22:$C52) / COUNT($C22:$C52)), 0)</f>
        <v>-8.5154920274276638E-2</v>
      </c>
      <c r="O54" s="138">
        <f ca="1">SUM(O22:O52)</f>
        <v>-74936.329841363447</v>
      </c>
    </row>
    <row r="56" spans="1:15" ht="16.5" customHeight="1" thickBot="1"/>
    <row r="57" spans="1:15" ht="16.5" customHeight="1" thickBot="1">
      <c r="A57" s="262" t="str">
        <f>TEXT(투자전략!$G$1, "[$-ko-KR]yyyy년 mm월 ") &amp; "[엽전코인] 전일대비 상승률 Top20 월말결산"</f>
        <v>2021년 06월 [엽전코인] 전일대비 상승률 Top20 월말결산</v>
      </c>
      <c r="B57" s="263"/>
      <c r="C57" s="263"/>
      <c r="D57" s="263"/>
      <c r="E57" s="263"/>
      <c r="F57" s="263"/>
      <c r="G57" s="263"/>
      <c r="H57" s="263"/>
      <c r="I57" s="263"/>
      <c r="J57" s="263"/>
      <c r="K57" s="263"/>
      <c r="L57" s="263"/>
      <c r="M57" s="263"/>
      <c r="N57" s="263"/>
      <c r="O57" s="264"/>
    </row>
    <row r="58" spans="1:15" ht="16.5" customHeight="1" thickBot="1">
      <c r="A58" s="306" t="s">
        <v>309</v>
      </c>
      <c r="B58" s="283" t="s">
        <v>307</v>
      </c>
      <c r="C58" s="285"/>
      <c r="D58" s="283" t="s">
        <v>299</v>
      </c>
      <c r="E58" s="284"/>
      <c r="F58" s="285"/>
      <c r="G58" s="283" t="s">
        <v>300</v>
      </c>
      <c r="H58" s="284"/>
      <c r="I58" s="285"/>
      <c r="J58" s="283" t="s">
        <v>301</v>
      </c>
      <c r="K58" s="284"/>
      <c r="L58" s="285"/>
      <c r="M58" s="283" t="s">
        <v>302</v>
      </c>
      <c r="N58" s="284"/>
      <c r="O58" s="285"/>
    </row>
    <row r="59" spans="1:15" ht="16.5" customHeight="1" thickBot="1">
      <c r="A59" s="299"/>
      <c r="B59" s="154" t="s">
        <v>297</v>
      </c>
      <c r="C59" s="154" t="s">
        <v>42</v>
      </c>
      <c r="D59" s="121" t="s">
        <v>298</v>
      </c>
      <c r="E59" s="133" t="s">
        <v>40</v>
      </c>
      <c r="F59" s="156" t="s">
        <v>41</v>
      </c>
      <c r="G59" s="121" t="s">
        <v>298</v>
      </c>
      <c r="H59" s="133" t="s">
        <v>40</v>
      </c>
      <c r="I59" s="156" t="s">
        <v>41</v>
      </c>
      <c r="J59" s="121" t="s">
        <v>298</v>
      </c>
      <c r="K59" s="133" t="s">
        <v>40</v>
      </c>
      <c r="L59" s="156" t="s">
        <v>41</v>
      </c>
      <c r="M59" s="121" t="s">
        <v>298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1910100.170139156</v>
      </c>
      <c r="N72" s="77">
        <f t="shared" ca="1" si="24"/>
        <v>-4.4949914930421948E-2</v>
      </c>
      <c r="O72" s="137">
        <f t="shared" ca="1" si="25"/>
        <v>-89899.829860843907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>
        <f t="shared" ca="1" si="13"/>
        <v>2000000</v>
      </c>
      <c r="D73" s="140">
        <f t="shared" ca="1" si="14"/>
        <v>2188338.9255079231</v>
      </c>
      <c r="E73" s="79">
        <f t="shared" ca="1" si="15"/>
        <v>9.4169462753961625E-2</v>
      </c>
      <c r="F73" s="138">
        <f t="shared" ca="1" si="16"/>
        <v>188338.92550792324</v>
      </c>
      <c r="G73" s="140">
        <f t="shared" ca="1" si="17"/>
        <v>2259643.059380448</v>
      </c>
      <c r="H73" s="79">
        <f t="shared" ca="1" si="18"/>
        <v>0.12982152969022417</v>
      </c>
      <c r="I73" s="138">
        <f t="shared" ca="1" si="19"/>
        <v>259643.05938044831</v>
      </c>
      <c r="J73" s="140">
        <f t="shared" ca="1" si="20"/>
        <v>2178016.5982071576</v>
      </c>
      <c r="K73" s="79">
        <f t="shared" ca="1" si="21"/>
        <v>8.9008299103578714E-2</v>
      </c>
      <c r="L73" s="138">
        <f t="shared" ca="1" si="22"/>
        <v>178016.59820715743</v>
      </c>
      <c r="M73" s="140">
        <f t="shared" ca="1" si="23"/>
        <v>2192486.5980427926</v>
      </c>
      <c r="N73" s="79">
        <f t="shared" ca="1" si="24"/>
        <v>9.6243299021396417E-2</v>
      </c>
      <c r="O73" s="138">
        <f t="shared" ca="1" si="25"/>
        <v>192486.59804279282</v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>
        <f t="shared" ca="1" si="13"/>
        <v>2000000</v>
      </c>
      <c r="D74" s="139">
        <f t="shared" ca="1" si="14"/>
        <v>2154603.9302070346</v>
      </c>
      <c r="E74" s="77">
        <f t="shared" ca="1" si="15"/>
        <v>7.7301965103517473E-2</v>
      </c>
      <c r="F74" s="137">
        <f t="shared" ca="1" si="16"/>
        <v>154603.93020703495</v>
      </c>
      <c r="G74" s="139">
        <f t="shared" ca="1" si="17"/>
        <v>2101928.4524441366</v>
      </c>
      <c r="H74" s="77">
        <f t="shared" ca="1" si="18"/>
        <v>5.0964226222068122E-2</v>
      </c>
      <c r="I74" s="137">
        <f t="shared" ca="1" si="19"/>
        <v>101928.45244413623</v>
      </c>
      <c r="J74" s="139">
        <f t="shared" ca="1" si="20"/>
        <v>2107147.0502137565</v>
      </c>
      <c r="K74" s="77">
        <f t="shared" ca="1" si="21"/>
        <v>5.357352510687826E-2</v>
      </c>
      <c r="L74" s="137">
        <f t="shared" ca="1" si="22"/>
        <v>107147.05021375655</v>
      </c>
      <c r="M74" s="139">
        <f t="shared" ca="1" si="23"/>
        <v>2092008.0265601394</v>
      </c>
      <c r="N74" s="77">
        <f t="shared" ca="1" si="24"/>
        <v>4.6004013280069742E-2</v>
      </c>
      <c r="O74" s="137">
        <f t="shared" ca="1" si="25"/>
        <v>92008.026560139479</v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>
        <f t="shared" ca="1" si="13"/>
        <v>2000000</v>
      </c>
      <c r="D75" s="139">
        <f t="shared" ca="1" si="14"/>
        <v>1971123.1135384298</v>
      </c>
      <c r="E75" s="77">
        <f t="shared" ca="1" si="15"/>
        <v>-1.4438443230785053E-2</v>
      </c>
      <c r="F75" s="137">
        <f t="shared" ca="1" si="16"/>
        <v>-28876.88646157011</v>
      </c>
      <c r="G75" s="139">
        <f t="shared" ca="1" si="17"/>
        <v>1903955.97499295</v>
      </c>
      <c r="H75" s="77">
        <f t="shared" ca="1" si="18"/>
        <v>-4.8022012503525002E-2</v>
      </c>
      <c r="I75" s="137">
        <f t="shared" ca="1" si="19"/>
        <v>-96044.02500704999</v>
      </c>
      <c r="J75" s="139">
        <f t="shared" ca="1" si="20"/>
        <v>1854465.4958681101</v>
      </c>
      <c r="K75" s="77">
        <f t="shared" ca="1" si="21"/>
        <v>-7.2767252065944893E-2</v>
      </c>
      <c r="L75" s="137">
        <f t="shared" ca="1" si="22"/>
        <v>-145534.50413188979</v>
      </c>
      <c r="M75" s="139">
        <f t="shared" ca="1" si="23"/>
        <v>1851996.402919864</v>
      </c>
      <c r="N75" s="77">
        <f t="shared" ca="1" si="24"/>
        <v>-7.4001798540067956E-2</v>
      </c>
      <c r="O75" s="137">
        <f t="shared" ca="1" si="25"/>
        <v>-148003.59708013589</v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>
        <f t="shared" ca="1" si="13"/>
        <v>2000000</v>
      </c>
      <c r="D76" s="139">
        <f t="shared" ca="1" si="14"/>
        <v>2044957.1045027017</v>
      </c>
      <c r="E76" s="77">
        <f t="shared" ca="1" si="15"/>
        <v>2.2478552251350779E-2</v>
      </c>
      <c r="F76" s="137">
        <f t="shared" ca="1" si="16"/>
        <v>44957.104502701557</v>
      </c>
      <c r="G76" s="139">
        <f t="shared" ca="1" si="17"/>
        <v>2022955.8427534583</v>
      </c>
      <c r="H76" s="77">
        <f t="shared" ca="1" si="18"/>
        <v>1.1477921376729186E-2</v>
      </c>
      <c r="I76" s="137">
        <f t="shared" ca="1" si="19"/>
        <v>22955.842753458364</v>
      </c>
      <c r="J76" s="139">
        <f t="shared" ca="1" si="20"/>
        <v>2018494.8372743148</v>
      </c>
      <c r="K76" s="77">
        <f t="shared" ca="1" si="21"/>
        <v>9.2474186371574278E-3</v>
      </c>
      <c r="L76" s="137">
        <f t="shared" ca="1" si="22"/>
        <v>18494.83727431485</v>
      </c>
      <c r="M76" s="139">
        <f t="shared" ca="1" si="23"/>
        <v>2013122.9039973619</v>
      </c>
      <c r="N76" s="77">
        <f t="shared" ca="1" si="24"/>
        <v>6.5614519986810071E-3</v>
      </c>
      <c r="O76" s="137">
        <f t="shared" ca="1" si="25"/>
        <v>13122.903997362013</v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>
        <f t="shared" ca="1" si="13"/>
        <v>2000000</v>
      </c>
      <c r="D77" s="139">
        <f t="shared" ca="1" si="14"/>
        <v>1923420.8743321847</v>
      </c>
      <c r="E77" s="77">
        <f t="shared" ca="1" si="15"/>
        <v>-3.828956283390756E-2</v>
      </c>
      <c r="F77" s="137">
        <f t="shared" ca="1" si="16"/>
        <v>-76579.125667815111</v>
      </c>
      <c r="G77" s="139">
        <f t="shared" ca="1" si="17"/>
        <v>1916815.6762485115</v>
      </c>
      <c r="H77" s="77">
        <f t="shared" ca="1" si="18"/>
        <v>-4.1592161875744257E-2</v>
      </c>
      <c r="I77" s="137">
        <f t="shared" ca="1" si="19"/>
        <v>-83184.323751488526</v>
      </c>
      <c r="J77" s="139">
        <f t="shared" ca="1" si="20"/>
        <v>1922500.2693967877</v>
      </c>
      <c r="K77" s="77">
        <f t="shared" ca="1" si="21"/>
        <v>-3.8749865301606165E-2</v>
      </c>
      <c r="L77" s="137">
        <f t="shared" ca="1" si="22"/>
        <v>-77499.73060321236</v>
      </c>
      <c r="M77" s="139">
        <f t="shared" ca="1" si="23"/>
        <v>1880948.2687962938</v>
      </c>
      <c r="N77" s="77">
        <f t="shared" ca="1" si="24"/>
        <v>-5.952586560185312E-2</v>
      </c>
      <c r="O77" s="137">
        <f t="shared" ca="1" si="25"/>
        <v>-119051.73120370621</v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>
        <f t="shared" ca="1" si="13"/>
        <v>2000000</v>
      </c>
      <c r="D78" s="139">
        <f t="shared" ca="1" si="14"/>
        <v>1914208.8202787866</v>
      </c>
      <c r="E78" s="77">
        <f t="shared" ca="1" si="15"/>
        <v>-4.2895589860606757E-2</v>
      </c>
      <c r="F78" s="137">
        <f t="shared" ca="1" si="16"/>
        <v>-85791.179721213513</v>
      </c>
      <c r="G78" s="139">
        <f t="shared" ca="1" si="17"/>
        <v>1920760.7955927565</v>
      </c>
      <c r="H78" s="77">
        <f t="shared" ca="1" si="18"/>
        <v>-3.9619602203621693E-2</v>
      </c>
      <c r="I78" s="137">
        <f t="shared" ca="1" si="19"/>
        <v>-79239.204407243364</v>
      </c>
      <c r="J78" s="139">
        <f t="shared" ca="1" si="20"/>
        <v>1930772.7726974059</v>
      </c>
      <c r="K78" s="77">
        <f t="shared" ca="1" si="21"/>
        <v>-3.4613613651296969E-2</v>
      </c>
      <c r="L78" s="137">
        <f t="shared" ca="1" si="22"/>
        <v>-69227.22730259395</v>
      </c>
      <c r="M78" s="139">
        <f t="shared" ca="1" si="23"/>
        <v>1920453.4096900362</v>
      </c>
      <c r="N78" s="77">
        <f t="shared" ca="1" si="24"/>
        <v>-3.9773295154981819E-2</v>
      </c>
      <c r="O78" s="137">
        <f t="shared" ca="1" si="25"/>
        <v>-79546.590309963634</v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>
        <f t="shared" ca="1" si="13"/>
        <v>2000000</v>
      </c>
      <c r="D79" s="139">
        <f t="shared" ca="1" si="14"/>
        <v>1957246.6515578381</v>
      </c>
      <c r="E79" s="77">
        <f t="shared" ca="1" si="15"/>
        <v>-2.1376674221080944E-2</v>
      </c>
      <c r="F79" s="137">
        <f t="shared" ca="1" si="16"/>
        <v>-42753.34844216187</v>
      </c>
      <c r="G79" s="139">
        <f t="shared" ca="1" si="17"/>
        <v>1916389.7017360639</v>
      </c>
      <c r="H79" s="77">
        <f t="shared" ca="1" si="18"/>
        <v>-4.1805149131967971E-2</v>
      </c>
      <c r="I79" s="137">
        <f t="shared" ca="1" si="19"/>
        <v>-83610.298263935925</v>
      </c>
      <c r="J79" s="139">
        <f t="shared" ca="1" si="20"/>
        <v>1821909.7701551083</v>
      </c>
      <c r="K79" s="77">
        <f t="shared" ca="1" si="21"/>
        <v>-8.9045114922445878E-2</v>
      </c>
      <c r="L79" s="137">
        <f t="shared" ca="1" si="22"/>
        <v>-178090.22984489176</v>
      </c>
      <c r="M79" s="139">
        <f t="shared" ca="1" si="23"/>
        <v>2000000</v>
      </c>
      <c r="N79" s="77">
        <f t="shared" ca="1" si="24"/>
        <v>0</v>
      </c>
      <c r="O79" s="137">
        <f t="shared" ca="1" si="25"/>
        <v>0</v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90" t="s">
        <v>308</v>
      </c>
      <c r="B91" s="292"/>
      <c r="C91" s="132" t="s">
        <v>303</v>
      </c>
      <c r="D91" s="150" t="s">
        <v>304</v>
      </c>
      <c r="E91" s="151" t="s">
        <v>305</v>
      </c>
      <c r="F91" s="152" t="s">
        <v>306</v>
      </c>
      <c r="G91" s="150" t="s">
        <v>304</v>
      </c>
      <c r="H91" s="151" t="s">
        <v>305</v>
      </c>
      <c r="I91" s="152" t="s">
        <v>306</v>
      </c>
      <c r="J91" s="150" t="s">
        <v>304</v>
      </c>
      <c r="K91" s="151" t="s">
        <v>305</v>
      </c>
      <c r="L91" s="152" t="s">
        <v>306</v>
      </c>
      <c r="M91" s="150" t="s">
        <v>304</v>
      </c>
      <c r="N91" s="151" t="s">
        <v>305</v>
      </c>
      <c r="O91" s="152" t="s">
        <v>306</v>
      </c>
    </row>
    <row r="92" spans="1:15" ht="16.5" customHeight="1" thickBot="1">
      <c r="A92" s="283"/>
      <c r="B92" s="285"/>
      <c r="C92" s="136">
        <f ca="1">SUM(C60:C90)</f>
        <v>40000000</v>
      </c>
      <c r="D92" s="140">
        <f ca="1">SUM(D60:D90)</f>
        <v>40186119.321169503</v>
      </c>
      <c r="E92" s="79">
        <f ca="1">IFERROR(F92 / (SUM($C60:$C90) / COUNT($C60:$C90)), 0)</f>
        <v>9.3059660584758036E-2</v>
      </c>
      <c r="F92" s="138">
        <f ca="1">SUM(F60:F90)</f>
        <v>186119.32116951607</v>
      </c>
      <c r="G92" s="140">
        <f ca="1">SUM(G60:G90)</f>
        <v>39682052.68423681</v>
      </c>
      <c r="H92" s="79">
        <f ca="1">IFERROR(I92 / (SUM($C60:$C90) / COUNT($C60:$C90)), 0)</f>
        <v>-0.15897365788159384</v>
      </c>
      <c r="I92" s="138">
        <f ca="1">SUM(I60:I90)</f>
        <v>-317947.31576318771</v>
      </c>
      <c r="J92" s="140">
        <f ca="1">SUM(J60:J90)</f>
        <v>39418562.336158246</v>
      </c>
      <c r="K92" s="79">
        <f ca="1">IFERROR(L92 / (SUM($C60:$C90) / COUNT($C60:$C90)), 0)</f>
        <v>-0.29071883192087528</v>
      </c>
      <c r="L92" s="138">
        <f ca="1">SUM(L60:L90)</f>
        <v>-581437.66384175059</v>
      </c>
      <c r="M92" s="140">
        <f ca="1">SUM(M60:M90)</f>
        <v>39352319.291517489</v>
      </c>
      <c r="N92" s="79">
        <f ca="1">IFERROR(O92 / (SUM($C60:$C90) / COUNT($C60:$C90)), 0)</f>
        <v>-0.32384035424125446</v>
      </c>
      <c r="O92" s="138">
        <f ca="1">SUM(O60:O90)</f>
        <v>-647680.7084825089</v>
      </c>
    </row>
    <row r="94" spans="1:15" ht="16.5" customHeight="1" thickBot="1"/>
    <row r="95" spans="1:15" ht="16.5" customHeight="1" thickBot="1">
      <c r="A95" s="262" t="str">
        <f>TEXT(투자전략!$G$1, "[$-ko-KR]yyyy년 mm월 ") &amp; "[동전코인] 전일대비 상승률 Top20 월말결산"</f>
        <v>2021년 06월 [동전코인] 전일대비 상승률 Top20 월말결산</v>
      </c>
      <c r="B95" s="263"/>
      <c r="C95" s="263"/>
      <c r="D95" s="263"/>
      <c r="E95" s="263"/>
      <c r="F95" s="263"/>
      <c r="G95" s="263"/>
      <c r="H95" s="263"/>
      <c r="I95" s="263"/>
      <c r="J95" s="263"/>
      <c r="K95" s="263"/>
      <c r="L95" s="263"/>
      <c r="M95" s="263"/>
      <c r="N95" s="263"/>
      <c r="O95" s="264"/>
    </row>
    <row r="96" spans="1:15" ht="16.5" customHeight="1" thickBot="1">
      <c r="A96" s="306" t="s">
        <v>309</v>
      </c>
      <c r="B96" s="283" t="s">
        <v>307</v>
      </c>
      <c r="C96" s="285"/>
      <c r="D96" s="283" t="s">
        <v>299</v>
      </c>
      <c r="E96" s="284"/>
      <c r="F96" s="285"/>
      <c r="G96" s="283" t="s">
        <v>300</v>
      </c>
      <c r="H96" s="284"/>
      <c r="I96" s="285"/>
      <c r="J96" s="283" t="s">
        <v>301</v>
      </c>
      <c r="K96" s="284"/>
      <c r="L96" s="285"/>
      <c r="M96" s="283" t="s">
        <v>302</v>
      </c>
      <c r="N96" s="284"/>
      <c r="O96" s="285"/>
    </row>
    <row r="97" spans="1:15" ht="16.5" customHeight="1" thickBot="1">
      <c r="A97" s="299"/>
      <c r="B97" s="154" t="s">
        <v>297</v>
      </c>
      <c r="C97" s="154" t="s">
        <v>42</v>
      </c>
      <c r="D97" s="121" t="s">
        <v>298</v>
      </c>
      <c r="E97" s="133" t="s">
        <v>40</v>
      </c>
      <c r="F97" s="156" t="s">
        <v>41</v>
      </c>
      <c r="G97" s="121" t="s">
        <v>298</v>
      </c>
      <c r="H97" s="133" t="s">
        <v>40</v>
      </c>
      <c r="I97" s="156" t="s">
        <v>41</v>
      </c>
      <c r="J97" s="121" t="s">
        <v>298</v>
      </c>
      <c r="K97" s="133" t="s">
        <v>40</v>
      </c>
      <c r="L97" s="156" t="s">
        <v>41</v>
      </c>
      <c r="M97" s="121" t="s">
        <v>298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1991234.2722312978</v>
      </c>
      <c r="N110" s="77">
        <f t="shared" ca="1" si="37"/>
        <v>-4.3828638843510801E-3</v>
      </c>
      <c r="O110" s="137">
        <f t="shared" ca="1" si="38"/>
        <v>-8765.7277687021669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>
        <f t="shared" ca="1" si="26"/>
        <v>2000000</v>
      </c>
      <c r="D111" s="140">
        <f t="shared" ca="1" si="27"/>
        <v>2060055.923878239</v>
      </c>
      <c r="E111" s="79">
        <f t="shared" ca="1" si="28"/>
        <v>3.0027961939119507E-2</v>
      </c>
      <c r="F111" s="138">
        <f t="shared" ca="1" si="29"/>
        <v>60055.923878239017</v>
      </c>
      <c r="G111" s="140">
        <f t="shared" ca="1" si="30"/>
        <v>2072189.2580086286</v>
      </c>
      <c r="H111" s="79">
        <f t="shared" ca="1" si="31"/>
        <v>3.6094629004314184E-2</v>
      </c>
      <c r="I111" s="138">
        <f t="shared" ca="1" si="32"/>
        <v>72189.258008628371</v>
      </c>
      <c r="J111" s="140">
        <f t="shared" ca="1" si="33"/>
        <v>2064834.0967898564</v>
      </c>
      <c r="K111" s="79">
        <f t="shared" ca="1" si="34"/>
        <v>3.2417048394928184E-2</v>
      </c>
      <c r="L111" s="138">
        <f t="shared" ca="1" si="35"/>
        <v>64834.096789856354</v>
      </c>
      <c r="M111" s="140">
        <f t="shared" ca="1" si="36"/>
        <v>2118520.0399960512</v>
      </c>
      <c r="N111" s="79">
        <f t="shared" ca="1" si="37"/>
        <v>5.9260019998025534E-2</v>
      </c>
      <c r="O111" s="138">
        <f t="shared" ca="1" si="38"/>
        <v>118520.03999605105</v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>
        <f t="shared" ca="1" si="26"/>
        <v>2000000</v>
      </c>
      <c r="D112" s="139">
        <f t="shared" ca="1" si="27"/>
        <v>2060646.8670782689</v>
      </c>
      <c r="E112" s="77">
        <f t="shared" ca="1" si="28"/>
        <v>3.0323433539134425E-2</v>
      </c>
      <c r="F112" s="137">
        <f t="shared" ca="1" si="29"/>
        <v>60646.867078268842</v>
      </c>
      <c r="G112" s="139">
        <f t="shared" ca="1" si="30"/>
        <v>2014932.5322689125</v>
      </c>
      <c r="H112" s="77">
        <f t="shared" ca="1" si="31"/>
        <v>7.4662661344561424E-3</v>
      </c>
      <c r="I112" s="137">
        <f t="shared" ca="1" si="32"/>
        <v>14932.532268912288</v>
      </c>
      <c r="J112" s="139">
        <f t="shared" ca="1" si="33"/>
        <v>2010541.6673904406</v>
      </c>
      <c r="K112" s="77">
        <f t="shared" ca="1" si="34"/>
        <v>5.2708336952202459E-3</v>
      </c>
      <c r="L112" s="137">
        <f t="shared" ca="1" si="35"/>
        <v>10541.667390440492</v>
      </c>
      <c r="M112" s="139">
        <f t="shared" ca="1" si="36"/>
        <v>2000381.9411400047</v>
      </c>
      <c r="N112" s="77">
        <f t="shared" ca="1" si="37"/>
        <v>1.9097057000224145E-4</v>
      </c>
      <c r="O112" s="137">
        <f t="shared" ca="1" si="38"/>
        <v>381.94114000448326</v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>
        <f t="shared" ca="1" si="26"/>
        <v>2000000</v>
      </c>
      <c r="D113" s="139">
        <f t="shared" ca="1" si="27"/>
        <v>2028344.0569971139</v>
      </c>
      <c r="E113" s="77">
        <f t="shared" ca="1" si="28"/>
        <v>1.4172028498556944E-2</v>
      </c>
      <c r="F113" s="137">
        <f t="shared" ca="1" si="29"/>
        <v>28344.056997113883</v>
      </c>
      <c r="G113" s="139">
        <f t="shared" ca="1" si="30"/>
        <v>2013889.7879544836</v>
      </c>
      <c r="H113" s="77">
        <f t="shared" ca="1" si="31"/>
        <v>6.9448939772418115E-3</v>
      </c>
      <c r="I113" s="137">
        <f t="shared" ca="1" si="32"/>
        <v>13889.787954483623</v>
      </c>
      <c r="J113" s="139">
        <f t="shared" ca="1" si="33"/>
        <v>1965341.115130973</v>
      </c>
      <c r="K113" s="77">
        <f t="shared" ca="1" si="34"/>
        <v>-1.7329442434513505E-2</v>
      </c>
      <c r="L113" s="137">
        <f t="shared" ca="1" si="35"/>
        <v>-34658.884869027017</v>
      </c>
      <c r="M113" s="139">
        <f t="shared" ca="1" si="36"/>
        <v>1966123.1774682878</v>
      </c>
      <c r="N113" s="77">
        <f t="shared" ca="1" si="37"/>
        <v>-1.6938411265856108E-2</v>
      </c>
      <c r="O113" s="137">
        <f t="shared" ca="1" si="38"/>
        <v>-33876.822531712227</v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>
        <f t="shared" ca="1" si="26"/>
        <v>2000000</v>
      </c>
      <c r="D114" s="139">
        <f t="shared" ca="1" si="27"/>
        <v>2010060.3235655513</v>
      </c>
      <c r="E114" s="77">
        <f t="shared" ca="1" si="28"/>
        <v>5.0301617827756386E-3</v>
      </c>
      <c r="F114" s="137">
        <f t="shared" ca="1" si="29"/>
        <v>10060.323565551274</v>
      </c>
      <c r="G114" s="139">
        <f t="shared" ca="1" si="30"/>
        <v>2012367.8796298723</v>
      </c>
      <c r="H114" s="77">
        <f t="shared" ca="1" si="31"/>
        <v>6.1839398149360469E-3</v>
      </c>
      <c r="I114" s="137">
        <f t="shared" ca="1" si="32"/>
        <v>12367.879629872097</v>
      </c>
      <c r="J114" s="139">
        <f t="shared" ca="1" si="33"/>
        <v>2008135.5298937052</v>
      </c>
      <c r="K114" s="77">
        <f t="shared" ca="1" si="34"/>
        <v>4.0677649468525891E-3</v>
      </c>
      <c r="L114" s="137">
        <f t="shared" ca="1" si="35"/>
        <v>8135.5298937051775</v>
      </c>
      <c r="M114" s="139">
        <f t="shared" ca="1" si="36"/>
        <v>2005951.2781818314</v>
      </c>
      <c r="N114" s="77">
        <f t="shared" ca="1" si="37"/>
        <v>2.9756390909156877E-3</v>
      </c>
      <c r="O114" s="137">
        <f t="shared" ca="1" si="38"/>
        <v>5951.2781818313742</v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>
        <f t="shared" ca="1" si="26"/>
        <v>2000000</v>
      </c>
      <c r="D115" s="139">
        <f t="shared" ca="1" si="27"/>
        <v>1945230.3138787891</v>
      </c>
      <c r="E115" s="77">
        <f t="shared" ca="1" si="28"/>
        <v>-2.7384843060605478E-2</v>
      </c>
      <c r="F115" s="137">
        <f t="shared" ca="1" si="29"/>
        <v>-54769.686121210951</v>
      </c>
      <c r="G115" s="139">
        <f t="shared" ca="1" si="30"/>
        <v>1912623.5066601287</v>
      </c>
      <c r="H115" s="77">
        <f t="shared" ca="1" si="31"/>
        <v>-4.3688246669935607E-2</v>
      </c>
      <c r="I115" s="137">
        <f t="shared" ca="1" si="32"/>
        <v>-87376.493339871231</v>
      </c>
      <c r="J115" s="139">
        <f t="shared" ca="1" si="33"/>
        <v>1906726.3151265432</v>
      </c>
      <c r="K115" s="77">
        <f t="shared" ca="1" si="34"/>
        <v>-4.6636842436728373E-2</v>
      </c>
      <c r="L115" s="137">
        <f t="shared" ca="1" si="35"/>
        <v>-93273.684873456747</v>
      </c>
      <c r="M115" s="139">
        <f t="shared" ca="1" si="36"/>
        <v>1867008.1846518877</v>
      </c>
      <c r="N115" s="77">
        <f t="shared" ca="1" si="37"/>
        <v>-6.6495907674056165E-2</v>
      </c>
      <c r="O115" s="137">
        <f t="shared" ca="1" si="38"/>
        <v>-132991.81534811232</v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>
        <f t="shared" ca="1" si="26"/>
        <v>2000000</v>
      </c>
      <c r="D116" s="139">
        <f t="shared" ca="1" si="27"/>
        <v>1953993.8330998456</v>
      </c>
      <c r="E116" s="77">
        <f t="shared" ca="1" si="28"/>
        <v>-2.300308345007715E-2</v>
      </c>
      <c r="F116" s="137">
        <f t="shared" ca="1" si="29"/>
        <v>-46006.16690015429</v>
      </c>
      <c r="G116" s="139">
        <f t="shared" ca="1" si="30"/>
        <v>1963215.7727300641</v>
      </c>
      <c r="H116" s="77">
        <f t="shared" ca="1" si="31"/>
        <v>-1.839211363496792E-2</v>
      </c>
      <c r="I116" s="137">
        <f t="shared" ca="1" si="32"/>
        <v>-36784.227269935844</v>
      </c>
      <c r="J116" s="139">
        <f t="shared" ca="1" si="33"/>
        <v>1981598.2740977684</v>
      </c>
      <c r="K116" s="77">
        <f t="shared" ca="1" si="34"/>
        <v>-9.2008629511157215E-3</v>
      </c>
      <c r="L116" s="137">
        <f t="shared" ca="1" si="35"/>
        <v>-18401.725902231439</v>
      </c>
      <c r="M116" s="139">
        <f t="shared" ca="1" si="36"/>
        <v>1978481.0254998705</v>
      </c>
      <c r="N116" s="77">
        <f t="shared" ca="1" si="37"/>
        <v>-1.0759487250064755E-2</v>
      </c>
      <c r="O116" s="137">
        <f t="shared" ca="1" si="38"/>
        <v>-21518.974500129512</v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>
        <f t="shared" ca="1" si="26"/>
        <v>2000000</v>
      </c>
      <c r="D117" s="139">
        <f t="shared" ca="1" si="27"/>
        <v>1986541.4125081738</v>
      </c>
      <c r="E117" s="77">
        <f t="shared" ca="1" si="28"/>
        <v>-6.7292937459130838E-3</v>
      </c>
      <c r="F117" s="137">
        <f t="shared" ca="1" si="29"/>
        <v>-13458.587491826171</v>
      </c>
      <c r="G117" s="139">
        <f t="shared" ca="1" si="30"/>
        <v>1942375.5606974154</v>
      </c>
      <c r="H117" s="77">
        <f t="shared" ca="1" si="31"/>
        <v>-2.8812219651292315E-2</v>
      </c>
      <c r="I117" s="137">
        <f t="shared" ca="1" si="32"/>
        <v>-57624.439302584629</v>
      </c>
      <c r="J117" s="139">
        <f t="shared" ca="1" si="33"/>
        <v>1868579.4899816387</v>
      </c>
      <c r="K117" s="77">
        <f t="shared" ca="1" si="34"/>
        <v>-6.5710255009180624E-2</v>
      </c>
      <c r="L117" s="137">
        <f t="shared" ca="1" si="35"/>
        <v>-131420.51001836124</v>
      </c>
      <c r="M117" s="139">
        <f t="shared" ca="1" si="36"/>
        <v>2000000</v>
      </c>
      <c r="N117" s="77">
        <f t="shared" ca="1" si="37"/>
        <v>0</v>
      </c>
      <c r="O117" s="137">
        <f t="shared" ca="1" si="38"/>
        <v>0</v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90" t="s">
        <v>308</v>
      </c>
      <c r="B129" s="292"/>
      <c r="C129" s="132" t="s">
        <v>303</v>
      </c>
      <c r="D129" s="150" t="s">
        <v>304</v>
      </c>
      <c r="E129" s="151" t="s">
        <v>305</v>
      </c>
      <c r="F129" s="152" t="s">
        <v>306</v>
      </c>
      <c r="G129" s="150" t="s">
        <v>304</v>
      </c>
      <c r="H129" s="151" t="s">
        <v>305</v>
      </c>
      <c r="I129" s="152" t="s">
        <v>306</v>
      </c>
      <c r="J129" s="150" t="s">
        <v>304</v>
      </c>
      <c r="K129" s="151" t="s">
        <v>305</v>
      </c>
      <c r="L129" s="152" t="s">
        <v>306</v>
      </c>
      <c r="M129" s="150" t="s">
        <v>304</v>
      </c>
      <c r="N129" s="151" t="s">
        <v>305</v>
      </c>
      <c r="O129" s="152" t="s">
        <v>306</v>
      </c>
    </row>
    <row r="130" spans="1:15" ht="16.5" customHeight="1" thickBot="1">
      <c r="A130" s="283"/>
      <c r="B130" s="285"/>
      <c r="C130" s="136">
        <f ca="1">SUM(C98:C128)</f>
        <v>40000000</v>
      </c>
      <c r="D130" s="140">
        <f ca="1">SUM(D98:D128)</f>
        <v>39924946.90724992</v>
      </c>
      <c r="E130" s="79">
        <f ca="1">IFERROR(F130 / (SUM($C98:$C128) / COUNT($C98:$C128)), 0)</f>
        <v>-3.7526546375036295E-2</v>
      </c>
      <c r="F130" s="138">
        <f ca="1">SUM(F98:F128)</f>
        <v>-75053.092750072596</v>
      </c>
      <c r="G130" s="140">
        <f ca="1">SUM(G98:G128)</f>
        <v>39502814.530840196</v>
      </c>
      <c r="H130" s="79">
        <f ca="1">IFERROR(I130 / (SUM($C98:$C128) / COUNT($C98:$C128)), 0)</f>
        <v>-0.24859273457990025</v>
      </c>
      <c r="I130" s="138">
        <f ca="1">SUM(I98:I128)</f>
        <v>-497185.4691598005</v>
      </c>
      <c r="J130" s="140">
        <f ca="1">SUM(J98:J128)</f>
        <v>39313975.523285307</v>
      </c>
      <c r="K130" s="79">
        <f ca="1">IFERROR(L130 / (SUM($C98:$C128) / COUNT($C98:$C128)), 0)</f>
        <v>-0.34301223835734573</v>
      </c>
      <c r="L130" s="138">
        <f ca="1">SUM(L98:L128)</f>
        <v>-686024.4767146915</v>
      </c>
      <c r="M130" s="140">
        <f ca="1">SUM(M98:M128)</f>
        <v>39362953.75887762</v>
      </c>
      <c r="N130" s="79">
        <f ca="1">IFERROR(O130 / (SUM($C98:$C128) / COUNT($C98:$C128)), 0)</f>
        <v>-0.31852312056119225</v>
      </c>
      <c r="O130" s="138">
        <f ca="1">SUM(O98:O128)</f>
        <v>-637046.24112238456</v>
      </c>
    </row>
    <row r="132" spans="1:15" ht="16.5" customHeight="1" thickBot="1"/>
    <row r="133" spans="1:15" ht="16.5" customHeight="1" thickBot="1">
      <c r="A133" s="262" t="str">
        <f>TEXT(투자전략!$G$1, "[$-ko-KR]yyyy년 mm월 ") &amp; "전일대비 상승률 Top20 월말결산"</f>
        <v>2021년 06월 전일대비 상승률 Top20 월말결산</v>
      </c>
      <c r="B133" s="263"/>
      <c r="C133" s="263"/>
      <c r="D133" s="263"/>
      <c r="E133" s="263"/>
      <c r="F133" s="263"/>
      <c r="G133" s="263"/>
      <c r="H133" s="263"/>
      <c r="I133" s="263"/>
      <c r="J133" s="263"/>
      <c r="K133" s="263"/>
      <c r="L133" s="263"/>
      <c r="M133" s="263"/>
      <c r="N133" s="263"/>
      <c r="O133" s="264"/>
    </row>
    <row r="134" spans="1:15" ht="16.5" customHeight="1" thickBot="1">
      <c r="A134" s="306" t="s">
        <v>309</v>
      </c>
      <c r="B134" s="283" t="s">
        <v>307</v>
      </c>
      <c r="C134" s="285"/>
      <c r="D134" s="283" t="s">
        <v>299</v>
      </c>
      <c r="E134" s="284"/>
      <c r="F134" s="285"/>
      <c r="G134" s="283" t="s">
        <v>300</v>
      </c>
      <c r="H134" s="284"/>
      <c r="I134" s="285"/>
      <c r="J134" s="283" t="s">
        <v>301</v>
      </c>
      <c r="K134" s="284"/>
      <c r="L134" s="285"/>
      <c r="M134" s="283" t="s">
        <v>302</v>
      </c>
      <c r="N134" s="284"/>
      <c r="O134" s="285"/>
    </row>
    <row r="135" spans="1:15" ht="16.5" customHeight="1" thickBot="1">
      <c r="A135" s="299"/>
      <c r="B135" s="154" t="s">
        <v>297</v>
      </c>
      <c r="C135" s="154" t="s">
        <v>42</v>
      </c>
      <c r="D135" s="121" t="s">
        <v>298</v>
      </c>
      <c r="E135" s="133" t="s">
        <v>40</v>
      </c>
      <c r="F135" s="156" t="s">
        <v>41</v>
      </c>
      <c r="G135" s="121" t="s">
        <v>298</v>
      </c>
      <c r="H135" s="133" t="s">
        <v>40</v>
      </c>
      <c r="I135" s="156" t="s">
        <v>41</v>
      </c>
      <c r="J135" s="121" t="s">
        <v>298</v>
      </c>
      <c r="K135" s="133" t="s">
        <v>40</v>
      </c>
      <c r="L135" s="156" t="s">
        <v>41</v>
      </c>
      <c r="M135" s="121" t="s">
        <v>298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1921832.5892241183</v>
      </c>
      <c r="N148" s="77">
        <f t="shared" ca="1" si="50"/>
        <v>-3.908370538794078E-2</v>
      </c>
      <c r="O148" s="137">
        <f t="shared" ca="1" si="51"/>
        <v>-78167.410775881552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>
        <f t="shared" ca="1" si="39"/>
        <v>2000000</v>
      </c>
      <c r="D149" s="140">
        <f t="shared" ca="1" si="40"/>
        <v>2061988.2193936915</v>
      </c>
      <c r="E149" s="79">
        <f t="shared" ca="1" si="41"/>
        <v>3.0994109696845889E-2</v>
      </c>
      <c r="F149" s="138">
        <f t="shared" ca="1" si="42"/>
        <v>61988.21939369179</v>
      </c>
      <c r="G149" s="140">
        <f t="shared" ca="1" si="43"/>
        <v>2086254.3694167116</v>
      </c>
      <c r="H149" s="79">
        <f t="shared" ca="1" si="44"/>
        <v>4.312718470835588E-2</v>
      </c>
      <c r="I149" s="138">
        <f t="shared" ca="1" si="45"/>
        <v>86254.369416711794</v>
      </c>
      <c r="J149" s="140">
        <f t="shared" ca="1" si="46"/>
        <v>2065491.9145589545</v>
      </c>
      <c r="K149" s="79">
        <f t="shared" ca="1" si="47"/>
        <v>3.2745957279477336E-2</v>
      </c>
      <c r="L149" s="138">
        <f t="shared" ca="1" si="48"/>
        <v>65491.914558954682</v>
      </c>
      <c r="M149" s="140">
        <f t="shared" ca="1" si="49"/>
        <v>2114314.927210595</v>
      </c>
      <c r="N149" s="79">
        <f t="shared" ca="1" si="50"/>
        <v>5.7157463605297346E-2</v>
      </c>
      <c r="O149" s="138">
        <f t="shared" ca="1" si="51"/>
        <v>114314.92721059466</v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>
        <f t="shared" ca="1" si="39"/>
        <v>2000000</v>
      </c>
      <c r="D150" s="139">
        <f t="shared" ca="1" si="40"/>
        <v>2169834.6082405173</v>
      </c>
      <c r="E150" s="77">
        <f t="shared" ca="1" si="41"/>
        <v>8.4917304120258733E-2</v>
      </c>
      <c r="F150" s="137">
        <f t="shared" ca="1" si="42"/>
        <v>169834.60824051744</v>
      </c>
      <c r="G150" s="139">
        <f t="shared" ca="1" si="43"/>
        <v>2087677.4119462892</v>
      </c>
      <c r="H150" s="77">
        <f t="shared" ca="1" si="44"/>
        <v>4.3838705973144709E-2</v>
      </c>
      <c r="I150" s="137">
        <f t="shared" ca="1" si="45"/>
        <v>87677.41194628943</v>
      </c>
      <c r="J150" s="139">
        <f t="shared" ca="1" si="46"/>
        <v>2088549.4824494107</v>
      </c>
      <c r="K150" s="77">
        <f t="shared" ca="1" si="47"/>
        <v>4.4274741224705275E-2</v>
      </c>
      <c r="L150" s="137">
        <f t="shared" ca="1" si="48"/>
        <v>88549.482449410541</v>
      </c>
      <c r="M150" s="139">
        <f t="shared" ca="1" si="49"/>
        <v>2066059.4087499543</v>
      </c>
      <c r="N150" s="77">
        <f t="shared" ca="1" si="50"/>
        <v>3.3029704374977313E-2</v>
      </c>
      <c r="O150" s="137">
        <f t="shared" ca="1" si="51"/>
        <v>66059.408749954629</v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>
        <f t="shared" ca="1" si="39"/>
        <v>2000000</v>
      </c>
      <c r="D151" s="139">
        <f t="shared" ca="1" si="40"/>
        <v>1982284.6292876224</v>
      </c>
      <c r="E151" s="77">
        <f t="shared" ca="1" si="41"/>
        <v>-8.8576853561888082E-3</v>
      </c>
      <c r="F151" s="137">
        <f t="shared" ca="1" si="42"/>
        <v>-17715.370712377608</v>
      </c>
      <c r="G151" s="139">
        <f t="shared" ca="1" si="43"/>
        <v>1925926.9427663723</v>
      </c>
      <c r="H151" s="77">
        <f t="shared" ca="1" si="44"/>
        <v>-3.7036528616813849E-2</v>
      </c>
      <c r="I151" s="137">
        <f t="shared" ca="1" si="45"/>
        <v>-74073.057233627682</v>
      </c>
      <c r="J151" s="139">
        <f t="shared" ca="1" si="46"/>
        <v>1874606.4896142185</v>
      </c>
      <c r="K151" s="77">
        <f t="shared" ca="1" si="47"/>
        <v>-6.269675519289071E-2</v>
      </c>
      <c r="L151" s="137">
        <f t="shared" ca="1" si="48"/>
        <v>-125393.51038578144</v>
      </c>
      <c r="M151" s="139">
        <f t="shared" ca="1" si="49"/>
        <v>1879291.1240210643</v>
      </c>
      <c r="N151" s="77">
        <f t="shared" ca="1" si="50"/>
        <v>-6.0354437989467768E-2</v>
      </c>
      <c r="O151" s="137">
        <f t="shared" ca="1" si="51"/>
        <v>-120708.87597893552</v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>
        <f t="shared" ca="1" si="39"/>
        <v>2000000</v>
      </c>
      <c r="D152" s="139">
        <f t="shared" ca="1" si="40"/>
        <v>2017611.9947401162</v>
      </c>
      <c r="E152" s="77">
        <f t="shared" ca="1" si="41"/>
        <v>8.8059973700579559E-3</v>
      </c>
      <c r="F152" s="137">
        <f t="shared" ca="1" si="42"/>
        <v>17611.994740115915</v>
      </c>
      <c r="G152" s="139">
        <f t="shared" ca="1" si="43"/>
        <v>2022293.3180372068</v>
      </c>
      <c r="H152" s="77">
        <f t="shared" ca="1" si="44"/>
        <v>1.114665901860337E-2</v>
      </c>
      <c r="I152" s="137">
        <f t="shared" ca="1" si="45"/>
        <v>22293.31803720674</v>
      </c>
      <c r="J152" s="139">
        <f t="shared" ca="1" si="46"/>
        <v>2017492.2517767153</v>
      </c>
      <c r="K152" s="77">
        <f t="shared" ca="1" si="47"/>
        <v>8.7461258883575858E-3</v>
      </c>
      <c r="L152" s="137">
        <f t="shared" ca="1" si="48"/>
        <v>17492.251776715166</v>
      </c>
      <c r="M152" s="139">
        <f t="shared" ca="1" si="49"/>
        <v>2020776.3802337407</v>
      </c>
      <c r="N152" s="77">
        <f t="shared" ca="1" si="50"/>
        <v>1.0388190116870276E-2</v>
      </c>
      <c r="O152" s="137">
        <f t="shared" ca="1" si="51"/>
        <v>20776.38023374055</v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>
        <f t="shared" ca="1" si="39"/>
        <v>2000000</v>
      </c>
      <c r="D153" s="139">
        <f t="shared" ca="1" si="40"/>
        <v>1974154.4304069362</v>
      </c>
      <c r="E153" s="77">
        <f t="shared" ca="1" si="41"/>
        <v>-1.2922784796531833E-2</v>
      </c>
      <c r="F153" s="137">
        <f t="shared" ca="1" si="42"/>
        <v>-25845.569593063668</v>
      </c>
      <c r="G153" s="139">
        <f t="shared" ca="1" si="43"/>
        <v>1941209.2725400582</v>
      </c>
      <c r="H153" s="77">
        <f t="shared" ca="1" si="44"/>
        <v>-2.9395363729970814E-2</v>
      </c>
      <c r="I153" s="137">
        <f t="shared" ca="1" si="45"/>
        <v>-58790.727459941612</v>
      </c>
      <c r="J153" s="139">
        <f t="shared" ca="1" si="46"/>
        <v>1940773.7533750087</v>
      </c>
      <c r="K153" s="77">
        <f t="shared" ca="1" si="47"/>
        <v>-2.9613123312495687E-2</v>
      </c>
      <c r="L153" s="137">
        <f t="shared" ca="1" si="48"/>
        <v>-59226.246624991385</v>
      </c>
      <c r="M153" s="139">
        <f t="shared" ca="1" si="49"/>
        <v>1894272.963990754</v>
      </c>
      <c r="N153" s="77">
        <f t="shared" ca="1" si="50"/>
        <v>-5.2863518004622967E-2</v>
      </c>
      <c r="O153" s="137">
        <f t="shared" ca="1" si="51"/>
        <v>-105727.03600924595</v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>
        <f t="shared" ca="1" si="39"/>
        <v>2000000</v>
      </c>
      <c r="D154" s="139">
        <f t="shared" ca="1" si="40"/>
        <v>1941905.5671429078</v>
      </c>
      <c r="E154" s="77">
        <f t="shared" ca="1" si="41"/>
        <v>-2.9047216428546109E-2</v>
      </c>
      <c r="F154" s="137">
        <f t="shared" ca="1" si="42"/>
        <v>-58094.432857092223</v>
      </c>
      <c r="G154" s="139">
        <f t="shared" ca="1" si="43"/>
        <v>1943182.0954672215</v>
      </c>
      <c r="H154" s="77">
        <f t="shared" ca="1" si="44"/>
        <v>-2.8408952266389308E-2</v>
      </c>
      <c r="I154" s="137">
        <f t="shared" ca="1" si="45"/>
        <v>-56817.904532778615</v>
      </c>
      <c r="J154" s="139">
        <f t="shared" ca="1" si="46"/>
        <v>1955844.7259455987</v>
      </c>
      <c r="K154" s="77">
        <f t="shared" ca="1" si="47"/>
        <v>-2.207763702720069E-2</v>
      </c>
      <c r="L154" s="137">
        <f t="shared" ca="1" si="48"/>
        <v>-44155.274054401387</v>
      </c>
      <c r="M154" s="139">
        <f t="shared" ca="1" si="49"/>
        <v>1939037.3850127971</v>
      </c>
      <c r="N154" s="77">
        <f t="shared" ca="1" si="50"/>
        <v>-3.0481307493601506E-2</v>
      </c>
      <c r="O154" s="137">
        <f t="shared" ca="1" si="51"/>
        <v>-60962.614987203022</v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>
        <f t="shared" ca="1" si="39"/>
        <v>2000000</v>
      </c>
      <c r="D155" s="139">
        <f t="shared" ca="1" si="40"/>
        <v>1979393.2077276362</v>
      </c>
      <c r="E155" s="77">
        <f t="shared" ca="1" si="41"/>
        <v>-1.0303396136181881E-2</v>
      </c>
      <c r="F155" s="137">
        <f t="shared" ca="1" si="42"/>
        <v>-20606.79227236376</v>
      </c>
      <c r="G155" s="139">
        <f t="shared" ca="1" si="43"/>
        <v>1925761.0423561553</v>
      </c>
      <c r="H155" s="77">
        <f t="shared" ca="1" si="44"/>
        <v>-3.7119478821922305E-2</v>
      </c>
      <c r="I155" s="137">
        <f t="shared" ca="1" si="45"/>
        <v>-74238.957643844624</v>
      </c>
      <c r="J155" s="139">
        <f t="shared" ca="1" si="46"/>
        <v>1856225.2721994657</v>
      </c>
      <c r="K155" s="77">
        <f t="shared" ca="1" si="47"/>
        <v>-7.1887363900267204E-2</v>
      </c>
      <c r="L155" s="137">
        <f t="shared" ca="1" si="48"/>
        <v>-143774.7278005344</v>
      </c>
      <c r="M155" s="139">
        <f t="shared" ca="1" si="49"/>
        <v>2000000</v>
      </c>
      <c r="N155" s="77">
        <f t="shared" ca="1" si="50"/>
        <v>0</v>
      </c>
      <c r="O155" s="137">
        <f t="shared" ca="1" si="51"/>
        <v>0</v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90" t="s">
        <v>308</v>
      </c>
      <c r="B167" s="292"/>
      <c r="C167" s="132" t="s">
        <v>303</v>
      </c>
      <c r="D167" s="150" t="s">
        <v>304</v>
      </c>
      <c r="E167" s="151" t="s">
        <v>305</v>
      </c>
      <c r="F167" s="152" t="s">
        <v>306</v>
      </c>
      <c r="G167" s="150" t="s">
        <v>304</v>
      </c>
      <c r="H167" s="151" t="s">
        <v>305</v>
      </c>
      <c r="I167" s="152" t="s">
        <v>306</v>
      </c>
      <c r="J167" s="150" t="s">
        <v>304</v>
      </c>
      <c r="K167" s="151" t="s">
        <v>305</v>
      </c>
      <c r="L167" s="152" t="s">
        <v>306</v>
      </c>
      <c r="M167" s="150" t="s">
        <v>304</v>
      </c>
      <c r="N167" s="151" t="s">
        <v>305</v>
      </c>
      <c r="O167" s="152" t="s">
        <v>306</v>
      </c>
    </row>
    <row r="168" spans="1:15" ht="16.5" customHeight="1" thickBot="1">
      <c r="A168" s="283"/>
      <c r="B168" s="285"/>
      <c r="C168" s="136">
        <f ca="1">SUM(C136:C166)</f>
        <v>40000000</v>
      </c>
      <c r="D168" s="140">
        <f ca="1">SUM(D136:D166)</f>
        <v>40158565.707869865</v>
      </c>
      <c r="E168" s="79">
        <f ca="1">IFERROR(F168 / (SUM($C136:$C166) / COUNT($C136:$C166)), 0)</f>
        <v>7.9282853934932104E-2</v>
      </c>
      <c r="F168" s="138">
        <f ca="1">SUM(F136:F166)</f>
        <v>158565.70786986421</v>
      </c>
      <c r="G168" s="140">
        <f ca="1">SUM(G136:G166)</f>
        <v>39479262.651738085</v>
      </c>
      <c r="H168" s="79">
        <f ca="1">IFERROR(I168 / (SUM($C136:$C166) / COUNT($C136:$C166)), 0)</f>
        <v>-0.26036867413095521</v>
      </c>
      <c r="I168" s="138">
        <f ca="1">SUM(I136:I166)</f>
        <v>-520737.34826191037</v>
      </c>
      <c r="J168" s="140">
        <f ca="1">SUM(J136:J166)</f>
        <v>39235317.713669576</v>
      </c>
      <c r="K168" s="79">
        <f ca="1">IFERROR(L168 / (SUM($C136:$C166) / COUNT($C136:$C166)), 0)</f>
        <v>-0.38234114316520978</v>
      </c>
      <c r="L168" s="138">
        <f ca="1">SUM(L136:L166)</f>
        <v>-764682.28633041959</v>
      </c>
      <c r="M168" s="140">
        <f ca="1">SUM(M136:M166)</f>
        <v>39262592.753697932</v>
      </c>
      <c r="N168" s="79">
        <f ca="1">IFERROR(O168 / (SUM($C136:$C166) / COUNT($C136:$C166)), 0)</f>
        <v>-0.36870362315103428</v>
      </c>
      <c r="O168" s="138">
        <f ca="1">SUM(O136:O166)</f>
        <v>-737407.24630206858</v>
      </c>
    </row>
    <row r="170" spans="1:15" ht="16.5" customHeight="1" thickBot="1"/>
    <row r="171" spans="1:15" ht="16.5" customHeight="1" thickBot="1">
      <c r="A171" s="262" t="str">
        <f>TEXT(투자전략!$G$1, "[$-ko-KR]yyyy년 mm월 ") &amp; "[엽전코인] 전일대비 상승률 Bottom20 월말결산"</f>
        <v>2021년 06월 [엽전코인] 전일대비 상승률 Bottom20 월말결산</v>
      </c>
      <c r="B171" s="263"/>
      <c r="C171" s="263"/>
      <c r="D171" s="263"/>
      <c r="E171" s="263"/>
      <c r="F171" s="263"/>
      <c r="G171" s="263"/>
      <c r="H171" s="263"/>
      <c r="I171" s="263"/>
      <c r="J171" s="263"/>
      <c r="K171" s="263"/>
      <c r="L171" s="263"/>
      <c r="M171" s="263"/>
      <c r="N171" s="263"/>
      <c r="O171" s="264"/>
    </row>
    <row r="172" spans="1:15" ht="16.5" customHeight="1" thickBot="1">
      <c r="A172" s="306" t="s">
        <v>309</v>
      </c>
      <c r="B172" s="283" t="s">
        <v>307</v>
      </c>
      <c r="C172" s="285"/>
      <c r="D172" s="283" t="s">
        <v>299</v>
      </c>
      <c r="E172" s="284"/>
      <c r="F172" s="285"/>
      <c r="G172" s="283" t="s">
        <v>300</v>
      </c>
      <c r="H172" s="284"/>
      <c r="I172" s="285"/>
      <c r="J172" s="283" t="s">
        <v>301</v>
      </c>
      <c r="K172" s="284"/>
      <c r="L172" s="285"/>
      <c r="M172" s="283" t="s">
        <v>302</v>
      </c>
      <c r="N172" s="284"/>
      <c r="O172" s="285"/>
    </row>
    <row r="173" spans="1:15" ht="16.5" customHeight="1" thickBot="1">
      <c r="A173" s="299"/>
      <c r="B173" s="154" t="s">
        <v>297</v>
      </c>
      <c r="C173" s="154" t="s">
        <v>42</v>
      </c>
      <c r="D173" s="121" t="s">
        <v>298</v>
      </c>
      <c r="E173" s="133" t="s">
        <v>40</v>
      </c>
      <c r="F173" s="156" t="s">
        <v>41</v>
      </c>
      <c r="G173" s="121" t="s">
        <v>298</v>
      </c>
      <c r="H173" s="133" t="s">
        <v>40</v>
      </c>
      <c r="I173" s="156" t="s">
        <v>41</v>
      </c>
      <c r="J173" s="121" t="s">
        <v>298</v>
      </c>
      <c r="K173" s="133" t="s">
        <v>40</v>
      </c>
      <c r="L173" s="156" t="s">
        <v>41</v>
      </c>
      <c r="M173" s="121" t="s">
        <v>298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1774620.7362199218</v>
      </c>
      <c r="N186" s="77">
        <f t="shared" ca="1" si="63"/>
        <v>-0.11268963189003907</v>
      </c>
      <c r="O186" s="137">
        <f t="shared" ca="1" si="64"/>
        <v>-225379.26378007815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>
        <f t="shared" ca="1" si="52"/>
        <v>2000000</v>
      </c>
      <c r="D187" s="140">
        <f t="shared" ca="1" si="53"/>
        <v>2404033.1816021712</v>
      </c>
      <c r="E187" s="79">
        <f t="shared" ca="1" si="54"/>
        <v>0.2020165908010855</v>
      </c>
      <c r="F187" s="138">
        <f t="shared" ca="1" si="55"/>
        <v>404033.18160217098</v>
      </c>
      <c r="G187" s="140">
        <f t="shared" ca="1" si="56"/>
        <v>2535244.4959129682</v>
      </c>
      <c r="H187" s="79">
        <f t="shared" ca="1" si="57"/>
        <v>0.26762224795648415</v>
      </c>
      <c r="I187" s="138">
        <f t="shared" ca="1" si="58"/>
        <v>535244.49591296818</v>
      </c>
      <c r="J187" s="140">
        <f t="shared" ca="1" si="59"/>
        <v>2343451.1829162543</v>
      </c>
      <c r="K187" s="79">
        <f t="shared" ca="1" si="60"/>
        <v>0.17172559145812713</v>
      </c>
      <c r="L187" s="138">
        <f t="shared" ca="1" si="61"/>
        <v>343451.18291625427</v>
      </c>
      <c r="M187" s="140">
        <f t="shared" ca="1" si="62"/>
        <v>2255568.6148559889</v>
      </c>
      <c r="N187" s="79">
        <f t="shared" ca="1" si="63"/>
        <v>0.12778430742799443</v>
      </c>
      <c r="O187" s="138">
        <f t="shared" ca="1" si="64"/>
        <v>255568.61485598882</v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>
        <f t="shared" ca="1" si="52"/>
        <v>2000000</v>
      </c>
      <c r="D188" s="139">
        <f t="shared" ca="1" si="53"/>
        <v>2091613.4324285816</v>
      </c>
      <c r="E188" s="77">
        <f t="shared" ca="1" si="54"/>
        <v>4.5806716214290694E-2</v>
      </c>
      <c r="F188" s="137">
        <f t="shared" ca="1" si="55"/>
        <v>91613.432428581393</v>
      </c>
      <c r="G188" s="139">
        <f t="shared" ca="1" si="56"/>
        <v>2049429.5503554589</v>
      </c>
      <c r="H188" s="77">
        <f t="shared" ca="1" si="57"/>
        <v>2.4714775177729385E-2</v>
      </c>
      <c r="I188" s="137">
        <f t="shared" ca="1" si="58"/>
        <v>49429.550355458778</v>
      </c>
      <c r="J188" s="139">
        <f t="shared" ca="1" si="59"/>
        <v>2049309.4764747557</v>
      </c>
      <c r="K188" s="77">
        <f t="shared" ca="1" si="60"/>
        <v>2.4654738237377953E-2</v>
      </c>
      <c r="L188" s="137">
        <f t="shared" ca="1" si="61"/>
        <v>49309.476474755909</v>
      </c>
      <c r="M188" s="139">
        <f t="shared" ca="1" si="62"/>
        <v>2044656.0213107255</v>
      </c>
      <c r="N188" s="77">
        <f t="shared" ca="1" si="63"/>
        <v>2.2328010655362829E-2</v>
      </c>
      <c r="O188" s="137">
        <f t="shared" ca="1" si="64"/>
        <v>44656.02131072565</v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>
        <f t="shared" ca="1" si="52"/>
        <v>2000000</v>
      </c>
      <c r="D189" s="139">
        <f t="shared" ca="1" si="53"/>
        <v>2038780.3523246122</v>
      </c>
      <c r="E189" s="77">
        <f t="shared" ca="1" si="54"/>
        <v>1.9390176162306122E-2</v>
      </c>
      <c r="F189" s="137">
        <f t="shared" ca="1" si="55"/>
        <v>38780.352324612242</v>
      </c>
      <c r="G189" s="139">
        <f t="shared" ca="1" si="56"/>
        <v>1994896.8213045702</v>
      </c>
      <c r="H189" s="77">
        <f t="shared" ca="1" si="57"/>
        <v>-2.5515893477149137E-3</v>
      </c>
      <c r="I189" s="137">
        <f t="shared" ca="1" si="58"/>
        <v>-5103.1786954298277</v>
      </c>
      <c r="J189" s="139">
        <f t="shared" ca="1" si="59"/>
        <v>1944810.9736247652</v>
      </c>
      <c r="K189" s="77">
        <f t="shared" ca="1" si="60"/>
        <v>-2.7594513187617464E-2</v>
      </c>
      <c r="L189" s="137">
        <f t="shared" ca="1" si="61"/>
        <v>-55189.026375234927</v>
      </c>
      <c r="M189" s="139">
        <f t="shared" ca="1" si="62"/>
        <v>1937113.040381358</v>
      </c>
      <c r="N189" s="77">
        <f t="shared" ca="1" si="63"/>
        <v>-3.1443479809320982E-2</v>
      </c>
      <c r="O189" s="137">
        <f t="shared" ca="1" si="64"/>
        <v>-62886.959618641951</v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>
        <f t="shared" ca="1" si="52"/>
        <v>2000000</v>
      </c>
      <c r="D190" s="139">
        <f t="shared" ca="1" si="53"/>
        <v>1921038.5094869707</v>
      </c>
      <c r="E190" s="77">
        <f t="shared" ca="1" si="54"/>
        <v>-3.9480745256514627E-2</v>
      </c>
      <c r="F190" s="137">
        <f t="shared" ca="1" si="55"/>
        <v>-78961.490513029246</v>
      </c>
      <c r="G190" s="139">
        <f t="shared" ca="1" si="56"/>
        <v>1891780.4215994321</v>
      </c>
      <c r="H190" s="77">
        <f t="shared" ca="1" si="57"/>
        <v>-5.4109789200283996E-2</v>
      </c>
      <c r="I190" s="137">
        <f t="shared" ca="1" si="58"/>
        <v>-108219.57840056799</v>
      </c>
      <c r="J190" s="139">
        <f t="shared" ca="1" si="59"/>
        <v>1875052.5337865199</v>
      </c>
      <c r="K190" s="77">
        <f t="shared" ca="1" si="60"/>
        <v>-6.2473733106740072E-2</v>
      </c>
      <c r="L190" s="137">
        <f t="shared" ca="1" si="61"/>
        <v>-124947.4662134801</v>
      </c>
      <c r="M190" s="139">
        <f t="shared" ca="1" si="62"/>
        <v>1868459.5620635161</v>
      </c>
      <c r="N190" s="77">
        <f t="shared" ca="1" si="63"/>
        <v>-6.577021896824202E-2</v>
      </c>
      <c r="O190" s="137">
        <f t="shared" ca="1" si="64"/>
        <v>-131540.43793648406</v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>
        <f t="shared" ca="1" si="52"/>
        <v>2000000</v>
      </c>
      <c r="D191" s="139">
        <f t="shared" ca="1" si="53"/>
        <v>1800919.0995019926</v>
      </c>
      <c r="E191" s="77">
        <f t="shared" ca="1" si="54"/>
        <v>-9.9540450249003751E-2</v>
      </c>
      <c r="F191" s="137">
        <f t="shared" ca="1" si="55"/>
        <v>-159264.72039840603</v>
      </c>
      <c r="G191" s="139">
        <f t="shared" ca="1" si="56"/>
        <v>1796117.0850150043</v>
      </c>
      <c r="H191" s="77">
        <f t="shared" ca="1" si="57"/>
        <v>-0.10194145749249788</v>
      </c>
      <c r="I191" s="137">
        <f t="shared" ca="1" si="58"/>
        <v>-163106.33198799659</v>
      </c>
      <c r="J191" s="139">
        <f t="shared" ca="1" si="59"/>
        <v>1762852.7563359183</v>
      </c>
      <c r="K191" s="77">
        <f t="shared" ca="1" si="60"/>
        <v>-0.11857362183204083</v>
      </c>
      <c r="L191" s="137">
        <f t="shared" ca="1" si="61"/>
        <v>-189717.79493126535</v>
      </c>
      <c r="M191" s="139">
        <f t="shared" ca="1" si="62"/>
        <v>1737098.2876239324</v>
      </c>
      <c r="N191" s="77">
        <f t="shared" ca="1" si="63"/>
        <v>-0.13145085618803393</v>
      </c>
      <c r="O191" s="137">
        <f t="shared" ca="1" si="64"/>
        <v>-210321.36990085428</v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>
        <f t="shared" ca="1" si="52"/>
        <v>2000000</v>
      </c>
      <c r="D192" s="139">
        <f t="shared" ca="1" si="53"/>
        <v>2014795.9219954177</v>
      </c>
      <c r="E192" s="77">
        <f t="shared" ca="1" si="54"/>
        <v>7.3979609977087952E-3</v>
      </c>
      <c r="F192" s="137">
        <f t="shared" ca="1" si="55"/>
        <v>14795.921995417601</v>
      </c>
      <c r="G192" s="139">
        <f t="shared" ca="1" si="56"/>
        <v>2036123.8973510244</v>
      </c>
      <c r="H192" s="77">
        <f t="shared" ca="1" si="57"/>
        <v>1.8061948675512342E-2</v>
      </c>
      <c r="I192" s="137">
        <f t="shared" ca="1" si="58"/>
        <v>36123.897351024687</v>
      </c>
      <c r="J192" s="139">
        <f t="shared" ca="1" si="59"/>
        <v>2028192.6607270746</v>
      </c>
      <c r="K192" s="77">
        <f t="shared" ca="1" si="60"/>
        <v>1.4096330363537279E-2</v>
      </c>
      <c r="L192" s="137">
        <f t="shared" ca="1" si="61"/>
        <v>28192.660727074566</v>
      </c>
      <c r="M192" s="139">
        <f t="shared" ca="1" si="62"/>
        <v>2002231.4400257492</v>
      </c>
      <c r="N192" s="77">
        <f t="shared" ca="1" si="63"/>
        <v>1.1157200128745625E-3</v>
      </c>
      <c r="O192" s="137">
        <f t="shared" ca="1" si="64"/>
        <v>2231.440025749127</v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>
        <f t="shared" ca="1" si="52"/>
        <v>2000000</v>
      </c>
      <c r="D193" s="139">
        <f t="shared" ca="1" si="53"/>
        <v>2037335.9338020124</v>
      </c>
      <c r="E193" s="77">
        <f t="shared" ca="1" si="54"/>
        <v>1.8667966901006177E-2</v>
      </c>
      <c r="F193" s="137">
        <f t="shared" ca="1" si="55"/>
        <v>37335.933802012361</v>
      </c>
      <c r="G193" s="139">
        <f t="shared" ca="1" si="56"/>
        <v>1982035.1762105837</v>
      </c>
      <c r="H193" s="77">
        <f t="shared" ca="1" si="57"/>
        <v>-8.9824118947081366E-3</v>
      </c>
      <c r="I193" s="137">
        <f t="shared" ca="1" si="58"/>
        <v>-17964.823789416274</v>
      </c>
      <c r="J193" s="139">
        <f t="shared" ca="1" si="59"/>
        <v>1847177.2112035868</v>
      </c>
      <c r="K193" s="77">
        <f t="shared" ca="1" si="60"/>
        <v>-7.6411394398206656E-2</v>
      </c>
      <c r="L193" s="137">
        <f t="shared" ca="1" si="61"/>
        <v>-152822.78879641331</v>
      </c>
      <c r="M193" s="139">
        <f t="shared" ca="1" si="62"/>
        <v>2000000</v>
      </c>
      <c r="N193" s="77">
        <f t="shared" ca="1" si="63"/>
        <v>0</v>
      </c>
      <c r="O193" s="137">
        <f t="shared" ca="1" si="64"/>
        <v>0</v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90" t="s">
        <v>308</v>
      </c>
      <c r="B205" s="292"/>
      <c r="C205" s="132" t="s">
        <v>303</v>
      </c>
      <c r="D205" s="150" t="s">
        <v>304</v>
      </c>
      <c r="E205" s="151" t="s">
        <v>305</v>
      </c>
      <c r="F205" s="152" t="s">
        <v>306</v>
      </c>
      <c r="G205" s="150" t="s">
        <v>304</v>
      </c>
      <c r="H205" s="151" t="s">
        <v>305</v>
      </c>
      <c r="I205" s="152" t="s">
        <v>306</v>
      </c>
      <c r="J205" s="150" t="s">
        <v>304</v>
      </c>
      <c r="K205" s="151" t="s">
        <v>305</v>
      </c>
      <c r="L205" s="152" t="s">
        <v>306</v>
      </c>
      <c r="M205" s="150" t="s">
        <v>304</v>
      </c>
      <c r="N205" s="151" t="s">
        <v>305</v>
      </c>
      <c r="O205" s="152" t="s">
        <v>306</v>
      </c>
    </row>
    <row r="206" spans="1:15" ht="16.5" customHeight="1" thickBot="1">
      <c r="A206" s="283"/>
      <c r="B206" s="285"/>
      <c r="C206" s="136">
        <f ca="1">SUM(C174:C204)</f>
        <v>40000000</v>
      </c>
      <c r="D206" s="140">
        <f ca="1">SUM(D174:D204)</f>
        <v>39955615.348291576</v>
      </c>
      <c r="E206" s="79">
        <f ca="1">IFERROR(F206 / (SUM($C174:$C204) / COUNT($C174:$C204)), 0)</f>
        <v>-2.2842358044080973E-3</v>
      </c>
      <c r="F206" s="138">
        <f ca="1">SUM(F174:F204)</f>
        <v>-4568.4716088161949</v>
      </c>
      <c r="G206" s="140">
        <f ca="1">SUM(G174:G204)</f>
        <v>39684940.925736375</v>
      </c>
      <c r="H206" s="79">
        <f ca="1">IFERROR(I206 / (SUM($C174:$C204) / COUNT($C174:$C204)), 0)</f>
        <v>-0.13714124563331498</v>
      </c>
      <c r="I206" s="138">
        <f ca="1">SUM(I174:I204)</f>
        <v>-274282.49126662995</v>
      </c>
      <c r="J206" s="140">
        <f ca="1">SUM(J174:J204)</f>
        <v>39193336.067307636</v>
      </c>
      <c r="K206" s="79">
        <f ca="1">IFERROR(L206 / (SUM($C174:$C204) / COUNT($C174:$C204)), 0)</f>
        <v>-0.37961724197977731</v>
      </c>
      <c r="L206" s="138">
        <f ca="1">SUM(L174:L204)</f>
        <v>-759234.48395955458</v>
      </c>
      <c r="M206" s="140">
        <f ca="1">SUM(M174:M204)</f>
        <v>39030254.353184037</v>
      </c>
      <c r="N206" s="79">
        <f ca="1">IFERROR(O206 / (SUM($C174:$C204) / COUNT($C174:$C204)), 0)</f>
        <v>-0.45858265217037092</v>
      </c>
      <c r="O206" s="138">
        <f ca="1">SUM(O174:O204)</f>
        <v>-917165.30434074183</v>
      </c>
    </row>
    <row r="208" spans="1:15" ht="16.5" customHeight="1" thickBot="1"/>
    <row r="209" spans="1:15" ht="16.5" customHeight="1" thickBot="1">
      <c r="A209" s="262" t="str">
        <f>TEXT(투자전략!$G$1, "[$-ko-KR]yyyy년 mm월 ") &amp; "[동전코인] 전일대비 상승률 Bottom20 월말결산"</f>
        <v>2021년 06월 [동전코인] 전일대비 상승률 Bottom20 월말결산</v>
      </c>
      <c r="B209" s="263"/>
      <c r="C209" s="263"/>
      <c r="D209" s="263"/>
      <c r="E209" s="263"/>
      <c r="F209" s="263"/>
      <c r="G209" s="263"/>
      <c r="H209" s="263"/>
      <c r="I209" s="263"/>
      <c r="J209" s="263"/>
      <c r="K209" s="263"/>
      <c r="L209" s="263"/>
      <c r="M209" s="263"/>
      <c r="N209" s="263"/>
      <c r="O209" s="264"/>
    </row>
    <row r="210" spans="1:15" ht="16.5" customHeight="1" thickBot="1">
      <c r="A210" s="306" t="s">
        <v>309</v>
      </c>
      <c r="B210" s="283" t="s">
        <v>307</v>
      </c>
      <c r="C210" s="285"/>
      <c r="D210" s="283" t="s">
        <v>299</v>
      </c>
      <c r="E210" s="284"/>
      <c r="F210" s="285"/>
      <c r="G210" s="283" t="s">
        <v>300</v>
      </c>
      <c r="H210" s="284"/>
      <c r="I210" s="285"/>
      <c r="J210" s="283" t="s">
        <v>301</v>
      </c>
      <c r="K210" s="284"/>
      <c r="L210" s="285"/>
      <c r="M210" s="283" t="s">
        <v>302</v>
      </c>
      <c r="N210" s="284"/>
      <c r="O210" s="285"/>
    </row>
    <row r="211" spans="1:15" ht="16.5" customHeight="1" thickBot="1">
      <c r="A211" s="299"/>
      <c r="B211" s="154" t="s">
        <v>297</v>
      </c>
      <c r="C211" s="154" t="s">
        <v>42</v>
      </c>
      <c r="D211" s="121" t="s">
        <v>298</v>
      </c>
      <c r="E211" s="133" t="s">
        <v>40</v>
      </c>
      <c r="F211" s="156" t="s">
        <v>41</v>
      </c>
      <c r="G211" s="121" t="s">
        <v>298</v>
      </c>
      <c r="H211" s="133" t="s">
        <v>40</v>
      </c>
      <c r="I211" s="156" t="s">
        <v>41</v>
      </c>
      <c r="J211" s="121" t="s">
        <v>298</v>
      </c>
      <c r="K211" s="133" t="s">
        <v>40</v>
      </c>
      <c r="L211" s="156" t="s">
        <v>41</v>
      </c>
      <c r="M211" s="121" t="s">
        <v>298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1928785.2997942937</v>
      </c>
      <c r="N224" s="77">
        <f t="shared" ca="1" si="76"/>
        <v>-3.5607350102853076E-2</v>
      </c>
      <c r="O224" s="137">
        <f t="shared" ca="1" si="77"/>
        <v>-71214.700205706147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>
        <f t="shared" ca="1" si="65"/>
        <v>2000000</v>
      </c>
      <c r="D225" s="140">
        <f t="shared" ca="1" si="66"/>
        <v>2280587.6142844362</v>
      </c>
      <c r="E225" s="79">
        <f t="shared" ca="1" si="67"/>
        <v>0.14029380714221806</v>
      </c>
      <c r="F225" s="138">
        <f t="shared" ca="1" si="68"/>
        <v>280587.61428443616</v>
      </c>
      <c r="G225" s="140">
        <f t="shared" ca="1" si="69"/>
        <v>2343574.9515260803</v>
      </c>
      <c r="H225" s="79">
        <f t="shared" ca="1" si="70"/>
        <v>0.17178747576304015</v>
      </c>
      <c r="I225" s="138">
        <f t="shared" ca="1" si="71"/>
        <v>343574.95152608032</v>
      </c>
      <c r="J225" s="140">
        <f t="shared" ca="1" si="72"/>
        <v>2276463.0090671368</v>
      </c>
      <c r="K225" s="79">
        <f t="shared" ca="1" si="73"/>
        <v>0.13823150453356842</v>
      </c>
      <c r="L225" s="138">
        <f t="shared" ca="1" si="74"/>
        <v>276463.00906713679</v>
      </c>
      <c r="M225" s="140">
        <f t="shared" ca="1" si="75"/>
        <v>2265402.4480204913</v>
      </c>
      <c r="N225" s="79">
        <f t="shared" ca="1" si="76"/>
        <v>0.13270122401024573</v>
      </c>
      <c r="O225" s="138">
        <f t="shared" ca="1" si="77"/>
        <v>265402.4480204914</v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>
        <f t="shared" ca="1" si="65"/>
        <v>2000000</v>
      </c>
      <c r="D226" s="139">
        <f t="shared" ca="1" si="66"/>
        <v>2018741.1424675426</v>
      </c>
      <c r="E226" s="77">
        <f t="shared" ca="1" si="67"/>
        <v>9.370571233771172E-3</v>
      </c>
      <c r="F226" s="137">
        <f t="shared" ca="1" si="68"/>
        <v>18741.142467542337</v>
      </c>
      <c r="G226" s="139">
        <f t="shared" ca="1" si="69"/>
        <v>1998343.3978012616</v>
      </c>
      <c r="H226" s="77">
        <f t="shared" ca="1" si="70"/>
        <v>-8.2830109936911952E-4</v>
      </c>
      <c r="I226" s="137">
        <f t="shared" ca="1" si="71"/>
        <v>-1656.6021987382369</v>
      </c>
      <c r="J226" s="139">
        <f t="shared" ca="1" si="72"/>
        <v>1996596.8844234261</v>
      </c>
      <c r="K226" s="77">
        <f t="shared" ca="1" si="73"/>
        <v>-1.7015577882869906E-3</v>
      </c>
      <c r="L226" s="137">
        <f t="shared" ca="1" si="74"/>
        <v>-3403.1155765739809</v>
      </c>
      <c r="M226" s="139">
        <f t="shared" ca="1" si="75"/>
        <v>1991858.7614012887</v>
      </c>
      <c r="N226" s="77">
        <f t="shared" ca="1" si="76"/>
        <v>-4.070619299355668E-3</v>
      </c>
      <c r="O226" s="137">
        <f t="shared" ca="1" si="77"/>
        <v>-8141.2385987113339</v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>
        <f t="shared" ca="1" si="65"/>
        <v>2000000</v>
      </c>
      <c r="D227" s="139">
        <f t="shared" ca="1" si="66"/>
        <v>2007630.2114608628</v>
      </c>
      <c r="E227" s="77">
        <f t="shared" ca="1" si="67"/>
        <v>3.815105730431474E-3</v>
      </c>
      <c r="F227" s="137">
        <f t="shared" ca="1" si="68"/>
        <v>7630.2114608629463</v>
      </c>
      <c r="G227" s="139">
        <f t="shared" ca="1" si="69"/>
        <v>1987128.3222460283</v>
      </c>
      <c r="H227" s="77">
        <f t="shared" ca="1" si="70"/>
        <v>-6.4358388769858608E-3</v>
      </c>
      <c r="I227" s="137">
        <f t="shared" ca="1" si="71"/>
        <v>-12871.677753971722</v>
      </c>
      <c r="J227" s="139">
        <f t="shared" ca="1" si="72"/>
        <v>1938238.6089709885</v>
      </c>
      <c r="K227" s="77">
        <f t="shared" ca="1" si="73"/>
        <v>-3.0880695514505768E-2</v>
      </c>
      <c r="L227" s="137">
        <f t="shared" ca="1" si="74"/>
        <v>-61761.391029011545</v>
      </c>
      <c r="M227" s="139">
        <f t="shared" ca="1" si="75"/>
        <v>1935426.5243777293</v>
      </c>
      <c r="N227" s="77">
        <f t="shared" ca="1" si="76"/>
        <v>-3.2286737811135349E-2</v>
      </c>
      <c r="O227" s="137">
        <f t="shared" ca="1" si="77"/>
        <v>-64573.475622270693</v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>
        <f t="shared" ca="1" si="65"/>
        <v>2000000</v>
      </c>
      <c r="D228" s="139">
        <f t="shared" ca="1" si="66"/>
        <v>1971796.8041090262</v>
      </c>
      <c r="E228" s="77">
        <f t="shared" ca="1" si="67"/>
        <v>-1.4101597945486937E-2</v>
      </c>
      <c r="F228" s="137">
        <f t="shared" ca="1" si="68"/>
        <v>-28203.195890973882</v>
      </c>
      <c r="G228" s="139">
        <f t="shared" ca="1" si="69"/>
        <v>2004468.9611286058</v>
      </c>
      <c r="H228" s="77">
        <f t="shared" ca="1" si="70"/>
        <v>2.2344805643029373E-3</v>
      </c>
      <c r="I228" s="137">
        <f t="shared" ca="1" si="71"/>
        <v>4468.9611286058825</v>
      </c>
      <c r="J228" s="139">
        <f t="shared" ca="1" si="72"/>
        <v>1981509.6607840809</v>
      </c>
      <c r="K228" s="77">
        <f t="shared" ca="1" si="73"/>
        <v>-9.2451696079594893E-3</v>
      </c>
      <c r="L228" s="137">
        <f t="shared" ca="1" si="74"/>
        <v>-18490.339215918979</v>
      </c>
      <c r="M228" s="139">
        <f t="shared" ca="1" si="75"/>
        <v>1975333.6451428968</v>
      </c>
      <c r="N228" s="77">
        <f t="shared" ca="1" si="76"/>
        <v>-1.2333177428551566E-2</v>
      </c>
      <c r="O228" s="137">
        <f t="shared" ca="1" si="77"/>
        <v>-24666.354857103135</v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>
        <f t="shared" ca="1" si="65"/>
        <v>2000000</v>
      </c>
      <c r="D229" s="139">
        <f t="shared" ca="1" si="66"/>
        <v>1926447.8049927142</v>
      </c>
      <c r="E229" s="77">
        <f t="shared" ca="1" si="67"/>
        <v>-3.6776097503642871E-2</v>
      </c>
      <c r="F229" s="137">
        <f t="shared" ca="1" si="68"/>
        <v>-69874.585256921448</v>
      </c>
      <c r="G229" s="139">
        <f t="shared" ca="1" si="69"/>
        <v>1896489.6654611542</v>
      </c>
      <c r="H229" s="77">
        <f t="shared" ca="1" si="70"/>
        <v>-5.1755167269422905E-2</v>
      </c>
      <c r="I229" s="137">
        <f t="shared" ca="1" si="71"/>
        <v>-98334.817811903544</v>
      </c>
      <c r="J229" s="139">
        <f t="shared" ca="1" si="72"/>
        <v>1900446.6839961396</v>
      </c>
      <c r="K229" s="77">
        <f t="shared" ca="1" si="73"/>
        <v>-4.9776658001930221E-2</v>
      </c>
      <c r="L229" s="137">
        <f t="shared" ca="1" si="74"/>
        <v>-94575.65020366745</v>
      </c>
      <c r="M229" s="139">
        <f t="shared" ca="1" si="75"/>
        <v>1859544.041879789</v>
      </c>
      <c r="N229" s="77">
        <f t="shared" ca="1" si="76"/>
        <v>-7.0227979060105444E-2</v>
      </c>
      <c r="O229" s="137">
        <f t="shared" ca="1" si="77"/>
        <v>-133433.16021420032</v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>
        <f t="shared" ca="1" si="65"/>
        <v>2000000</v>
      </c>
      <c r="D230" s="139">
        <f t="shared" ca="1" si="66"/>
        <v>2044709.6500056996</v>
      </c>
      <c r="E230" s="77">
        <f t="shared" ca="1" si="67"/>
        <v>2.235482500284975E-2</v>
      </c>
      <c r="F230" s="137">
        <f t="shared" ca="1" si="68"/>
        <v>44709.650005699506</v>
      </c>
      <c r="G230" s="139">
        <f t="shared" ca="1" si="69"/>
        <v>2049672.5311761436</v>
      </c>
      <c r="H230" s="77">
        <f t="shared" ca="1" si="70"/>
        <v>2.4836265588071733E-2</v>
      </c>
      <c r="I230" s="137">
        <f t="shared" ca="1" si="71"/>
        <v>49672.531176143464</v>
      </c>
      <c r="J230" s="139">
        <f t="shared" ca="1" si="72"/>
        <v>2048352.0133314729</v>
      </c>
      <c r="K230" s="77">
        <f t="shared" ca="1" si="73"/>
        <v>2.4176006665736466E-2</v>
      </c>
      <c r="L230" s="137">
        <f t="shared" ca="1" si="74"/>
        <v>48352.013331472932</v>
      </c>
      <c r="M230" s="139">
        <f t="shared" ca="1" si="75"/>
        <v>2021131.5081042564</v>
      </c>
      <c r="N230" s="77">
        <f t="shared" ca="1" si="76"/>
        <v>1.0565754052128335E-2</v>
      </c>
      <c r="O230" s="137">
        <f t="shared" ca="1" si="77"/>
        <v>21131.508104256674</v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>
        <f t="shared" ca="1" si="65"/>
        <v>2000000</v>
      </c>
      <c r="D231" s="139">
        <f t="shared" ca="1" si="66"/>
        <v>1976487.7651092154</v>
      </c>
      <c r="E231" s="77">
        <f t="shared" ca="1" si="67"/>
        <v>-1.1756117445392268E-2</v>
      </c>
      <c r="F231" s="137">
        <f t="shared" ca="1" si="68"/>
        <v>-23512.234890784541</v>
      </c>
      <c r="G231" s="139">
        <f t="shared" ca="1" si="69"/>
        <v>1940309.3561941399</v>
      </c>
      <c r="H231" s="77">
        <f t="shared" ca="1" si="70"/>
        <v>-2.984532190293001E-2</v>
      </c>
      <c r="I231" s="137">
        <f t="shared" ca="1" si="71"/>
        <v>-59690.643805860018</v>
      </c>
      <c r="J231" s="139">
        <f t="shared" ca="1" si="72"/>
        <v>1836668.426567456</v>
      </c>
      <c r="K231" s="77">
        <f t="shared" ca="1" si="73"/>
        <v>-8.1665786716272046E-2</v>
      </c>
      <c r="L231" s="137">
        <f t="shared" ca="1" si="74"/>
        <v>-163331.57343254407</v>
      </c>
      <c r="M231" s="139">
        <f t="shared" ca="1" si="75"/>
        <v>2000000</v>
      </c>
      <c r="N231" s="77">
        <f t="shared" ca="1" si="76"/>
        <v>0</v>
      </c>
      <c r="O231" s="137">
        <f t="shared" ca="1" si="77"/>
        <v>0</v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90" t="s">
        <v>308</v>
      </c>
      <c r="B243" s="292"/>
      <c r="C243" s="132" t="s">
        <v>303</v>
      </c>
      <c r="D243" s="150" t="s">
        <v>304</v>
      </c>
      <c r="E243" s="151" t="s">
        <v>305</v>
      </c>
      <c r="F243" s="152" t="s">
        <v>306</v>
      </c>
      <c r="G243" s="150" t="s">
        <v>304</v>
      </c>
      <c r="H243" s="151" t="s">
        <v>305</v>
      </c>
      <c r="I243" s="152" t="s">
        <v>306</v>
      </c>
      <c r="J243" s="150" t="s">
        <v>304</v>
      </c>
      <c r="K243" s="151" t="s">
        <v>305</v>
      </c>
      <c r="L243" s="152" t="s">
        <v>306</v>
      </c>
      <c r="M243" s="150" t="s">
        <v>304</v>
      </c>
      <c r="N243" s="151" t="s">
        <v>305</v>
      </c>
      <c r="O243" s="152" t="s">
        <v>306</v>
      </c>
    </row>
    <row r="244" spans="1:15" ht="16.5" customHeight="1" thickBot="1">
      <c r="A244" s="283"/>
      <c r="B244" s="285"/>
      <c r="C244" s="136">
        <f ca="1">SUM(C212:C242)</f>
        <v>40000000</v>
      </c>
      <c r="D244" s="140">
        <f ca="1">SUM(D212:D242)</f>
        <v>39872537.05296573</v>
      </c>
      <c r="E244" s="79">
        <f ca="1">IFERROR(F244 / (SUM($C212:$C242) / COUNT($C212:$C242)), 0)</f>
        <v>-6.1892668641950366E-2</v>
      </c>
      <c r="F244" s="138">
        <f ca="1">SUM(F212:F242)</f>
        <v>-123785.33728390074</v>
      </c>
      <c r="G244" s="140">
        <f ca="1">SUM(G212:G242)</f>
        <v>39832050.819881812</v>
      </c>
      <c r="H244" s="79">
        <f ca="1">IFERROR(I244 / (SUM($C212:$C242) / COUNT($C212:$C242)), 0)</f>
        <v>-8.1386831695620748E-2</v>
      </c>
      <c r="I244" s="138">
        <f ca="1">SUM(I212:I242)</f>
        <v>-162773.66339124148</v>
      </c>
      <c r="J244" s="140">
        <f ca="1">SUM(J212:J242)</f>
        <v>39564596.951399371</v>
      </c>
      <c r="K244" s="79">
        <f ca="1">IFERROR(L244 / (SUM($C212:$C242) / COUNT($C212:$C242)), 0)</f>
        <v>-0.21521269140022214</v>
      </c>
      <c r="L244" s="138">
        <f ca="1">SUM(L212:L242)</f>
        <v>-430425.38280044426</v>
      </c>
      <c r="M244" s="140">
        <f ca="1">SUM(M212:M242)</f>
        <v>39525080.570932165</v>
      </c>
      <c r="N244" s="79">
        <f ca="1">IFERROR(O244 / (SUM($C212:$C242) / COUNT($C212:$C242)), 0)</f>
        <v>-0.23394831558091478</v>
      </c>
      <c r="O244" s="138">
        <f ca="1">SUM(O212:O242)</f>
        <v>-467896.63116182957</v>
      </c>
    </row>
    <row r="246" spans="1:15" ht="16.5" customHeight="1" thickBot="1"/>
    <row r="247" spans="1:15" ht="16.5" customHeight="1" thickBot="1">
      <c r="A247" s="262" t="str">
        <f>TEXT(투자전략!$G$1, "[$-ko-KR]yyyy년 mm월 ") &amp; "전일대비 상승률 Bottom20 월말결산"</f>
        <v>2021년 06월 전일대비 상승률 Bottom20 월말결산</v>
      </c>
      <c r="B247" s="263"/>
      <c r="C247" s="263"/>
      <c r="D247" s="263"/>
      <c r="E247" s="263"/>
      <c r="F247" s="263"/>
      <c r="G247" s="263"/>
      <c r="H247" s="263"/>
      <c r="I247" s="263"/>
      <c r="J247" s="263"/>
      <c r="K247" s="263"/>
      <c r="L247" s="263"/>
      <c r="M247" s="263"/>
      <c r="N247" s="263"/>
      <c r="O247" s="264"/>
    </row>
    <row r="248" spans="1:15" ht="16.5" customHeight="1" thickBot="1">
      <c r="A248" s="306" t="s">
        <v>309</v>
      </c>
      <c r="B248" s="283" t="s">
        <v>307</v>
      </c>
      <c r="C248" s="285"/>
      <c r="D248" s="283" t="s">
        <v>299</v>
      </c>
      <c r="E248" s="284"/>
      <c r="F248" s="285"/>
      <c r="G248" s="283" t="s">
        <v>300</v>
      </c>
      <c r="H248" s="284"/>
      <c r="I248" s="285"/>
      <c r="J248" s="283" t="s">
        <v>301</v>
      </c>
      <c r="K248" s="284"/>
      <c r="L248" s="285"/>
      <c r="M248" s="283" t="s">
        <v>302</v>
      </c>
      <c r="N248" s="284"/>
      <c r="O248" s="285"/>
    </row>
    <row r="249" spans="1:15" ht="16.5" customHeight="1" thickBot="1">
      <c r="A249" s="299"/>
      <c r="B249" s="154" t="s">
        <v>297</v>
      </c>
      <c r="C249" s="154" t="s">
        <v>42</v>
      </c>
      <c r="D249" s="121" t="s">
        <v>298</v>
      </c>
      <c r="E249" s="133" t="s">
        <v>40</v>
      </c>
      <c r="F249" s="156" t="s">
        <v>41</v>
      </c>
      <c r="G249" s="121" t="s">
        <v>298</v>
      </c>
      <c r="H249" s="133" t="s">
        <v>40</v>
      </c>
      <c r="I249" s="156" t="s">
        <v>41</v>
      </c>
      <c r="J249" s="121" t="s">
        <v>298</v>
      </c>
      <c r="K249" s="133" t="s">
        <v>40</v>
      </c>
      <c r="L249" s="156" t="s">
        <v>41</v>
      </c>
      <c r="M249" s="121" t="s">
        <v>298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1743951.5895058869</v>
      </c>
      <c r="N262" s="77">
        <f t="shared" ca="1" si="89"/>
        <v>-0.1280242052470566</v>
      </c>
      <c r="O262" s="137">
        <f t="shared" ca="1" si="90"/>
        <v>-256048.41049411328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>
        <f t="shared" ca="1" si="78"/>
        <v>2000000</v>
      </c>
      <c r="D263" s="140">
        <f t="shared" ca="1" si="79"/>
        <v>2393472.3939661933</v>
      </c>
      <c r="E263" s="79">
        <f t="shared" ca="1" si="80"/>
        <v>0.19673619698309666</v>
      </c>
      <c r="F263" s="138">
        <f t="shared" ca="1" si="81"/>
        <v>393472.39396619331</v>
      </c>
      <c r="G263" s="140">
        <f t="shared" ca="1" si="82"/>
        <v>2485197.5773686296</v>
      </c>
      <c r="H263" s="79">
        <f t="shared" ca="1" si="83"/>
        <v>0.24259878868431484</v>
      </c>
      <c r="I263" s="138">
        <f t="shared" ca="1" si="84"/>
        <v>485197.57736862963</v>
      </c>
      <c r="J263" s="140">
        <f t="shared" ca="1" si="85"/>
        <v>2332164.2886292669</v>
      </c>
      <c r="K263" s="79">
        <f t="shared" ca="1" si="86"/>
        <v>0.16608214431463342</v>
      </c>
      <c r="L263" s="138">
        <f t="shared" ca="1" si="87"/>
        <v>332164.28862926678</v>
      </c>
      <c r="M263" s="140">
        <f t="shared" ca="1" si="88"/>
        <v>2265833.4394825879</v>
      </c>
      <c r="N263" s="79">
        <f t="shared" ca="1" si="89"/>
        <v>0.13291671974129401</v>
      </c>
      <c r="O263" s="138">
        <f t="shared" ca="1" si="90"/>
        <v>265833.43948258803</v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>
        <f t="shared" ca="1" si="78"/>
        <v>2000000</v>
      </c>
      <c r="D264" s="139">
        <f t="shared" ca="1" si="79"/>
        <v>2017842.9258241088</v>
      </c>
      <c r="E264" s="77">
        <f t="shared" ca="1" si="80"/>
        <v>8.9214629120543763E-3</v>
      </c>
      <c r="F264" s="137">
        <f t="shared" ca="1" si="81"/>
        <v>17842.925824108752</v>
      </c>
      <c r="G264" s="139">
        <f t="shared" ca="1" si="82"/>
        <v>1997765.7204000377</v>
      </c>
      <c r="H264" s="77">
        <f t="shared" ca="1" si="83"/>
        <v>-1.1171397999811374E-3</v>
      </c>
      <c r="I264" s="137">
        <f t="shared" ca="1" si="84"/>
        <v>-2234.279599962274</v>
      </c>
      <c r="J264" s="139">
        <f t="shared" ca="1" si="85"/>
        <v>1997506.9963263401</v>
      </c>
      <c r="K264" s="77">
        <f t="shared" ca="1" si="86"/>
        <v>-1.2465018368299035E-3</v>
      </c>
      <c r="L264" s="137">
        <f t="shared" ca="1" si="87"/>
        <v>-2493.0036736598049</v>
      </c>
      <c r="M264" s="139">
        <f t="shared" ca="1" si="88"/>
        <v>1988337.6882478213</v>
      </c>
      <c r="N264" s="77">
        <f t="shared" ca="1" si="89"/>
        <v>-5.8311558760893618E-3</v>
      </c>
      <c r="O264" s="137">
        <f t="shared" ca="1" si="90"/>
        <v>-11662.311752178723</v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>
        <f t="shared" ca="1" si="78"/>
        <v>2000000</v>
      </c>
      <c r="D265" s="139">
        <f t="shared" ca="1" si="79"/>
        <v>2034984.5846757449</v>
      </c>
      <c r="E265" s="77">
        <f t="shared" ca="1" si="80"/>
        <v>1.749229233787232E-2</v>
      </c>
      <c r="F265" s="137">
        <f t="shared" ca="1" si="81"/>
        <v>34984.584675744642</v>
      </c>
      <c r="G265" s="139">
        <f t="shared" ca="1" si="82"/>
        <v>2007365.9484465951</v>
      </c>
      <c r="H265" s="77">
        <f t="shared" ca="1" si="83"/>
        <v>3.6829742232975214E-3</v>
      </c>
      <c r="I265" s="137">
        <f t="shared" ca="1" si="84"/>
        <v>7365.9484465950409</v>
      </c>
      <c r="J265" s="139">
        <f t="shared" ca="1" si="85"/>
        <v>1956943.2612095526</v>
      </c>
      <c r="K265" s="77">
        <f t="shared" ca="1" si="86"/>
        <v>-2.152836939522371E-2</v>
      </c>
      <c r="L265" s="137">
        <f t="shared" ca="1" si="87"/>
        <v>-43056.738790447424</v>
      </c>
      <c r="M265" s="139">
        <f t="shared" ca="1" si="88"/>
        <v>1958635.8272829494</v>
      </c>
      <c r="N265" s="77">
        <f t="shared" ca="1" si="89"/>
        <v>-2.0682086358525351E-2</v>
      </c>
      <c r="O265" s="137">
        <f t="shared" ca="1" si="90"/>
        <v>-41364.1727170507</v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>
        <f t="shared" ca="1" si="78"/>
        <v>2000000</v>
      </c>
      <c r="D266" s="139">
        <f t="shared" ca="1" si="79"/>
        <v>1877173.8387494537</v>
      </c>
      <c r="E266" s="77">
        <f t="shared" ca="1" si="80"/>
        <v>-6.1413080625273155E-2</v>
      </c>
      <c r="F266" s="137">
        <f t="shared" ca="1" si="81"/>
        <v>-122826.16125054628</v>
      </c>
      <c r="G266" s="139">
        <f t="shared" ca="1" si="82"/>
        <v>1895230.9362638968</v>
      </c>
      <c r="H266" s="77">
        <f t="shared" ca="1" si="83"/>
        <v>-5.2384531868051532E-2</v>
      </c>
      <c r="I266" s="137">
        <f t="shared" ca="1" si="84"/>
        <v>-104769.06373610305</v>
      </c>
      <c r="J266" s="139">
        <f t="shared" ca="1" si="85"/>
        <v>1860509.8796971124</v>
      </c>
      <c r="K266" s="77">
        <f t="shared" ca="1" si="86"/>
        <v>-6.9745060151443744E-2</v>
      </c>
      <c r="L266" s="137">
        <f t="shared" ca="1" si="87"/>
        <v>-139490.12030288749</v>
      </c>
      <c r="M266" s="139">
        <f t="shared" ca="1" si="88"/>
        <v>1851329.5587028724</v>
      </c>
      <c r="N266" s="77">
        <f t="shared" ca="1" si="89"/>
        <v>-7.4335220648563766E-2</v>
      </c>
      <c r="O266" s="137">
        <f t="shared" ca="1" si="90"/>
        <v>-148670.44129712752</v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>
        <f t="shared" ca="1" si="78"/>
        <v>2000000</v>
      </c>
      <c r="D267" s="139">
        <f t="shared" ca="1" si="79"/>
        <v>1799545.8307491408</v>
      </c>
      <c r="E267" s="77">
        <f t="shared" ca="1" si="80"/>
        <v>-0.10022708462542956</v>
      </c>
      <c r="F267" s="137">
        <f t="shared" ca="1" si="81"/>
        <v>-150340.62693814436</v>
      </c>
      <c r="G267" s="139">
        <f t="shared" ca="1" si="82"/>
        <v>1777727.4771424499</v>
      </c>
      <c r="H267" s="77">
        <f t="shared" ca="1" si="83"/>
        <v>-0.1111362614287751</v>
      </c>
      <c r="I267" s="137">
        <f t="shared" ca="1" si="84"/>
        <v>-166704.39214316267</v>
      </c>
      <c r="J267" s="139">
        <f t="shared" ca="1" si="85"/>
        <v>1734496.1441519775</v>
      </c>
      <c r="K267" s="77">
        <f t="shared" ca="1" si="86"/>
        <v>-0.1327519279240113</v>
      </c>
      <c r="L267" s="137">
        <f t="shared" ca="1" si="87"/>
        <v>-199127.89188601699</v>
      </c>
      <c r="M267" s="139">
        <f t="shared" ca="1" si="88"/>
        <v>1713478.2460326138</v>
      </c>
      <c r="N267" s="77">
        <f t="shared" ca="1" si="89"/>
        <v>-0.14326087698369308</v>
      </c>
      <c r="O267" s="137">
        <f t="shared" ca="1" si="90"/>
        <v>-214891.31547553962</v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>
        <f t="shared" ca="1" si="78"/>
        <v>2000000</v>
      </c>
      <c r="D268" s="139">
        <f t="shared" ca="1" si="79"/>
        <v>2146825.6106552654</v>
      </c>
      <c r="E268" s="77">
        <f t="shared" ca="1" si="80"/>
        <v>7.3412805327632516E-2</v>
      </c>
      <c r="F268" s="137">
        <f t="shared" ca="1" si="81"/>
        <v>146825.61065526505</v>
      </c>
      <c r="G268" s="139">
        <f t="shared" ca="1" si="82"/>
        <v>2159006.1398961623</v>
      </c>
      <c r="H268" s="77">
        <f t="shared" ca="1" si="83"/>
        <v>7.9503069948081179E-2</v>
      </c>
      <c r="I268" s="137">
        <f t="shared" ca="1" si="84"/>
        <v>159006.13989616235</v>
      </c>
      <c r="J268" s="139">
        <f t="shared" ca="1" si="85"/>
        <v>2129294.279128579</v>
      </c>
      <c r="K268" s="77">
        <f t="shared" ca="1" si="86"/>
        <v>6.4647139564289496E-2</v>
      </c>
      <c r="L268" s="137">
        <f t="shared" ca="1" si="87"/>
        <v>129294.27912857899</v>
      </c>
      <c r="M268" s="139">
        <f t="shared" ca="1" si="88"/>
        <v>2072512.1802140852</v>
      </c>
      <c r="N268" s="77">
        <f t="shared" ca="1" si="89"/>
        <v>3.6256090107042546E-2</v>
      </c>
      <c r="O268" s="137">
        <f t="shared" ca="1" si="90"/>
        <v>72512.180214085107</v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>
        <f t="shared" ca="1" si="78"/>
        <v>2000000</v>
      </c>
      <c r="D269" s="139">
        <f t="shared" ca="1" si="79"/>
        <v>2001515.0509286986</v>
      </c>
      <c r="E269" s="77">
        <f t="shared" ca="1" si="80"/>
        <v>7.5752546434932168E-4</v>
      </c>
      <c r="F269" s="137">
        <f t="shared" ca="1" si="81"/>
        <v>1515.0509286986435</v>
      </c>
      <c r="G269" s="139">
        <f t="shared" ca="1" si="82"/>
        <v>1966598.7917962212</v>
      </c>
      <c r="H269" s="77">
        <f t="shared" ca="1" si="83"/>
        <v>-1.6700604101889498E-2</v>
      </c>
      <c r="I269" s="137">
        <f t="shared" ca="1" si="84"/>
        <v>-33401.208203779002</v>
      </c>
      <c r="J269" s="139">
        <f t="shared" ca="1" si="85"/>
        <v>1838393.4544395194</v>
      </c>
      <c r="K269" s="77">
        <f t="shared" ca="1" si="86"/>
        <v>-8.0803272780240215E-2</v>
      </c>
      <c r="L269" s="137">
        <f t="shared" ca="1" si="87"/>
        <v>-161606.54556048042</v>
      </c>
      <c r="M269" s="139">
        <f t="shared" ca="1" si="88"/>
        <v>2000000</v>
      </c>
      <c r="N269" s="77">
        <f t="shared" ca="1" si="89"/>
        <v>0</v>
      </c>
      <c r="O269" s="137">
        <f t="shared" ca="1" si="90"/>
        <v>0</v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90" t="s">
        <v>308</v>
      </c>
      <c r="B281" s="292"/>
      <c r="C281" s="132" t="s">
        <v>303</v>
      </c>
      <c r="D281" s="150" t="s">
        <v>304</v>
      </c>
      <c r="E281" s="151" t="s">
        <v>305</v>
      </c>
      <c r="F281" s="152" t="s">
        <v>306</v>
      </c>
      <c r="G281" s="150" t="s">
        <v>304</v>
      </c>
      <c r="H281" s="151" t="s">
        <v>305</v>
      </c>
      <c r="I281" s="152" t="s">
        <v>306</v>
      </c>
      <c r="J281" s="150" t="s">
        <v>304</v>
      </c>
      <c r="K281" s="151" t="s">
        <v>305</v>
      </c>
      <c r="L281" s="152" t="s">
        <v>306</v>
      </c>
      <c r="M281" s="150" t="s">
        <v>304</v>
      </c>
      <c r="N281" s="151" t="s">
        <v>305</v>
      </c>
      <c r="O281" s="152" t="s">
        <v>306</v>
      </c>
    </row>
    <row r="282" spans="1:15" ht="16.5" customHeight="1" thickBot="1">
      <c r="A282" s="283"/>
      <c r="B282" s="285"/>
      <c r="C282" s="136">
        <f ca="1">SUM(C250:C280)</f>
        <v>40000000</v>
      </c>
      <c r="D282" s="140">
        <f ca="1">SUM(D250:D280)</f>
        <v>39601927.655415967</v>
      </c>
      <c r="E282" s="79">
        <f ca="1">IFERROR(F282 / (SUM($C250:$C280) / COUNT($C250:$C280)), 0)</f>
        <v>-0.17397940113565652</v>
      </c>
      <c r="F282" s="138">
        <f ca="1">SUM(F250:F280)</f>
        <v>-347958.80227131303</v>
      </c>
      <c r="G282" s="140">
        <f ca="1">SUM(G250:G280)</f>
        <v>39594368.152851313</v>
      </c>
      <c r="H282" s="79">
        <f ca="1">IFERROR(I282 / (SUM($C250:$C280) / COUNT($C250:$C280)), 0)</f>
        <v>-0.17503185821715239</v>
      </c>
      <c r="I282" s="138">
        <f ca="1">SUM(I250:I280)</f>
        <v>-350063.71643430478</v>
      </c>
      <c r="J282" s="140">
        <f ca="1">SUM(J250:J280)</f>
        <v>39043926.569412678</v>
      </c>
      <c r="K282" s="79">
        <f ca="1">IFERROR(L282 / (SUM($C250:$C280) / COUNT($C250:$C280)), 0)</f>
        <v>-0.44484873331265928</v>
      </c>
      <c r="L282" s="138">
        <f ca="1">SUM(L250:L280)</f>
        <v>-889697.46662531851</v>
      </c>
      <c r="M282" s="140">
        <f ca="1">SUM(M250:M280)</f>
        <v>38976578.90420638</v>
      </c>
      <c r="N282" s="79">
        <f ca="1">IFERROR(O282 / (SUM($C250:$C280) / COUNT($C250:$C280)), 0)</f>
        <v>-0.47589532865088841</v>
      </c>
      <c r="O282" s="138">
        <f ca="1">SUM(O250:O280)</f>
        <v>-951790.65730177681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823" priority="323">
      <formula>$E$54 &gt; 0</formula>
    </cfRule>
    <cfRule type="expression" dxfId="3822" priority="324">
      <formula>$E$54 = 0</formula>
    </cfRule>
    <cfRule type="expression" dxfId="3821" priority="325">
      <formula>$E$54 &lt; 0</formula>
    </cfRule>
  </conditionalFormatting>
  <conditionalFormatting sqref="G20:I21 H54:I54">
    <cfRule type="expression" dxfId="3820" priority="320">
      <formula>$H$54 &gt; 0</formula>
    </cfRule>
    <cfRule type="expression" dxfId="3819" priority="321">
      <formula>$H$54 = 0</formula>
    </cfRule>
    <cfRule type="expression" dxfId="3818" priority="322">
      <formula>$H$54 &lt; 0</formula>
    </cfRule>
  </conditionalFormatting>
  <conditionalFormatting sqref="J20:L21 K54:L54">
    <cfRule type="expression" dxfId="3817" priority="317">
      <formula>$K$54 &gt; 0</formula>
    </cfRule>
    <cfRule type="expression" dxfId="3816" priority="318">
      <formula>$K$54 = 0</formula>
    </cfRule>
    <cfRule type="expression" dxfId="3815" priority="319">
      <formula>$K$54 &lt; 0</formula>
    </cfRule>
  </conditionalFormatting>
  <conditionalFormatting sqref="M20:O21 N54:O54">
    <cfRule type="expression" dxfId="3814" priority="314">
      <formula>$N$54 &gt; 0</formula>
    </cfRule>
    <cfRule type="expression" dxfId="3813" priority="315">
      <formula>$N$54 = 0</formula>
    </cfRule>
    <cfRule type="expression" dxfId="3812" priority="316">
      <formula>$N$54 &lt; 0</formula>
    </cfRule>
  </conditionalFormatting>
  <conditionalFormatting sqref="D22:F52">
    <cfRule type="expression" dxfId="3811" priority="299">
      <formula>AND($E22 &gt; 0, ISNUMBER($E22))</formula>
    </cfRule>
    <cfRule type="expression" dxfId="3810" priority="300">
      <formula>AND($E22 = 0, ISNUMBER($E22))</formula>
    </cfRule>
    <cfRule type="expression" dxfId="3809" priority="301">
      <formula>AND($E22 &lt; 0, ISNUMBER($E22))</formula>
    </cfRule>
  </conditionalFormatting>
  <conditionalFormatting sqref="G22:I52">
    <cfRule type="expression" dxfId="3808" priority="296">
      <formula>AND($H22 &gt; 0, ISNUMBER($H22))</formula>
    </cfRule>
    <cfRule type="expression" dxfId="3807" priority="297">
      <formula>AND($H22 = 0, ISNUMBER($H22))</formula>
    </cfRule>
    <cfRule type="expression" dxfId="3806" priority="298">
      <formula>AND($H22 &lt; 0, ISNUMBER($H22))</formula>
    </cfRule>
  </conditionalFormatting>
  <conditionalFormatting sqref="J22:L52">
    <cfRule type="expression" dxfId="3805" priority="293">
      <formula>AND($K22 &gt; 0, ISNUMBER($K22))</formula>
    </cfRule>
    <cfRule type="expression" dxfId="3804" priority="294">
      <formula>AND($K22 = 0, ISNUMBER($K22))</formula>
    </cfRule>
    <cfRule type="expression" dxfId="3803" priority="295">
      <formula>AND($K22 &lt; 0, ISNUMBER($K22))</formula>
    </cfRule>
  </conditionalFormatting>
  <conditionalFormatting sqref="M22:O52">
    <cfRule type="expression" dxfId="3802" priority="290">
      <formula>AND($N22 &gt; 0, ISNUMBER($N22))</formula>
    </cfRule>
    <cfRule type="expression" dxfId="3801" priority="291">
      <formula>AND($N22 = 0, ISNUMBER($N22))</formula>
    </cfRule>
    <cfRule type="expression" dxfId="3800" priority="292">
      <formula>AND($N22 &lt; 0, ISNUMBER($N22))</formula>
    </cfRule>
  </conditionalFormatting>
  <conditionalFormatting sqref="D58:F59 E92:F92">
    <cfRule type="expression" dxfId="3799" priority="287">
      <formula>$E$92 &gt; 0</formula>
    </cfRule>
    <cfRule type="expression" dxfId="3798" priority="288">
      <formula>$E$92 = 0</formula>
    </cfRule>
    <cfRule type="expression" dxfId="3797" priority="289">
      <formula>$E$92 &lt; 0</formula>
    </cfRule>
  </conditionalFormatting>
  <conditionalFormatting sqref="G58:I59 H92:I92">
    <cfRule type="expression" dxfId="3796" priority="284">
      <formula>$H$92 &gt; 0</formula>
    </cfRule>
    <cfRule type="expression" dxfId="3795" priority="285">
      <formula>$H$92 = 0</formula>
    </cfRule>
    <cfRule type="expression" dxfId="3794" priority="286">
      <formula>$H$92 &lt; 0</formula>
    </cfRule>
  </conditionalFormatting>
  <conditionalFormatting sqref="J58:L59 K92:L92">
    <cfRule type="expression" dxfId="3793" priority="281">
      <formula>$K$92 &gt; 0</formula>
    </cfRule>
    <cfRule type="expression" dxfId="3792" priority="282">
      <formula>$K$92 = 0</formula>
    </cfRule>
    <cfRule type="expression" dxfId="3791" priority="283">
      <formula>$K$92 &lt; 0</formula>
    </cfRule>
  </conditionalFormatting>
  <conditionalFormatting sqref="M58:O59 N92:O92">
    <cfRule type="expression" dxfId="3790" priority="278">
      <formula>$N$92 &gt; 0</formula>
    </cfRule>
    <cfRule type="expression" dxfId="3789" priority="279">
      <formula>$N$92 = 0</formula>
    </cfRule>
    <cfRule type="expression" dxfId="3788" priority="280">
      <formula>$N$92 &lt; 0</formula>
    </cfRule>
  </conditionalFormatting>
  <conditionalFormatting sqref="D60:F90">
    <cfRule type="expression" dxfId="3787" priority="275">
      <formula>AND($E60 &gt; 0, ISNUMBER($E60))</formula>
    </cfRule>
    <cfRule type="expression" dxfId="3786" priority="276">
      <formula>AND($E60 = 0, ISNUMBER($E60))</formula>
    </cfRule>
    <cfRule type="expression" dxfId="3785" priority="277">
      <formula>AND($E60 &lt; 0, ISNUMBER($E60))</formula>
    </cfRule>
  </conditionalFormatting>
  <conditionalFormatting sqref="G60:I90">
    <cfRule type="expression" dxfId="3784" priority="272">
      <formula>AND($H60 &gt; 0, ISNUMBER($H60))</formula>
    </cfRule>
    <cfRule type="expression" dxfId="3783" priority="273">
      <formula>AND($H60 = 0, ISNUMBER($H60))</formula>
    </cfRule>
    <cfRule type="expression" dxfId="3782" priority="274">
      <formula>AND($H60 &lt; 0, ISNUMBER($H60))</formula>
    </cfRule>
  </conditionalFormatting>
  <conditionalFormatting sqref="J60:L90">
    <cfRule type="expression" dxfId="3781" priority="269">
      <formula>AND($K60 &gt; 0, ISNUMBER($K60))</formula>
    </cfRule>
    <cfRule type="expression" dxfId="3780" priority="270">
      <formula>AND($K60 = 0, ISNUMBER($K60))</formula>
    </cfRule>
    <cfRule type="expression" dxfId="3779" priority="271">
      <formula>AND($K60 &lt; 0, ISNUMBER($K60))</formula>
    </cfRule>
  </conditionalFormatting>
  <conditionalFormatting sqref="M60:O90">
    <cfRule type="expression" dxfId="3778" priority="266">
      <formula>AND($N60 &gt; 0, ISNUMBER($N60))</formula>
    </cfRule>
    <cfRule type="expression" dxfId="3777" priority="267">
      <formula>AND($N60 = 0, ISNUMBER($N60))</formula>
    </cfRule>
    <cfRule type="expression" dxfId="3776" priority="268">
      <formula>AND($N60 &lt; 0, ISNUMBER($N60))</formula>
    </cfRule>
  </conditionalFormatting>
  <conditionalFormatting sqref="D96:F97 E130:F130">
    <cfRule type="expression" dxfId="3775" priority="263">
      <formula>$E$130 &gt; 0</formula>
    </cfRule>
    <cfRule type="expression" dxfId="3774" priority="264">
      <formula>$E$130 = 0</formula>
    </cfRule>
    <cfRule type="expression" dxfId="3773" priority="265">
      <formula>$E$130 &lt; 0</formula>
    </cfRule>
  </conditionalFormatting>
  <conditionalFormatting sqref="G96:I97 H130:I130">
    <cfRule type="expression" dxfId="3772" priority="260">
      <formula>$H$130 &gt; 0</formula>
    </cfRule>
    <cfRule type="expression" dxfId="3771" priority="261">
      <formula>$H$130 = 0</formula>
    </cfRule>
    <cfRule type="expression" dxfId="3770" priority="262">
      <formula>$H$130 &lt; 0</formula>
    </cfRule>
  </conditionalFormatting>
  <conditionalFormatting sqref="J96:L97 K130:L130">
    <cfRule type="expression" dxfId="3769" priority="257">
      <formula>$K$130 &gt; 0</formula>
    </cfRule>
    <cfRule type="expression" dxfId="3768" priority="258">
      <formula>$K$130 = 0</formula>
    </cfRule>
    <cfRule type="expression" dxfId="3767" priority="259">
      <formula>$K$130 &lt; 0</formula>
    </cfRule>
  </conditionalFormatting>
  <conditionalFormatting sqref="M96:O97 N130:O130">
    <cfRule type="expression" dxfId="3766" priority="254">
      <formula>$N$130 &gt; 0</formula>
    </cfRule>
    <cfRule type="expression" dxfId="3765" priority="255">
      <formula>$N$130 = 0</formula>
    </cfRule>
    <cfRule type="expression" dxfId="3764" priority="256">
      <formula>$N$130 &lt; 0</formula>
    </cfRule>
  </conditionalFormatting>
  <conditionalFormatting sqref="D98:F128">
    <cfRule type="expression" dxfId="3763" priority="251">
      <formula>AND($E98 &gt; 0, ISNUMBER($E98))</formula>
    </cfRule>
    <cfRule type="expression" dxfId="3762" priority="252">
      <formula>AND($E98 = 0, ISNUMBER($E98))</formula>
    </cfRule>
    <cfRule type="expression" dxfId="3761" priority="253">
      <formula>AND($E98 &lt; 0, ISNUMBER($E98))</formula>
    </cfRule>
  </conditionalFormatting>
  <conditionalFormatting sqref="G98:I128">
    <cfRule type="expression" dxfId="3760" priority="248">
      <formula>AND($H98 &gt; 0, ISNUMBER($H98))</formula>
    </cfRule>
    <cfRule type="expression" dxfId="3759" priority="249">
      <formula>AND($H98 = 0, ISNUMBER($H98))</formula>
    </cfRule>
    <cfRule type="expression" dxfId="3758" priority="250">
      <formula>AND($H98 &lt; 0, ISNUMBER($H98))</formula>
    </cfRule>
  </conditionalFormatting>
  <conditionalFormatting sqref="J98:L128">
    <cfRule type="expression" dxfId="3757" priority="245">
      <formula>AND($K98 &gt; 0, ISNUMBER($K98))</formula>
    </cfRule>
    <cfRule type="expression" dxfId="3756" priority="246">
      <formula>AND($K98 = 0, ISNUMBER($K98))</formula>
    </cfRule>
    <cfRule type="expression" dxfId="3755" priority="247">
      <formula>AND($K98 &lt; 0, ISNUMBER($K98))</formula>
    </cfRule>
  </conditionalFormatting>
  <conditionalFormatting sqref="M98:O128">
    <cfRule type="expression" dxfId="3754" priority="242">
      <formula>AND($N98 &gt; 0, ISNUMBER($N98))</formula>
    </cfRule>
    <cfRule type="expression" dxfId="3753" priority="243">
      <formula>AND($N98 = 0, ISNUMBER($N98))</formula>
    </cfRule>
    <cfRule type="expression" dxfId="3752" priority="244">
      <formula>AND($N98 &lt; 0, ISNUMBER($N98))</formula>
    </cfRule>
  </conditionalFormatting>
  <conditionalFormatting sqref="D134:F135 E168:F168">
    <cfRule type="expression" dxfId="3751" priority="239">
      <formula>$E$168 &gt; 0</formula>
    </cfRule>
    <cfRule type="expression" dxfId="3750" priority="240">
      <formula>$E$168 = 0</formula>
    </cfRule>
    <cfRule type="expression" dxfId="3749" priority="241">
      <formula>$E$168 &lt; 0</formula>
    </cfRule>
  </conditionalFormatting>
  <conditionalFormatting sqref="G134:I135 H168:I168">
    <cfRule type="expression" dxfId="3748" priority="236">
      <formula>$H$168 &gt; 0</formula>
    </cfRule>
    <cfRule type="expression" dxfId="3747" priority="237">
      <formula>$H$168 = 0</formula>
    </cfRule>
    <cfRule type="expression" dxfId="3746" priority="238">
      <formula>$H$168 &lt; 0</formula>
    </cfRule>
  </conditionalFormatting>
  <conditionalFormatting sqref="J134:L135 K168:L168">
    <cfRule type="expression" dxfId="3745" priority="233">
      <formula>$K$168 &gt; 0</formula>
    </cfRule>
    <cfRule type="expression" dxfId="3744" priority="234">
      <formula>$K$168 = 0</formula>
    </cfRule>
    <cfRule type="expression" dxfId="3743" priority="235">
      <formula>$K$168 &lt; 0</formula>
    </cfRule>
  </conditionalFormatting>
  <conditionalFormatting sqref="M134:O135 N168:O168">
    <cfRule type="expression" dxfId="3742" priority="230">
      <formula>$N$168 &gt; 0</formula>
    </cfRule>
    <cfRule type="expression" dxfId="3741" priority="231">
      <formula>$N$168 = 0</formula>
    </cfRule>
    <cfRule type="expression" dxfId="3740" priority="232">
      <formula>$N$168 &lt; 0</formula>
    </cfRule>
  </conditionalFormatting>
  <conditionalFormatting sqref="D136:F166">
    <cfRule type="expression" dxfId="3739" priority="227">
      <formula>AND($E136 &gt; 0, ISNUMBER($E136))</formula>
    </cfRule>
    <cfRule type="expression" dxfId="3738" priority="228">
      <formula>AND($E136 = 0, ISNUMBER($E136))</formula>
    </cfRule>
    <cfRule type="expression" dxfId="3737" priority="229">
      <formula>AND($E136 &lt; 0, ISNUMBER($E136))</formula>
    </cfRule>
  </conditionalFormatting>
  <conditionalFormatting sqref="G136:I166">
    <cfRule type="expression" dxfId="3736" priority="224">
      <formula>AND($H136 &gt; 0, ISNUMBER($H136))</formula>
    </cfRule>
    <cfRule type="expression" dxfId="3735" priority="225">
      <formula>AND($H136 = 0, ISNUMBER($H136))</formula>
    </cfRule>
    <cfRule type="expression" dxfId="3734" priority="226">
      <formula>AND($H136 &lt; 0, ISNUMBER($H136))</formula>
    </cfRule>
  </conditionalFormatting>
  <conditionalFormatting sqref="J136:L166">
    <cfRule type="expression" dxfId="3733" priority="221">
      <formula>AND($K136 &gt; 0, ISNUMBER($K136))</formula>
    </cfRule>
    <cfRule type="expression" dxfId="3732" priority="222">
      <formula>AND($K136 = 0, ISNUMBER($K136))</formula>
    </cfRule>
    <cfRule type="expression" dxfId="3731" priority="223">
      <formula>AND($K136 &lt; 0, ISNUMBER($K136))</formula>
    </cfRule>
  </conditionalFormatting>
  <conditionalFormatting sqref="M136:O166">
    <cfRule type="expression" dxfId="3730" priority="218">
      <formula>AND($N136 &gt; 0, ISNUMBER($N136))</formula>
    </cfRule>
    <cfRule type="expression" dxfId="3729" priority="219">
      <formula>AND($N136 = 0, ISNUMBER($N136))</formula>
    </cfRule>
    <cfRule type="expression" dxfId="3728" priority="220">
      <formula>AND($N136 &lt; 0, ISNUMBER($N136))</formula>
    </cfRule>
  </conditionalFormatting>
  <conditionalFormatting sqref="D172:F173 E206:F206">
    <cfRule type="expression" dxfId="3727" priority="215">
      <formula>$E$206 &gt; 0</formula>
    </cfRule>
    <cfRule type="expression" dxfId="3726" priority="216">
      <formula>$E$206 = 0</formula>
    </cfRule>
    <cfRule type="expression" dxfId="3725" priority="217">
      <formula>$E$206 &lt; 0</formula>
    </cfRule>
  </conditionalFormatting>
  <conditionalFormatting sqref="G172:I173 H206:I206">
    <cfRule type="expression" dxfId="3724" priority="212">
      <formula>$H$206 &gt; 0</formula>
    </cfRule>
    <cfRule type="expression" dxfId="3723" priority="213">
      <formula>$H$206 = 0</formula>
    </cfRule>
    <cfRule type="expression" dxfId="3722" priority="214">
      <formula>$H$206 &lt; 0</formula>
    </cfRule>
  </conditionalFormatting>
  <conditionalFormatting sqref="J172:L173 K206:L206">
    <cfRule type="expression" dxfId="3721" priority="209">
      <formula>$K$206 &gt; 0</formula>
    </cfRule>
    <cfRule type="expression" dxfId="3720" priority="210">
      <formula>$K$206 = 0</formula>
    </cfRule>
    <cfRule type="expression" dxfId="3719" priority="211">
      <formula>$K$206 &lt; 0</formula>
    </cfRule>
  </conditionalFormatting>
  <conditionalFormatting sqref="M172:O173 N206:O206">
    <cfRule type="expression" dxfId="3718" priority="206">
      <formula>$N$206 &gt; 0</formula>
    </cfRule>
    <cfRule type="expression" dxfId="3717" priority="207">
      <formula>$N$206 = 0</formula>
    </cfRule>
    <cfRule type="expression" dxfId="3716" priority="208">
      <formula>$N$206 &lt; 0</formula>
    </cfRule>
  </conditionalFormatting>
  <conditionalFormatting sqref="D174:F204">
    <cfRule type="expression" dxfId="3715" priority="203">
      <formula>AND($E174 &gt; 0, ISNUMBER($E174))</formula>
    </cfRule>
    <cfRule type="expression" dxfId="3714" priority="204">
      <formula>AND($E174 = 0, ISNUMBER($E174))</formula>
    </cfRule>
    <cfRule type="expression" dxfId="3713" priority="205">
      <formula>AND($E174 &lt; 0, ISNUMBER($E174))</formula>
    </cfRule>
  </conditionalFormatting>
  <conditionalFormatting sqref="G174:I204">
    <cfRule type="expression" dxfId="3712" priority="200">
      <formula>AND($H174 &gt; 0, ISNUMBER($H174))</formula>
    </cfRule>
    <cfRule type="expression" dxfId="3711" priority="201">
      <formula>AND($H174 = 0, ISNUMBER($H174))</formula>
    </cfRule>
    <cfRule type="expression" dxfId="3710" priority="202">
      <formula>AND($H174 &lt; 0, ISNUMBER($H174))</formula>
    </cfRule>
  </conditionalFormatting>
  <conditionalFormatting sqref="J174:L204">
    <cfRule type="expression" dxfId="3709" priority="197">
      <formula>AND($K174 &gt; 0, ISNUMBER($K174))</formula>
    </cfRule>
    <cfRule type="expression" dxfId="3708" priority="198">
      <formula>AND($K174 = 0, ISNUMBER($K174))</formula>
    </cfRule>
    <cfRule type="expression" dxfId="3707" priority="199">
      <formula>AND($K174 &lt; 0, ISNUMBER($K174))</formula>
    </cfRule>
  </conditionalFormatting>
  <conditionalFormatting sqref="M174:O204">
    <cfRule type="expression" dxfId="3706" priority="194">
      <formula>AND($N174 &gt; 0, ISNUMBER($N174))</formula>
    </cfRule>
    <cfRule type="expression" dxfId="3705" priority="195">
      <formula>AND($N174 = 0, ISNUMBER($N174))</formula>
    </cfRule>
    <cfRule type="expression" dxfId="3704" priority="196">
      <formula>AND($N174 &lt; 0, ISNUMBER($N174))</formula>
    </cfRule>
  </conditionalFormatting>
  <conditionalFormatting sqref="D210:F211 E244:F244">
    <cfRule type="expression" dxfId="3703" priority="191">
      <formula>$E$244 &gt; 0</formula>
    </cfRule>
    <cfRule type="expression" dxfId="3702" priority="192">
      <formula>$E$244 = 0</formula>
    </cfRule>
    <cfRule type="expression" dxfId="3701" priority="193">
      <formula>$E$244 &lt; 0</formula>
    </cfRule>
  </conditionalFormatting>
  <conditionalFormatting sqref="G210:I211 H244:I244">
    <cfRule type="expression" dxfId="3700" priority="188">
      <formula>$H$244 &gt; 0</formula>
    </cfRule>
    <cfRule type="expression" dxfId="3699" priority="189">
      <formula>$H$244 = 0</formula>
    </cfRule>
    <cfRule type="expression" dxfId="3698" priority="190">
      <formula>$H$244 &lt; 0</formula>
    </cfRule>
  </conditionalFormatting>
  <conditionalFormatting sqref="J210:L211 K244:L244">
    <cfRule type="expression" dxfId="3697" priority="185">
      <formula>$K$244 &gt; 0</formula>
    </cfRule>
    <cfRule type="expression" dxfId="3696" priority="186">
      <formula>$K$244 = 0</formula>
    </cfRule>
    <cfRule type="expression" dxfId="3695" priority="187">
      <formula>$K$244 &lt; 0</formula>
    </cfRule>
  </conditionalFormatting>
  <conditionalFormatting sqref="M210:O211 N244:O244">
    <cfRule type="expression" dxfId="3694" priority="182">
      <formula>$N$244 &gt; 0</formula>
    </cfRule>
    <cfRule type="expression" dxfId="3693" priority="183">
      <formula>$N$244 = 0</formula>
    </cfRule>
    <cfRule type="expression" dxfId="3692" priority="184">
      <formula>$N$244 &lt; 0</formula>
    </cfRule>
  </conditionalFormatting>
  <conditionalFormatting sqref="D212:F242">
    <cfRule type="expression" dxfId="3691" priority="179">
      <formula>AND($E212 &gt; 0, ISNUMBER($E212))</formula>
    </cfRule>
    <cfRule type="expression" dxfId="3690" priority="180">
      <formula>AND($E212 = 0, ISNUMBER($E212))</formula>
    </cfRule>
    <cfRule type="expression" dxfId="3689" priority="181">
      <formula>AND($E212 &lt; 0, ISNUMBER($E212))</formula>
    </cfRule>
  </conditionalFormatting>
  <conditionalFormatting sqref="G212:I242">
    <cfRule type="expression" dxfId="3688" priority="176">
      <formula>AND($H212 &gt; 0, ISNUMBER($H212))</formula>
    </cfRule>
    <cfRule type="expression" dxfId="3687" priority="177">
      <formula>AND($H212 = 0, ISNUMBER($H212))</formula>
    </cfRule>
    <cfRule type="expression" dxfId="3686" priority="178">
      <formula>AND($H212 &lt; 0, ISNUMBER($H212))</formula>
    </cfRule>
  </conditionalFormatting>
  <conditionalFormatting sqref="J212:L242">
    <cfRule type="expression" dxfId="3685" priority="173">
      <formula>AND($K212 &gt; 0, ISNUMBER($K212))</formula>
    </cfRule>
    <cfRule type="expression" dxfId="3684" priority="174">
      <formula>AND($K212 = 0, ISNUMBER($K212))</formula>
    </cfRule>
    <cfRule type="expression" dxfId="3683" priority="175">
      <formula>AND($K212 &lt; 0, ISNUMBER($K212))</formula>
    </cfRule>
  </conditionalFormatting>
  <conditionalFormatting sqref="M212:O242">
    <cfRule type="expression" dxfId="3682" priority="170">
      <formula>AND($N212 &gt; 0, ISNUMBER($N212))</formula>
    </cfRule>
    <cfRule type="expression" dxfId="3681" priority="171">
      <formula>AND($N212 = 0, ISNUMBER($N212))</formula>
    </cfRule>
    <cfRule type="expression" dxfId="3680" priority="172">
      <formula>AND($N212 &lt; 0, ISNUMBER($N212))</formula>
    </cfRule>
  </conditionalFormatting>
  <conditionalFormatting sqref="D248:F249 E282:F282">
    <cfRule type="expression" dxfId="3679" priority="167">
      <formula>$E$282 &gt; 0</formula>
    </cfRule>
    <cfRule type="expression" dxfId="3678" priority="168">
      <formula>$E$282 = 0</formula>
    </cfRule>
    <cfRule type="expression" dxfId="3677" priority="169">
      <formula>$E$282 &lt; 0</formula>
    </cfRule>
  </conditionalFormatting>
  <conditionalFormatting sqref="G248:I249 H282:I282">
    <cfRule type="expression" dxfId="3676" priority="164">
      <formula>$H$282 &gt; 0</formula>
    </cfRule>
    <cfRule type="expression" dxfId="3675" priority="165">
      <formula>$H$282 = 0</formula>
    </cfRule>
    <cfRule type="expression" dxfId="3674" priority="166">
      <formula>$H$282 &lt; 0</formula>
    </cfRule>
  </conditionalFormatting>
  <conditionalFormatting sqref="J248:L249 K282:L282">
    <cfRule type="expression" dxfId="3673" priority="161">
      <formula>$K$282 &gt; 0</formula>
    </cfRule>
    <cfRule type="expression" dxfId="3672" priority="162">
      <formula>$K$282 = 0</formula>
    </cfRule>
    <cfRule type="expression" dxfId="3671" priority="163">
      <formula>$K$282 &lt; 0</formula>
    </cfRule>
  </conditionalFormatting>
  <conditionalFormatting sqref="M248:O249 N282:O282">
    <cfRule type="expression" dxfId="3670" priority="158">
      <formula>$N$282 &gt; 0</formula>
    </cfRule>
    <cfRule type="expression" dxfId="3669" priority="159">
      <formula>$N$282 = 0</formula>
    </cfRule>
    <cfRule type="expression" dxfId="3668" priority="160">
      <formula>$N$282 &lt; 0</formula>
    </cfRule>
  </conditionalFormatting>
  <conditionalFormatting sqref="D250:F280">
    <cfRule type="expression" dxfId="3667" priority="155">
      <formula>AND($E250 &gt; 0, ISNUMBER($E250))</formula>
    </cfRule>
    <cfRule type="expression" dxfId="3666" priority="156">
      <formula>AND($E250 = 0, ISNUMBER($E250))</formula>
    </cfRule>
    <cfRule type="expression" dxfId="3665" priority="157">
      <formula>AND($E250 &lt; 0, ISNUMBER($E250))</formula>
    </cfRule>
  </conditionalFormatting>
  <conditionalFormatting sqref="G250:I280">
    <cfRule type="expression" dxfId="3664" priority="152">
      <formula>AND($H250 &gt; 0, ISNUMBER($H250))</formula>
    </cfRule>
    <cfRule type="expression" dxfId="3663" priority="153">
      <formula>AND($H250 = 0, ISNUMBER($H250))</formula>
    </cfRule>
    <cfRule type="expression" dxfId="3662" priority="154">
      <formula>AND($H250 &lt; 0, ISNUMBER($H250))</formula>
    </cfRule>
  </conditionalFormatting>
  <conditionalFormatting sqref="J250:L280">
    <cfRule type="expression" dxfId="3661" priority="149">
      <formula>AND($K250 &gt; 0, ISNUMBER($K250))</formula>
    </cfRule>
    <cfRule type="expression" dxfId="3660" priority="150">
      <formula>AND($K250 = 0, ISNUMBER($K250))</formula>
    </cfRule>
    <cfRule type="expression" dxfId="3659" priority="151">
      <formula>AND($K250 &lt; 0, ISNUMBER($K250))</formula>
    </cfRule>
  </conditionalFormatting>
  <conditionalFormatting sqref="M250:O280">
    <cfRule type="expression" dxfId="3658" priority="146">
      <formula>AND($N250 &gt; 0, ISNUMBER($N250))</formula>
    </cfRule>
    <cfRule type="expression" dxfId="3657" priority="147">
      <formula>AND($N250 = 0, ISNUMBER($N250))</formula>
    </cfRule>
    <cfRule type="expression" dxfId="3656" priority="148">
      <formula>AND($N250 &lt; 0, ISNUMBER($N250))</formula>
    </cfRule>
  </conditionalFormatting>
  <conditionalFormatting sqref="D5:F6">
    <cfRule type="expression" dxfId="3655" priority="143">
      <formula>$F$130 &gt; 0</formula>
    </cfRule>
    <cfRule type="expression" dxfId="3654" priority="144">
      <formula>$F$130 = 0</formula>
    </cfRule>
    <cfRule type="expression" dxfId="3653" priority="145">
      <formula>$F$130 &lt; 0</formula>
    </cfRule>
  </conditionalFormatting>
  <conditionalFormatting sqref="D7:F8">
    <cfRule type="expression" dxfId="3652" priority="140">
      <formula>$F$206 &gt; 0</formula>
    </cfRule>
    <cfRule type="expression" dxfId="3651" priority="141">
      <formula>$F$206 = 0</formula>
    </cfRule>
    <cfRule type="expression" dxfId="3650" priority="142">
      <formula>$F$206 &lt; 0</formula>
    </cfRule>
  </conditionalFormatting>
  <conditionalFormatting sqref="D9:F10">
    <cfRule type="expression" dxfId="3649" priority="137">
      <formula>$F$244 &gt; 0</formula>
    </cfRule>
    <cfRule type="expression" dxfId="3648" priority="138">
      <formula>$F$244 = 0</formula>
    </cfRule>
    <cfRule type="expression" dxfId="3647" priority="139">
      <formula>$F$244 &lt; 0</formula>
    </cfRule>
  </conditionalFormatting>
  <conditionalFormatting sqref="D11:F12">
    <cfRule type="expression" dxfId="3646" priority="134">
      <formula>$F$168 &gt; 0</formula>
    </cfRule>
    <cfRule type="expression" dxfId="3645" priority="135">
      <formula>$F$168 = 0</formula>
    </cfRule>
    <cfRule type="expression" dxfId="3644" priority="136">
      <formula>$F$168 &lt; 0</formula>
    </cfRule>
  </conditionalFormatting>
  <conditionalFormatting sqref="D13:F14">
    <cfRule type="expression" dxfId="3643" priority="92">
      <formula>$F$282 &gt; 0</formula>
    </cfRule>
    <cfRule type="expression" dxfId="3642" priority="93">
      <formula>$F$282 = 0</formula>
    </cfRule>
    <cfRule type="expression" dxfId="3641" priority="94">
      <formula>$F$282 &lt; 0</formula>
    </cfRule>
  </conditionalFormatting>
  <conditionalFormatting sqref="D15:F16">
    <cfRule type="expression" dxfId="3640" priority="77">
      <formula>$F$54 &gt; 0</formula>
    </cfRule>
    <cfRule type="expression" dxfId="3639" priority="78">
      <formula>$F$54 = 0</formula>
    </cfRule>
    <cfRule type="expression" dxfId="3638" priority="79">
      <formula>$F$54 &lt; 0</formula>
    </cfRule>
  </conditionalFormatting>
  <conditionalFormatting sqref="G5:I6">
    <cfRule type="expression" dxfId="3637" priority="65">
      <formula>$I$130 &gt; 0</formula>
    </cfRule>
    <cfRule type="expression" dxfId="3636" priority="66">
      <formula>$I$130 = 0</formula>
    </cfRule>
    <cfRule type="expression" dxfId="3635" priority="67">
      <formula>$I$130 &lt; 0</formula>
    </cfRule>
  </conditionalFormatting>
  <conditionalFormatting sqref="G7:I8">
    <cfRule type="expression" dxfId="3634" priority="62">
      <formula>$I$206 &gt; 0</formula>
    </cfRule>
    <cfRule type="expression" dxfId="3633" priority="63">
      <formula>$I$206 = 0</formula>
    </cfRule>
    <cfRule type="expression" dxfId="3632" priority="64">
      <formula>$I$206 &lt; 0</formula>
    </cfRule>
  </conditionalFormatting>
  <conditionalFormatting sqref="G9:I10">
    <cfRule type="expression" dxfId="3631" priority="59">
      <formula>$I$244 &gt; 0</formula>
    </cfRule>
    <cfRule type="expression" dxfId="3630" priority="60">
      <formula>$I$244 = 0</formula>
    </cfRule>
    <cfRule type="expression" dxfId="3629" priority="61">
      <formula>$I$244 &lt; 0</formula>
    </cfRule>
  </conditionalFormatting>
  <conditionalFormatting sqref="G11:I12">
    <cfRule type="expression" dxfId="3628" priority="56">
      <formula>$I$168 &gt; 0</formula>
    </cfRule>
    <cfRule type="expression" dxfId="3627" priority="57">
      <formula>$I$168 = 0</formula>
    </cfRule>
    <cfRule type="expression" dxfId="3626" priority="58">
      <formula>$I$168 &lt; 0</formula>
    </cfRule>
  </conditionalFormatting>
  <conditionalFormatting sqref="G13:I14">
    <cfRule type="expression" dxfId="3625" priority="53">
      <formula>$I$282 &gt; 0</formula>
    </cfRule>
    <cfRule type="expression" dxfId="3624" priority="54">
      <formula>$I$282 = 0</formula>
    </cfRule>
    <cfRule type="expression" dxfId="3623" priority="55">
      <formula>$I$282 &lt; 0</formula>
    </cfRule>
  </conditionalFormatting>
  <conditionalFormatting sqref="G15:I16">
    <cfRule type="expression" dxfId="3622" priority="50">
      <formula>$I$54 &gt; 0</formula>
    </cfRule>
    <cfRule type="expression" dxfId="3621" priority="51">
      <formula>$I$54 = 0</formula>
    </cfRule>
    <cfRule type="expression" dxfId="3620" priority="52">
      <formula>$I$54 &lt; 0</formula>
    </cfRule>
  </conditionalFormatting>
  <conditionalFormatting sqref="J5:L6">
    <cfRule type="expression" dxfId="3619" priority="47">
      <formula>$L$130 &gt; 0</formula>
    </cfRule>
    <cfRule type="expression" dxfId="3618" priority="48">
      <formula>$L$130 = 0</formula>
    </cfRule>
    <cfRule type="expression" dxfId="3617" priority="49">
      <formula>$L$130 &lt; 0</formula>
    </cfRule>
  </conditionalFormatting>
  <conditionalFormatting sqref="J7:L8">
    <cfRule type="expression" dxfId="3616" priority="44">
      <formula>$L$206 &gt; 0</formula>
    </cfRule>
    <cfRule type="expression" dxfId="3615" priority="45">
      <formula>$L$206 = 0</formula>
    </cfRule>
    <cfRule type="expression" dxfId="3614" priority="46">
      <formula>$L$206 &lt; 0</formula>
    </cfRule>
  </conditionalFormatting>
  <conditionalFormatting sqref="J9:L10">
    <cfRule type="expression" dxfId="3613" priority="41">
      <formula>$L$244 &gt; 0</formula>
    </cfRule>
    <cfRule type="expression" dxfId="3612" priority="42">
      <formula>$L$244 = 0</formula>
    </cfRule>
    <cfRule type="expression" dxfId="3611" priority="43">
      <formula>$L$244 &lt; 0</formula>
    </cfRule>
  </conditionalFormatting>
  <conditionalFormatting sqref="J11:L12">
    <cfRule type="expression" dxfId="3610" priority="38">
      <formula>$L$168 &gt; 0</formula>
    </cfRule>
    <cfRule type="expression" dxfId="3609" priority="39">
      <formula>$L$168 = 0</formula>
    </cfRule>
    <cfRule type="expression" dxfId="3608" priority="40">
      <formula>$L$168 &lt; 0</formula>
    </cfRule>
  </conditionalFormatting>
  <conditionalFormatting sqref="J13:L14">
    <cfRule type="expression" dxfId="3607" priority="35">
      <formula>$L$282 &gt; 0</formula>
    </cfRule>
    <cfRule type="expression" dxfId="3606" priority="36">
      <formula>$L$282 = 0</formula>
    </cfRule>
    <cfRule type="expression" dxfId="3605" priority="37">
      <formula>$L$282 &lt; 0</formula>
    </cfRule>
  </conditionalFormatting>
  <conditionalFormatting sqref="J15:L16">
    <cfRule type="expression" dxfId="3604" priority="32">
      <formula>$L$54 &gt; 0</formula>
    </cfRule>
    <cfRule type="expression" dxfId="3603" priority="33">
      <formula>$L$54 = 0</formula>
    </cfRule>
    <cfRule type="expression" dxfId="3602" priority="34">
      <formula>$L$54 &lt; 0</formula>
    </cfRule>
  </conditionalFormatting>
  <conditionalFormatting sqref="M5:O6">
    <cfRule type="expression" dxfId="3601" priority="29">
      <formula>$O$130 &gt; 0</formula>
    </cfRule>
    <cfRule type="expression" dxfId="3600" priority="30">
      <formula>$O$130 = 0</formula>
    </cfRule>
    <cfRule type="expression" dxfId="3599" priority="31">
      <formula>$O$130 &lt; 0</formula>
    </cfRule>
  </conditionalFormatting>
  <conditionalFormatting sqref="M7:O8">
    <cfRule type="expression" dxfId="3598" priority="26">
      <formula>$O$206 &gt; 0</formula>
    </cfRule>
    <cfRule type="expression" dxfId="3597" priority="27">
      <formula>$O$206 = 0</formula>
    </cfRule>
    <cfRule type="expression" dxfId="3596" priority="28">
      <formula>$O$206 &lt; 0</formula>
    </cfRule>
  </conditionalFormatting>
  <conditionalFormatting sqref="M9:O10">
    <cfRule type="expression" dxfId="3595" priority="23">
      <formula>$O$244 &gt; 0</formula>
    </cfRule>
    <cfRule type="expression" dxfId="3594" priority="24">
      <formula>$O$244 = 0</formula>
    </cfRule>
    <cfRule type="expression" dxfId="3593" priority="25">
      <formula>$O$244 &lt; 0</formula>
    </cfRule>
  </conditionalFormatting>
  <conditionalFormatting sqref="M11:O12">
    <cfRule type="expression" dxfId="3592" priority="20">
      <formula>$O$168 &gt; 0</formula>
    </cfRule>
    <cfRule type="expression" dxfId="3591" priority="21">
      <formula>$O$168 = 0</formula>
    </cfRule>
    <cfRule type="expression" dxfId="3590" priority="22">
      <formula>$O$168 &lt; 0</formula>
    </cfRule>
  </conditionalFormatting>
  <conditionalFormatting sqref="M13:O14">
    <cfRule type="expression" dxfId="3589" priority="17">
      <formula>$O$282 &gt; 0</formula>
    </cfRule>
    <cfRule type="expression" dxfId="3588" priority="18">
      <formula>$O$282 = 0</formula>
    </cfRule>
    <cfRule type="expression" dxfId="3587" priority="19">
      <formula>$O$282 &lt; 0</formula>
    </cfRule>
  </conditionalFormatting>
  <conditionalFormatting sqref="M15:O16">
    <cfRule type="expression" dxfId="3586" priority="14">
      <formula>$O$54 &gt; 0</formula>
    </cfRule>
    <cfRule type="expression" dxfId="3585" priority="15">
      <formula>$O$54 = 0</formula>
    </cfRule>
    <cfRule type="expression" dxfId="3584" priority="16">
      <formula>$O$54 &lt; 0</formula>
    </cfRule>
  </conditionalFormatting>
  <conditionalFormatting sqref="D3:F4">
    <cfRule type="expression" dxfId="3583" priority="13">
      <formula>$F$92 &lt; 0</formula>
    </cfRule>
    <cfRule type="expression" dxfId="3582" priority="12">
      <formula>$F$92 = 0</formula>
    </cfRule>
    <cfRule type="expression" dxfId="3581" priority="11">
      <formula>$F$92 &gt; 0</formula>
    </cfRule>
  </conditionalFormatting>
  <conditionalFormatting sqref="G3:I4">
    <cfRule type="expression" dxfId="3580" priority="10">
      <formula>$I$92 &lt; 0</formula>
    </cfRule>
    <cfRule type="expression" dxfId="3579" priority="9">
      <formula>$I$92 = 0</formula>
    </cfRule>
    <cfRule type="expression" dxfId="3578" priority="8">
      <formula>$I$92 &gt; 0</formula>
    </cfRule>
  </conditionalFormatting>
  <conditionalFormatting sqref="J3:L4">
    <cfRule type="expression" dxfId="3577" priority="5">
      <formula>$L$92 &gt; 0</formula>
    </cfRule>
    <cfRule type="expression" dxfId="3576" priority="6">
      <formula>$L$92 = 0</formula>
    </cfRule>
    <cfRule type="expression" dxfId="3575" priority="7">
      <formula>$L$92 &lt; 0</formula>
    </cfRule>
  </conditionalFormatting>
  <conditionalFormatting sqref="M3:O4">
    <cfRule type="expression" dxfId="3574" priority="2">
      <formula>$O$92 &gt; 0</formula>
    </cfRule>
    <cfRule type="expression" dxfId="3573" priority="3">
      <formula>$O$92 = 0</formula>
    </cfRule>
    <cfRule type="expression" dxfId="357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2" t="s">
        <v>0</v>
      </c>
      <c r="B1" s="263"/>
      <c r="C1" s="263"/>
      <c r="D1" s="263"/>
      <c r="E1" s="263"/>
      <c r="F1" s="264"/>
      <c r="G1" s="293">
        <v>44348</v>
      </c>
      <c r="H1" s="294"/>
      <c r="I1" s="295"/>
      <c r="J1" s="262" t="s">
        <v>1</v>
      </c>
      <c r="K1" s="263"/>
      <c r="L1" s="263"/>
      <c r="M1" s="263"/>
      <c r="N1" s="263"/>
      <c r="O1" s="264"/>
      <c r="Q1" s="262" t="s">
        <v>2</v>
      </c>
      <c r="R1" s="264"/>
    </row>
    <row r="2" spans="1:19" ht="17.25" customHeight="1">
      <c r="A2" s="117" t="s">
        <v>3</v>
      </c>
      <c r="B2" s="296" t="s">
        <v>8</v>
      </c>
      <c r="C2" s="297"/>
      <c r="D2" s="297"/>
      <c r="E2" s="297"/>
      <c r="F2" s="298"/>
      <c r="G2" s="290" t="s">
        <v>46</v>
      </c>
      <c r="H2" s="291"/>
      <c r="I2" s="292"/>
      <c r="J2" s="1" t="s">
        <v>3</v>
      </c>
      <c r="K2" s="296" t="s">
        <v>345</v>
      </c>
      <c r="L2" s="297"/>
      <c r="M2" s="297"/>
      <c r="N2" s="297"/>
      <c r="O2" s="298"/>
      <c r="Q2" s="2" t="s">
        <v>6</v>
      </c>
      <c r="R2" s="3">
        <v>0.375</v>
      </c>
    </row>
    <row r="3" spans="1:19" ht="17.25" customHeight="1" thickBot="1">
      <c r="A3" s="118" t="s">
        <v>7</v>
      </c>
      <c r="B3" s="287" t="s">
        <v>353</v>
      </c>
      <c r="C3" s="288"/>
      <c r="D3" s="288"/>
      <c r="E3" s="288"/>
      <c r="F3" s="289"/>
      <c r="G3" s="28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84"/>
      <c r="I3" s="285"/>
      <c r="J3" s="4" t="s">
        <v>7</v>
      </c>
      <c r="K3" s="287" t="s">
        <v>346</v>
      </c>
      <c r="L3" s="288"/>
      <c r="M3" s="288"/>
      <c r="N3" s="288"/>
      <c r="O3" s="28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7" t="s">
        <v>16</v>
      </c>
      <c r="C4" s="288"/>
      <c r="D4" s="288"/>
      <c r="E4" s="288"/>
      <c r="F4" s="289"/>
      <c r="G4" s="290" t="s">
        <v>44</v>
      </c>
      <c r="H4" s="291"/>
      <c r="I4" s="292"/>
      <c r="J4" s="4" t="s">
        <v>11</v>
      </c>
      <c r="K4" s="287" t="s">
        <v>347</v>
      </c>
      <c r="L4" s="288"/>
      <c r="M4" s="288"/>
      <c r="N4" s="288"/>
      <c r="O4" s="28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7" t="s">
        <v>344</v>
      </c>
      <c r="C5" s="288"/>
      <c r="D5" s="288"/>
      <c r="E5" s="288"/>
      <c r="F5" s="289"/>
      <c r="G5" s="28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84"/>
      <c r="I5" s="285"/>
      <c r="J5" s="4" t="s">
        <v>15</v>
      </c>
      <c r="K5" s="287" t="s">
        <v>348</v>
      </c>
      <c r="L5" s="288"/>
      <c r="M5" s="288"/>
      <c r="N5" s="288"/>
      <c r="O5" s="289"/>
    </row>
    <row r="6" spans="1:19">
      <c r="A6" s="118" t="s">
        <v>18</v>
      </c>
      <c r="B6" s="287"/>
      <c r="C6" s="288"/>
      <c r="D6" s="288"/>
      <c r="E6" s="288"/>
      <c r="F6" s="289"/>
      <c r="G6" s="290" t="s">
        <v>45</v>
      </c>
      <c r="H6" s="291"/>
      <c r="I6" s="292"/>
      <c r="J6" s="4" t="s">
        <v>18</v>
      </c>
      <c r="K6" s="287" t="s">
        <v>349</v>
      </c>
      <c r="L6" s="288"/>
      <c r="M6" s="288"/>
      <c r="N6" s="288"/>
      <c r="O6" s="289"/>
    </row>
    <row r="7" spans="1:19" ht="17.25" thickBot="1">
      <c r="A7" s="118" t="s">
        <v>21</v>
      </c>
      <c r="B7" s="287"/>
      <c r="C7" s="288"/>
      <c r="D7" s="288"/>
      <c r="E7" s="288"/>
      <c r="F7" s="289"/>
      <c r="G7" s="28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84"/>
      <c r="I7" s="285"/>
      <c r="J7" s="4" t="s">
        <v>21</v>
      </c>
      <c r="K7" s="287" t="s">
        <v>350</v>
      </c>
      <c r="L7" s="288"/>
      <c r="M7" s="288"/>
      <c r="N7" s="288"/>
      <c r="O7" s="289"/>
    </row>
    <row r="8" spans="1:19" ht="17.25" thickBot="1">
      <c r="A8" s="118" t="s">
        <v>24</v>
      </c>
      <c r="B8" s="287"/>
      <c r="C8" s="288"/>
      <c r="D8" s="288"/>
      <c r="E8" s="288"/>
      <c r="F8" s="289"/>
      <c r="G8" s="290" t="s">
        <v>280</v>
      </c>
      <c r="H8" s="291"/>
      <c r="I8" s="292"/>
      <c r="J8" s="4" t="s">
        <v>24</v>
      </c>
      <c r="K8" s="287"/>
      <c r="L8" s="288"/>
      <c r="M8" s="288"/>
      <c r="N8" s="288"/>
      <c r="O8" s="289"/>
      <c r="Q8" s="262" t="s">
        <v>27</v>
      </c>
      <c r="R8" s="264"/>
    </row>
    <row r="9" spans="1:19" ht="17.25" thickBot="1">
      <c r="A9" s="118" t="s">
        <v>28</v>
      </c>
      <c r="B9" s="287"/>
      <c r="C9" s="288"/>
      <c r="D9" s="288"/>
      <c r="E9" s="288"/>
      <c r="F9" s="289"/>
      <c r="G9" s="28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84"/>
      <c r="I9" s="285"/>
      <c r="J9" s="4" t="s">
        <v>28</v>
      </c>
      <c r="K9" s="287"/>
      <c r="L9" s="288"/>
      <c r="M9" s="288"/>
      <c r="N9" s="288"/>
      <c r="O9" s="289"/>
      <c r="Q9" s="2" t="s">
        <v>29</v>
      </c>
      <c r="R9" s="6">
        <v>10</v>
      </c>
    </row>
    <row r="10" spans="1:19">
      <c r="A10" s="118" t="s">
        <v>30</v>
      </c>
      <c r="B10" s="287"/>
      <c r="C10" s="288"/>
      <c r="D10" s="288"/>
      <c r="E10" s="288"/>
      <c r="F10" s="289"/>
      <c r="G10" s="290" t="s">
        <v>47</v>
      </c>
      <c r="H10" s="291"/>
      <c r="I10" s="292"/>
      <c r="J10" s="4" t="s">
        <v>30</v>
      </c>
      <c r="K10" s="287" t="s">
        <v>351</v>
      </c>
      <c r="L10" s="288"/>
      <c r="M10" s="288"/>
      <c r="N10" s="288"/>
      <c r="O10" s="289"/>
      <c r="Q10" s="2" t="s">
        <v>31</v>
      </c>
      <c r="R10" s="6">
        <v>100</v>
      </c>
    </row>
    <row r="11" spans="1:19" ht="17.25" thickBot="1">
      <c r="A11" s="119" t="s">
        <v>32</v>
      </c>
      <c r="B11" s="280" t="s">
        <v>352</v>
      </c>
      <c r="C11" s="281"/>
      <c r="D11" s="281"/>
      <c r="E11" s="281"/>
      <c r="F11" s="282"/>
      <c r="G11" s="28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84"/>
      <c r="I11" s="285"/>
      <c r="J11" s="7" t="s">
        <v>32</v>
      </c>
      <c r="K11" s="280" t="s">
        <v>343</v>
      </c>
      <c r="L11" s="281"/>
      <c r="M11" s="281"/>
      <c r="N11" s="281"/>
      <c r="O11" s="282"/>
      <c r="Q11" s="65" t="s">
        <v>33</v>
      </c>
      <c r="R11" s="8">
        <v>1000</v>
      </c>
    </row>
    <row r="12" spans="1:19" ht="17.25" thickBot="1"/>
    <row r="13" spans="1:19" ht="17.25" customHeight="1" thickBot="1">
      <c r="A13" s="262" t="s">
        <v>34</v>
      </c>
      <c r="B13" s="263"/>
      <c r="C13" s="263"/>
      <c r="D13" s="263"/>
      <c r="E13" s="263"/>
      <c r="F13" s="263"/>
      <c r="G13" s="263"/>
      <c r="H13" s="263"/>
      <c r="I13" s="263"/>
      <c r="J13" s="263"/>
      <c r="K13" s="263"/>
      <c r="L13" s="263"/>
      <c r="M13" s="263"/>
      <c r="N13" s="263"/>
      <c r="O13" s="264"/>
      <c r="Q13" s="261"/>
      <c r="R13" s="261"/>
      <c r="S13" s="261"/>
    </row>
    <row r="14" spans="1:19" ht="17.25" customHeight="1" thickBot="1">
      <c r="A14" s="157" t="s">
        <v>35</v>
      </c>
      <c r="B14" s="262" t="s">
        <v>36</v>
      </c>
      <c r="C14" s="264"/>
      <c r="D14" s="262" t="s">
        <v>37</v>
      </c>
      <c r="E14" s="263"/>
      <c r="F14" s="264"/>
      <c r="G14" s="265">
        <f>_xlfn.IFNA(VLOOKUP(B14, 현재가테이블!$B$2:$D$200, 2, FALSE), "-")</f>
        <v>40538000</v>
      </c>
      <c r="H14" s="266"/>
      <c r="I14" s="267"/>
      <c r="J14" s="262" t="s">
        <v>38</v>
      </c>
      <c r="K14" s="263"/>
      <c r="L14" s="264"/>
      <c r="M14" s="268">
        <f>_xlfn.IFNA(VLOOKUP(B14, 현재가테이블!$B$2:$D$200, 3, FALSE), "-")</f>
        <v>-3.68275993E-2</v>
      </c>
      <c r="N14" s="269"/>
      <c r="O14" s="270"/>
      <c r="Q14" s="261"/>
      <c r="R14" s="261"/>
      <c r="S14" s="261"/>
    </row>
    <row r="15" spans="1:19" ht="17.25" customHeight="1" thickBot="1">
      <c r="A15" s="299" t="s">
        <v>39</v>
      </c>
      <c r="B15" s="300" t="str">
        <f>TEXT($G$1, "[$-ko-KR]yyyy-mm-dd(ddd) ") &amp; "오전 00:00"</f>
        <v>2021-06-01(화) 오전 00:00</v>
      </c>
      <c r="C15" s="301"/>
      <c r="D15" s="275" t="str">
        <f>TEXT($G$1, "[$-ko-KR]yyyy-mm-dd(ddd) ") &amp; "오후 14:00"</f>
        <v>2021-06-01(화) 오후 14:00</v>
      </c>
      <c r="E15" s="276"/>
      <c r="F15" s="277"/>
      <c r="G15" s="275" t="str">
        <f>TEXT($G$1, "[$-ko-KR]yyyy-mm-dd(ddd) ") &amp; "오후 19:00"</f>
        <v>2021-06-01(화) 오후 19:00</v>
      </c>
      <c r="H15" s="276"/>
      <c r="I15" s="277"/>
      <c r="J15" s="275" t="str">
        <f>TEXT($G$1, "[$-ko-KR]yyyy-mm-dd(ddd) ") &amp; "오후 21:00"</f>
        <v>2021-06-01(화) 오후 21:00</v>
      </c>
      <c r="K15" s="276"/>
      <c r="L15" s="277"/>
      <c r="M15" s="275" t="str">
        <f>TEXT($G$1+1, "[$-ko-KR]yyyy-mm-dd(ddd) ") &amp; "오전 00:00"</f>
        <v>2021-06-02(수) 오전 00:00</v>
      </c>
      <c r="N15" s="276"/>
      <c r="O15" s="277"/>
      <c r="Q15" s="261"/>
      <c r="R15" s="261"/>
      <c r="S15" s="261"/>
    </row>
    <row r="16" spans="1:19" ht="17.25" customHeight="1" thickBot="1">
      <c r="A16" s="29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61" t="s">
        <v>354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61"/>
      <c r="R17" s="261"/>
      <c r="S17" s="261"/>
    </row>
    <row r="18" spans="1:19" ht="17.25" customHeight="1" thickBot="1">
      <c r="A18" s="162" t="s">
        <v>355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61"/>
      <c r="R18" s="261"/>
      <c r="S18" s="261"/>
    </row>
    <row r="19" spans="1:19" ht="17.25" customHeight="1" thickBot="1">
      <c r="A19" s="162" t="s">
        <v>356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51"/>
      <c r="R19" s="251"/>
      <c r="S19" s="251"/>
    </row>
    <row r="20" spans="1:19" ht="17.25" customHeight="1" thickBot="1">
      <c r="A20" s="162" t="s">
        <v>357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51"/>
      <c r="R20" s="251"/>
      <c r="S20" s="251"/>
    </row>
    <row r="21" spans="1:19" ht="17.25" customHeight="1" thickBot="1">
      <c r="A21" s="163" t="s">
        <v>358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51"/>
      <c r="R21" s="251"/>
      <c r="S21" s="251"/>
    </row>
    <row r="22" spans="1:19" ht="17.25" customHeight="1" thickBot="1">
      <c r="A22" s="162" t="s">
        <v>359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51"/>
      <c r="R22" s="251"/>
      <c r="S22" s="25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304">
        <v>100000</v>
      </c>
      <c r="C37" s="305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262" t="s">
        <v>44</v>
      </c>
      <c r="B40" s="263"/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4"/>
      <c r="Q40" s="261"/>
      <c r="R40" s="261"/>
      <c r="S40" s="261"/>
    </row>
    <row r="41" spans="1:19" ht="17.25" customHeight="1" thickBot="1">
      <c r="A41" s="157" t="s">
        <v>292</v>
      </c>
      <c r="B41" s="262" t="s">
        <v>49</v>
      </c>
      <c r="C41" s="264"/>
      <c r="D41" s="262" t="s">
        <v>58</v>
      </c>
      <c r="E41" s="263"/>
      <c r="F41" s="264"/>
      <c r="G41" s="265">
        <f>_xlfn.IFNA(VLOOKUP(B41, 현재가테이블!$B$2:$D$200, 2, FALSE), "-")</f>
        <v>40538000</v>
      </c>
      <c r="H41" s="266"/>
      <c r="I41" s="267"/>
      <c r="J41" s="262" t="s">
        <v>59</v>
      </c>
      <c r="K41" s="263"/>
      <c r="L41" s="264"/>
      <c r="M41" s="268">
        <f>_xlfn.IFNA(VLOOKUP(B41, 현재가테이블!$B$2:$D$200, 3, FALSE), "-")</f>
        <v>-3.68275993E-2</v>
      </c>
      <c r="N41" s="269"/>
      <c r="O41" s="270"/>
      <c r="Q41" s="261"/>
      <c r="R41" s="261"/>
      <c r="S41" s="261"/>
    </row>
    <row r="42" spans="1:19" ht="17.25" customHeight="1" thickBot="1">
      <c r="A42" s="306" t="s">
        <v>55</v>
      </c>
      <c r="B42" s="302" t="str">
        <f>TEXT($G$1, "[$-ko-KR]yyyy-mm-dd(ddd) ") &amp; "오전 00:00"</f>
        <v>2021-06-01(화) 오전 00:00</v>
      </c>
      <c r="C42" s="303"/>
      <c r="D42" s="275" t="str">
        <f>TEXT($G$1, "[$-ko-KR]yyyy-mm-dd(ddd) ") &amp; "오후 14:00"</f>
        <v>2021-06-01(화) 오후 14:00</v>
      </c>
      <c r="E42" s="276"/>
      <c r="F42" s="277"/>
      <c r="G42" s="275" t="str">
        <f>TEXT($G$1, "[$-ko-KR]yyyy-mm-dd(ddd) ") &amp; "오후 19:00"</f>
        <v>2021-06-01(화) 오후 19:00</v>
      </c>
      <c r="H42" s="276"/>
      <c r="I42" s="277"/>
      <c r="J42" s="275" t="str">
        <f>TEXT($G$1, "[$-ko-KR]yyyy-mm-dd(ddd) ") &amp; "오후 21:00"</f>
        <v>2021-06-01(화) 오후 21:00</v>
      </c>
      <c r="K42" s="276"/>
      <c r="L42" s="277"/>
      <c r="M42" s="275" t="str">
        <f>TEXT($G$1+1, "[$-ko-KR]yyyy-mm-dd(ddd) ") &amp; "오전 00:00"</f>
        <v>2021-06-02(수) 오전 00:00</v>
      </c>
      <c r="N42" s="276"/>
      <c r="O42" s="277"/>
      <c r="Q42" s="261"/>
      <c r="R42" s="261"/>
      <c r="S42" s="261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58" t="s">
        <v>58</v>
      </c>
      <c r="H43" s="159" t="s">
        <v>293</v>
      </c>
      <c r="I43" s="160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1"/>
      <c r="R43" s="251"/>
      <c r="S43" s="251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61"/>
      <c r="R44" s="261"/>
      <c r="S44" s="261"/>
    </row>
    <row r="45" spans="1:19" ht="17.25" customHeight="1" thickBot="1">
      <c r="A45" s="125" t="s">
        <v>273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61"/>
      <c r="R45" s="261"/>
      <c r="S45" s="261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51"/>
      <c r="R46" s="251"/>
      <c r="S46" s="251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51"/>
      <c r="R47" s="251"/>
      <c r="S47" s="251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51"/>
      <c r="R48" s="251"/>
      <c r="S48" s="251"/>
    </row>
    <row r="49" spans="1:19" ht="17.25" customHeight="1" thickBot="1">
      <c r="A49" s="125" t="s">
        <v>219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51"/>
      <c r="R49" s="251"/>
      <c r="S49" s="251"/>
    </row>
    <row r="50" spans="1:19" ht="17.25" customHeight="1" thickBot="1">
      <c r="A50" s="125" t="s">
        <v>255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51"/>
      <c r="R50" s="251"/>
      <c r="S50" s="251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51"/>
      <c r="R51" s="251"/>
      <c r="S51" s="251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52"/>
      <c r="R53" s="253"/>
      <c r="S53" s="254"/>
    </row>
    <row r="54" spans="1:19" ht="17.25" customHeight="1">
      <c r="A54" s="123" t="s">
        <v>195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55"/>
      <c r="R54" s="256"/>
      <c r="S54" s="257"/>
    </row>
    <row r="55" spans="1:19" ht="17.25" customHeight="1" thickBot="1">
      <c r="A55" s="125" t="s">
        <v>197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58"/>
      <c r="R55" s="259"/>
      <c r="S55" s="260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51"/>
      <c r="R56" s="251"/>
      <c r="S56" s="251"/>
    </row>
    <row r="57" spans="1:19" ht="17.25" customHeight="1" thickBot="1">
      <c r="A57" s="125" t="s">
        <v>212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61"/>
      <c r="R57" s="261"/>
      <c r="S57" s="261"/>
    </row>
    <row r="58" spans="1:19" ht="17.25" customHeight="1" thickBot="1">
      <c r="A58" s="127" t="s">
        <v>210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61"/>
      <c r="R58" s="261"/>
      <c r="S58" s="261"/>
    </row>
    <row r="59" spans="1:19" ht="17.25" customHeight="1" thickBot="1">
      <c r="A59" s="125" t="s">
        <v>185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51"/>
      <c r="R59" s="251"/>
      <c r="S59" s="251"/>
    </row>
    <row r="60" spans="1:19" ht="17.25" customHeight="1" thickBot="1">
      <c r="A60" s="125" t="s">
        <v>225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51"/>
      <c r="R60" s="251"/>
      <c r="S60" s="251"/>
    </row>
    <row r="61" spans="1:19" ht="17.25" customHeight="1" thickBot="1">
      <c r="A61" s="125" t="s">
        <v>233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51"/>
      <c r="R61" s="251"/>
      <c r="S61" s="251"/>
    </row>
    <row r="62" spans="1:19" ht="17.25" customHeight="1">
      <c r="A62" s="125" t="s">
        <v>261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40"/>
      <c r="R62" s="241"/>
      <c r="S62" s="242"/>
    </row>
    <row r="63" spans="1:19" ht="17.25" customHeight="1" thickBot="1">
      <c r="A63" s="130" t="s">
        <v>249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43"/>
      <c r="R63" s="244"/>
      <c r="S63" s="245"/>
    </row>
    <row r="64" spans="1:19" ht="17.25" customHeight="1" thickBot="1">
      <c r="A64" s="132" t="s">
        <v>295</v>
      </c>
      <c r="B64" s="304">
        <f>$B$37</f>
        <v>100000</v>
      </c>
      <c r="C64" s="305"/>
      <c r="D64" s="26" t="s">
        <v>296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296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296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296</v>
      </c>
      <c r="N64" s="27">
        <f>IF(COUNT(N44:N63), SUM(N44:N63) / COUNT(N44:N63), 0)</f>
        <v>-4.7597754982905483E-4</v>
      </c>
      <c r="O64" s="28">
        <f>SUM(O44:O63)</f>
        <v>-951.95509965810902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262" t="s">
        <v>45</v>
      </c>
      <c r="B67" s="263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4"/>
      <c r="Q67" s="261"/>
      <c r="R67" s="261"/>
      <c r="S67" s="261"/>
    </row>
    <row r="68" spans="1:19" ht="17.25" thickBot="1">
      <c r="A68" s="157" t="s">
        <v>292</v>
      </c>
      <c r="B68" s="262" t="s">
        <v>49</v>
      </c>
      <c r="C68" s="264"/>
      <c r="D68" s="262" t="s">
        <v>58</v>
      </c>
      <c r="E68" s="263"/>
      <c r="F68" s="264"/>
      <c r="G68" s="265">
        <f>_xlfn.IFNA(VLOOKUP(B68, 현재가테이블!$B$2:$D$200, 2, FALSE), "-")</f>
        <v>40538000</v>
      </c>
      <c r="H68" s="266"/>
      <c r="I68" s="267"/>
      <c r="J68" s="262" t="s">
        <v>59</v>
      </c>
      <c r="K68" s="263"/>
      <c r="L68" s="264"/>
      <c r="M68" s="268">
        <f>_xlfn.IFNA(VLOOKUP(B68, 현재가테이블!$B$2:$D$200, 3, FALSE), "-")</f>
        <v>-3.68275993E-2</v>
      </c>
      <c r="N68" s="269"/>
      <c r="O68" s="270"/>
      <c r="Q68" s="261"/>
      <c r="R68" s="261"/>
      <c r="S68" s="261"/>
    </row>
    <row r="69" spans="1:19" ht="17.25" thickBot="1">
      <c r="A69" s="306" t="s">
        <v>55</v>
      </c>
      <c r="B69" s="302" t="str">
        <f>TEXT($G$1, "[$-ko-KR]yyyy-mm-dd(ddd) ") &amp; "오전 00:00"</f>
        <v>2021-06-01(화) 오전 00:00</v>
      </c>
      <c r="C69" s="303"/>
      <c r="D69" s="275" t="str">
        <f>TEXT($G$1, "[$-ko-KR]yyyy-mm-dd(ddd) ") &amp; "오후 14:00"</f>
        <v>2021-06-01(화) 오후 14:00</v>
      </c>
      <c r="E69" s="276"/>
      <c r="F69" s="277"/>
      <c r="G69" s="275" t="str">
        <f>TEXT($G$1, "[$-ko-KR]yyyy-mm-dd(ddd) ") &amp; "오후 19:00"</f>
        <v>2021-06-01(화) 오후 19:00</v>
      </c>
      <c r="H69" s="276"/>
      <c r="I69" s="277"/>
      <c r="J69" s="275" t="str">
        <f>TEXT($G$1, "[$-ko-KR]yyyy-mm-dd(ddd) ") &amp; "오후 21:00"</f>
        <v>2021-06-01(화) 오후 21:00</v>
      </c>
      <c r="K69" s="276"/>
      <c r="L69" s="277"/>
      <c r="M69" s="275" t="str">
        <f>TEXT($G$1+1, "[$-ko-KR]yyyy-mm-dd(ddd) ") &amp; "오전 00:00"</f>
        <v>2021-06-02(수) 오전 00:00</v>
      </c>
      <c r="N69" s="276"/>
      <c r="O69" s="277"/>
      <c r="Q69" s="261"/>
      <c r="R69" s="261"/>
      <c r="S69" s="261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58" t="s">
        <v>58</v>
      </c>
      <c r="H70" s="159" t="s">
        <v>293</v>
      </c>
      <c r="I70" s="160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1"/>
      <c r="R70" s="251"/>
      <c r="S70" s="251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61"/>
      <c r="R71" s="261"/>
      <c r="S71" s="261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61"/>
      <c r="R72" s="261"/>
      <c r="S72" s="261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51"/>
      <c r="R73" s="251"/>
      <c r="S73" s="251"/>
    </row>
    <row r="74" spans="1:19" ht="17.25" thickBot="1">
      <c r="A74" s="125" t="s">
        <v>167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51"/>
      <c r="R74" s="251"/>
      <c r="S74" s="251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51"/>
      <c r="R75" s="251"/>
      <c r="S75" s="251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51"/>
      <c r="R76" s="251"/>
      <c r="S76" s="251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51"/>
      <c r="R77" s="251"/>
      <c r="S77" s="251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51"/>
      <c r="R78" s="251"/>
      <c r="S78" s="251"/>
    </row>
    <row r="79" spans="1:19" ht="17.25" thickBot="1">
      <c r="A79" s="125" t="s">
        <v>227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52"/>
      <c r="R80" s="253"/>
      <c r="S80" s="254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55"/>
      <c r="R81" s="256"/>
      <c r="S81" s="257"/>
    </row>
    <row r="82" spans="1:19" ht="17.25" thickBot="1">
      <c r="A82" s="125" t="s">
        <v>291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58"/>
      <c r="R82" s="259"/>
      <c r="S82" s="260"/>
    </row>
    <row r="83" spans="1:19" ht="17.25" thickBot="1">
      <c r="A83" s="125" t="s">
        <v>265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51"/>
      <c r="R83" s="251"/>
      <c r="S83" s="251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61"/>
      <c r="R84" s="261"/>
      <c r="S84" s="261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61"/>
      <c r="R85" s="261"/>
      <c r="S85" s="261"/>
    </row>
    <row r="86" spans="1:19" ht="17.25" thickBot="1">
      <c r="A86" s="125" t="s">
        <v>173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51"/>
      <c r="R86" s="251"/>
      <c r="S86" s="251"/>
    </row>
    <row r="87" spans="1:19" ht="17.25" thickBot="1">
      <c r="A87" s="125" t="s">
        <v>257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51"/>
      <c r="R87" s="251"/>
      <c r="S87" s="251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51"/>
      <c r="R88" s="251"/>
      <c r="S88" s="251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40"/>
      <c r="R89" s="241"/>
      <c r="S89" s="242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43"/>
      <c r="R90" s="244"/>
      <c r="S90" s="245"/>
    </row>
    <row r="91" spans="1:19" ht="17.25" thickBot="1">
      <c r="A91" s="132" t="s">
        <v>295</v>
      </c>
      <c r="B91" s="304">
        <f>$B$37</f>
        <v>100000</v>
      </c>
      <c r="C91" s="305"/>
      <c r="D91" s="26" t="s">
        <v>296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296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296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296</v>
      </c>
      <c r="N91" s="27">
        <f>IF(COUNT(N71:N90), SUM(N71:N90) / COUNT(N71:N90), 0)</f>
        <v>2.1683338389722643E-2</v>
      </c>
      <c r="O91" s="28">
        <f>SUM(O71:O90)</f>
        <v>43366.676779445283</v>
      </c>
      <c r="Q91" s="246"/>
      <c r="R91" s="247"/>
      <c r="S91" s="248"/>
    </row>
    <row r="93" spans="1:19" ht="17.25" thickBot="1"/>
    <row r="94" spans="1:19" ht="17.25" thickBot="1">
      <c r="A94" s="262" t="s">
        <v>46</v>
      </c>
      <c r="B94" s="263"/>
      <c r="C94" s="263"/>
      <c r="D94" s="263"/>
      <c r="E94" s="263"/>
      <c r="F94" s="263"/>
      <c r="G94" s="263"/>
      <c r="H94" s="263"/>
      <c r="I94" s="263"/>
      <c r="J94" s="263"/>
      <c r="K94" s="263"/>
      <c r="L94" s="263"/>
      <c r="M94" s="263"/>
      <c r="N94" s="263"/>
      <c r="O94" s="264"/>
      <c r="Q94" s="261"/>
      <c r="R94" s="261"/>
      <c r="S94" s="261"/>
    </row>
    <row r="95" spans="1:19" ht="17.25" thickBot="1">
      <c r="A95" s="157" t="s">
        <v>292</v>
      </c>
      <c r="B95" s="262" t="s">
        <v>49</v>
      </c>
      <c r="C95" s="264"/>
      <c r="D95" s="262" t="s">
        <v>58</v>
      </c>
      <c r="E95" s="263"/>
      <c r="F95" s="264"/>
      <c r="G95" s="265">
        <f>_xlfn.IFNA(VLOOKUP(B95, 현재가테이블!$B$2:$D$200, 2, FALSE), "-")</f>
        <v>40538000</v>
      </c>
      <c r="H95" s="266"/>
      <c r="I95" s="267"/>
      <c r="J95" s="262" t="s">
        <v>59</v>
      </c>
      <c r="K95" s="263"/>
      <c r="L95" s="264"/>
      <c r="M95" s="268">
        <f>_xlfn.IFNA(VLOOKUP(B95, 현재가테이블!$B$2:$D$200, 3, FALSE), "-")</f>
        <v>-3.68275993E-2</v>
      </c>
      <c r="N95" s="269"/>
      <c r="O95" s="270"/>
      <c r="Q95" s="261"/>
      <c r="R95" s="261"/>
      <c r="S95" s="261"/>
    </row>
    <row r="96" spans="1:19" ht="17.25" thickBot="1">
      <c r="A96" s="306" t="s">
        <v>55</v>
      </c>
      <c r="B96" s="302" t="str">
        <f>TEXT($G$1, "[$-ko-KR]yyyy-mm-dd(ddd) ") &amp; "오전 00:00"</f>
        <v>2021-06-01(화) 오전 00:00</v>
      </c>
      <c r="C96" s="303"/>
      <c r="D96" s="275" t="str">
        <f>TEXT($G$1, "[$-ko-KR]yyyy-mm-dd(ddd) ") &amp; "오후 14:00"</f>
        <v>2021-06-01(화) 오후 14:00</v>
      </c>
      <c r="E96" s="276"/>
      <c r="F96" s="277"/>
      <c r="G96" s="275" t="str">
        <f>TEXT($G$1, "[$-ko-KR]yyyy-mm-dd(ddd) ") &amp; "오후 19:00"</f>
        <v>2021-06-01(화) 오후 19:00</v>
      </c>
      <c r="H96" s="276"/>
      <c r="I96" s="277"/>
      <c r="J96" s="275" t="str">
        <f>TEXT($G$1, "[$-ko-KR]yyyy-mm-dd(ddd) ") &amp; "오후 21:00"</f>
        <v>2021-06-01(화) 오후 21:00</v>
      </c>
      <c r="K96" s="276"/>
      <c r="L96" s="277"/>
      <c r="M96" s="275" t="str">
        <f>TEXT($G$1+1, "[$-ko-KR]yyyy-mm-dd(ddd) ") &amp; "오전 00:00"</f>
        <v>2021-06-02(수) 오전 00:00</v>
      </c>
      <c r="N96" s="276"/>
      <c r="O96" s="277"/>
      <c r="Q96" s="261"/>
      <c r="R96" s="261"/>
      <c r="S96" s="261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58" t="s">
        <v>58</v>
      </c>
      <c r="H97" s="159" t="s">
        <v>293</v>
      </c>
      <c r="I97" s="160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1"/>
      <c r="R97" s="251"/>
      <c r="S97" s="251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61"/>
      <c r="R98" s="261"/>
      <c r="S98" s="261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61"/>
      <c r="R99" s="261"/>
      <c r="S99" s="261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51"/>
      <c r="R100" s="251"/>
      <c r="S100" s="251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51"/>
      <c r="R101" s="251"/>
      <c r="S101" s="251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51"/>
      <c r="R102" s="251"/>
      <c r="S102" s="251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51"/>
      <c r="R103" s="251"/>
      <c r="S103" s="251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51"/>
      <c r="R104" s="251"/>
      <c r="S104" s="251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51"/>
      <c r="R105" s="251"/>
      <c r="S105" s="251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167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52"/>
      <c r="R107" s="253"/>
      <c r="S107" s="254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55"/>
      <c r="R108" s="256"/>
      <c r="S108" s="257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58"/>
      <c r="R109" s="259"/>
      <c r="S109" s="260"/>
    </row>
    <row r="110" spans="1:19" ht="17.25" thickBot="1">
      <c r="A110" s="125" t="s">
        <v>165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51"/>
      <c r="R110" s="251"/>
      <c r="S110" s="251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61"/>
      <c r="R111" s="261"/>
      <c r="S111" s="261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61"/>
      <c r="R112" s="261"/>
      <c r="S112" s="261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51"/>
      <c r="R113" s="251"/>
      <c r="S113" s="251"/>
    </row>
    <row r="114" spans="1:19" ht="17.25" thickBot="1">
      <c r="A114" s="125" t="s">
        <v>273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51"/>
      <c r="R114" s="251"/>
      <c r="S114" s="251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51"/>
      <c r="R115" s="251"/>
      <c r="S115" s="251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40"/>
      <c r="R116" s="241"/>
      <c r="S116" s="242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43"/>
      <c r="R117" s="244"/>
      <c r="S117" s="245"/>
    </row>
    <row r="118" spans="1:19" ht="17.25" thickBot="1">
      <c r="A118" s="132" t="s">
        <v>295</v>
      </c>
      <c r="B118" s="304">
        <f>$B$37</f>
        <v>100000</v>
      </c>
      <c r="C118" s="305"/>
      <c r="D118" s="26" t="s">
        <v>296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296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296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296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46"/>
      <c r="R118" s="247"/>
      <c r="S118" s="248"/>
    </row>
    <row r="120" spans="1:19" ht="17.25" thickBot="1"/>
    <row r="121" spans="1:19" ht="17.25" thickBot="1">
      <c r="A121" s="262" t="s">
        <v>283</v>
      </c>
      <c r="B121" s="263"/>
      <c r="C121" s="263"/>
      <c r="D121" s="263"/>
      <c r="E121" s="263"/>
      <c r="F121" s="263"/>
      <c r="G121" s="263"/>
      <c r="H121" s="263"/>
      <c r="I121" s="263"/>
      <c r="J121" s="263"/>
      <c r="K121" s="263"/>
      <c r="L121" s="263"/>
      <c r="M121" s="263"/>
      <c r="N121" s="263"/>
      <c r="O121" s="264"/>
      <c r="Q121" s="261"/>
      <c r="R121" s="261"/>
      <c r="S121" s="261"/>
    </row>
    <row r="122" spans="1:19" ht="17.25" thickBot="1">
      <c r="A122" s="157" t="s">
        <v>292</v>
      </c>
      <c r="B122" s="262" t="s">
        <v>49</v>
      </c>
      <c r="C122" s="264"/>
      <c r="D122" s="262" t="s">
        <v>58</v>
      </c>
      <c r="E122" s="263"/>
      <c r="F122" s="264"/>
      <c r="G122" s="265">
        <f>_xlfn.IFNA(VLOOKUP(B122, 현재가테이블!$B$2:$D$200, 2, FALSE), "-")</f>
        <v>40538000</v>
      </c>
      <c r="H122" s="266"/>
      <c r="I122" s="267"/>
      <c r="J122" s="262" t="s">
        <v>59</v>
      </c>
      <c r="K122" s="263"/>
      <c r="L122" s="264"/>
      <c r="M122" s="268">
        <f>_xlfn.IFNA(VLOOKUP(B122, 현재가테이블!$B$2:$D$200, 3, FALSE), "-")</f>
        <v>-3.68275993E-2</v>
      </c>
      <c r="N122" s="269"/>
      <c r="O122" s="270"/>
      <c r="Q122" s="261"/>
      <c r="R122" s="261"/>
      <c r="S122" s="261"/>
    </row>
    <row r="123" spans="1:19" ht="17.25" thickBot="1">
      <c r="A123" s="306" t="s">
        <v>55</v>
      </c>
      <c r="B123" s="302" t="str">
        <f>TEXT($G$1, "[$-ko-KR]yyyy-mm-dd(ddd) ") &amp; "오전 00:00"</f>
        <v>2021-06-01(화) 오전 00:00</v>
      </c>
      <c r="C123" s="303"/>
      <c r="D123" s="275" t="str">
        <f>TEXT($G$1, "[$-ko-KR]yyyy-mm-dd(ddd) ") &amp; "오후 14:00"</f>
        <v>2021-06-01(화) 오후 14:00</v>
      </c>
      <c r="E123" s="276"/>
      <c r="F123" s="277"/>
      <c r="G123" s="275" t="str">
        <f>TEXT($G$1, "[$-ko-KR]yyyy-mm-dd(ddd) ") &amp; "오후 19:00"</f>
        <v>2021-06-01(화) 오후 19:00</v>
      </c>
      <c r="H123" s="276"/>
      <c r="I123" s="277"/>
      <c r="J123" s="275" t="str">
        <f>TEXT($G$1, "[$-ko-KR]yyyy-mm-dd(ddd) ") &amp; "오후 21:00"</f>
        <v>2021-06-01(화) 오후 21:00</v>
      </c>
      <c r="K123" s="276"/>
      <c r="L123" s="277"/>
      <c r="M123" s="275" t="str">
        <f>TEXT($G$1+1, "[$-ko-KR]yyyy-mm-dd(ddd) ") &amp; "오전 00:00"</f>
        <v>2021-06-02(수) 오전 00:00</v>
      </c>
      <c r="N123" s="276"/>
      <c r="O123" s="277"/>
      <c r="Q123" s="261"/>
      <c r="R123" s="261"/>
      <c r="S123" s="261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58" t="s">
        <v>58</v>
      </c>
      <c r="H124" s="159" t="s">
        <v>293</v>
      </c>
      <c r="I124" s="160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1"/>
      <c r="R124" s="251"/>
      <c r="S124" s="251"/>
    </row>
    <row r="125" spans="1:19" ht="17.25" thickBot="1">
      <c r="A125" s="123" t="s">
        <v>255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61"/>
      <c r="R125" s="261"/>
      <c r="S125" s="261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61"/>
      <c r="R126" s="261"/>
      <c r="S126" s="261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51"/>
      <c r="R127" s="251"/>
      <c r="S127" s="251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51"/>
      <c r="R128" s="251"/>
      <c r="S128" s="251"/>
    </row>
    <row r="129" spans="1:19" ht="17.25" thickBot="1">
      <c r="A129" s="127" t="s">
        <v>195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51"/>
      <c r="R129" s="251"/>
      <c r="S129" s="251"/>
    </row>
    <row r="130" spans="1:19" ht="17.25" thickBot="1">
      <c r="A130" s="125" t="s">
        <v>197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51"/>
      <c r="R130" s="251"/>
      <c r="S130" s="251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51"/>
      <c r="R131" s="251"/>
      <c r="S131" s="251"/>
    </row>
    <row r="132" spans="1:19" ht="17.25" thickBot="1">
      <c r="A132" s="125" t="s">
        <v>212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51"/>
      <c r="R132" s="251"/>
      <c r="S132" s="251"/>
    </row>
    <row r="133" spans="1:19" ht="17.25" thickBot="1">
      <c r="A133" s="125" t="s">
        <v>210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185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52"/>
      <c r="R134" s="253"/>
      <c r="S134" s="254"/>
    </row>
    <row r="135" spans="1:19">
      <c r="A135" s="123" t="s">
        <v>225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55"/>
      <c r="R135" s="256"/>
      <c r="S135" s="257"/>
    </row>
    <row r="136" spans="1:19" ht="17.25" thickBot="1">
      <c r="A136" s="125" t="s">
        <v>233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58"/>
      <c r="R136" s="259"/>
      <c r="S136" s="260"/>
    </row>
    <row r="137" spans="1:19" ht="17.25" thickBot="1">
      <c r="A137" s="125" t="s">
        <v>261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51"/>
      <c r="R137" s="251"/>
      <c r="S137" s="251"/>
    </row>
    <row r="138" spans="1:19" ht="17.25" thickBot="1">
      <c r="A138" s="125" t="s">
        <v>249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61"/>
      <c r="R138" s="261"/>
      <c r="S138" s="261"/>
    </row>
    <row r="139" spans="1:19" ht="17.25" thickBot="1">
      <c r="A139" s="127" t="s">
        <v>259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61"/>
      <c r="R139" s="261"/>
      <c r="S139" s="261"/>
    </row>
    <row r="140" spans="1:19" ht="17.25" thickBot="1">
      <c r="A140" s="125" t="s">
        <v>215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51"/>
      <c r="R140" s="251"/>
      <c r="S140" s="251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51"/>
      <c r="R141" s="251"/>
      <c r="S141" s="251"/>
    </row>
    <row r="142" spans="1:19" ht="17.25" thickBot="1">
      <c r="A142" s="125" t="s">
        <v>217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51"/>
      <c r="R142" s="251"/>
      <c r="S142" s="251"/>
    </row>
    <row r="143" spans="1:19">
      <c r="A143" s="125" t="s">
        <v>263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40"/>
      <c r="R143" s="241"/>
      <c r="S143" s="242"/>
    </row>
    <row r="144" spans="1:19" ht="17.25" thickBot="1">
      <c r="A144" s="130" t="s">
        <v>171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43"/>
      <c r="R144" s="244"/>
      <c r="S144" s="245"/>
    </row>
    <row r="145" spans="1:19" ht="17.25" thickBot="1">
      <c r="A145" s="132" t="s">
        <v>295</v>
      </c>
      <c r="B145" s="304">
        <f>$B$37</f>
        <v>100000</v>
      </c>
      <c r="C145" s="305"/>
      <c r="D145" s="26" t="s">
        <v>296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296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296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296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46"/>
      <c r="R145" s="247"/>
      <c r="S145" s="248"/>
    </row>
    <row r="147" spans="1:19" ht="17.25" thickBot="1"/>
    <row r="148" spans="1:19" ht="17.25" thickBot="1">
      <c r="A148" s="262" t="s">
        <v>284</v>
      </c>
      <c r="B148" s="263"/>
      <c r="C148" s="263"/>
      <c r="D148" s="263"/>
      <c r="E148" s="263"/>
      <c r="F148" s="263"/>
      <c r="G148" s="263"/>
      <c r="H148" s="263"/>
      <c r="I148" s="263"/>
      <c r="J148" s="263"/>
      <c r="K148" s="263"/>
      <c r="L148" s="263"/>
      <c r="M148" s="263"/>
      <c r="N148" s="263"/>
      <c r="O148" s="264"/>
      <c r="Q148" s="261"/>
      <c r="R148" s="261"/>
      <c r="S148" s="261"/>
    </row>
    <row r="149" spans="1:19" ht="17.25" thickBot="1">
      <c r="A149" s="157" t="s">
        <v>292</v>
      </c>
      <c r="B149" s="262" t="s">
        <v>49</v>
      </c>
      <c r="C149" s="264"/>
      <c r="D149" s="262" t="s">
        <v>58</v>
      </c>
      <c r="E149" s="263"/>
      <c r="F149" s="264"/>
      <c r="G149" s="265">
        <f>_xlfn.IFNA(VLOOKUP(B149, 현재가테이블!$B$2:$D$200, 2, FALSE), "-")</f>
        <v>40538000</v>
      </c>
      <c r="H149" s="266"/>
      <c r="I149" s="267"/>
      <c r="J149" s="262" t="s">
        <v>59</v>
      </c>
      <c r="K149" s="263"/>
      <c r="L149" s="264"/>
      <c r="M149" s="268">
        <f>_xlfn.IFNA(VLOOKUP(B149, 현재가테이블!$B$2:$D$200, 3, FALSE), "-")</f>
        <v>-3.68275993E-2</v>
      </c>
      <c r="N149" s="269"/>
      <c r="O149" s="270"/>
      <c r="Q149" s="261"/>
      <c r="R149" s="261"/>
      <c r="S149" s="261"/>
    </row>
    <row r="150" spans="1:19" ht="17.25" thickBot="1">
      <c r="A150" s="306" t="s">
        <v>55</v>
      </c>
      <c r="B150" s="302" t="str">
        <f>TEXT($G$1, "[$-ko-KR]yyyy-mm-dd(ddd) ") &amp; "오전 00:00"</f>
        <v>2021-06-01(화) 오전 00:00</v>
      </c>
      <c r="C150" s="303"/>
      <c r="D150" s="275" t="str">
        <f>TEXT($G$1, "[$-ko-KR]yyyy-mm-dd(ddd) ") &amp; "오후 14:00"</f>
        <v>2021-06-01(화) 오후 14:00</v>
      </c>
      <c r="E150" s="276"/>
      <c r="F150" s="277"/>
      <c r="G150" s="275" t="str">
        <f>TEXT($G$1, "[$-ko-KR]yyyy-mm-dd(ddd) ") &amp; "오후 19:00"</f>
        <v>2021-06-01(화) 오후 19:00</v>
      </c>
      <c r="H150" s="276"/>
      <c r="I150" s="277"/>
      <c r="J150" s="275" t="str">
        <f>TEXT($G$1, "[$-ko-KR]yyyy-mm-dd(ddd) ") &amp; "오후 21:00"</f>
        <v>2021-06-01(화) 오후 21:00</v>
      </c>
      <c r="K150" s="276"/>
      <c r="L150" s="277"/>
      <c r="M150" s="275" t="str">
        <f>TEXT($G$1+1, "[$-ko-KR]yyyy-mm-dd(ddd) ") &amp; "오전 00:00"</f>
        <v>2021-06-02(수) 오전 00:00</v>
      </c>
      <c r="N150" s="276"/>
      <c r="O150" s="277"/>
      <c r="Q150" s="261"/>
      <c r="R150" s="261"/>
      <c r="S150" s="261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58" t="s">
        <v>58</v>
      </c>
      <c r="H151" s="159" t="s">
        <v>293</v>
      </c>
      <c r="I151" s="160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1"/>
      <c r="R151" s="251"/>
      <c r="S151" s="251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61"/>
      <c r="R152" s="261"/>
      <c r="S152" s="261"/>
    </row>
    <row r="153" spans="1:19" ht="17.25" thickBot="1">
      <c r="A153" s="125" t="s">
        <v>214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61"/>
      <c r="R153" s="261"/>
      <c r="S153" s="261"/>
    </row>
    <row r="154" spans="1:19" ht="17.25" thickBot="1">
      <c r="A154" s="125" t="s">
        <v>181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51"/>
      <c r="R154" s="251"/>
      <c r="S154" s="251"/>
    </row>
    <row r="155" spans="1:19" ht="17.25" thickBot="1">
      <c r="A155" s="125" t="s">
        <v>251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51"/>
      <c r="R155" s="251"/>
      <c r="S155" s="251"/>
    </row>
    <row r="156" spans="1:19" ht="17.25" thickBot="1">
      <c r="A156" s="127" t="s">
        <v>246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51"/>
      <c r="R156" s="251"/>
      <c r="S156" s="251"/>
    </row>
    <row r="157" spans="1:19" ht="17.25" thickBot="1">
      <c r="A157" s="125" t="s">
        <v>277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51"/>
      <c r="R157" s="251"/>
      <c r="S157" s="251"/>
    </row>
    <row r="158" spans="1:19" ht="17.25" thickBot="1">
      <c r="A158" s="125" t="s">
        <v>279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51"/>
      <c r="R158" s="251"/>
      <c r="S158" s="251"/>
    </row>
    <row r="159" spans="1:19" ht="17.25" thickBot="1">
      <c r="A159" s="125" t="s">
        <v>206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51"/>
      <c r="R159" s="251"/>
      <c r="S159" s="251"/>
    </row>
    <row r="160" spans="1:19" ht="17.25" thickBot="1">
      <c r="A160" s="125" t="s">
        <v>169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199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52"/>
      <c r="R161" s="253"/>
      <c r="S161" s="254"/>
    </row>
    <row r="162" spans="1:19">
      <c r="A162" s="123" t="s">
        <v>253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55"/>
      <c r="R162" s="256"/>
      <c r="S162" s="257"/>
    </row>
    <row r="163" spans="1:19" ht="17.25" thickBot="1">
      <c r="A163" s="125" t="s">
        <v>236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58"/>
      <c r="R163" s="259"/>
      <c r="S163" s="260"/>
    </row>
    <row r="164" spans="1:19" ht="17.25" thickBot="1">
      <c r="A164" s="125" t="s">
        <v>201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51"/>
      <c r="R164" s="251"/>
      <c r="S164" s="251"/>
    </row>
    <row r="165" spans="1:19" ht="17.25" thickBot="1">
      <c r="A165" s="125" t="s">
        <v>229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61"/>
      <c r="R165" s="261"/>
      <c r="S165" s="261"/>
    </row>
    <row r="166" spans="1:19" ht="17.25" thickBot="1">
      <c r="A166" s="127" t="s">
        <v>223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61"/>
      <c r="R166" s="261"/>
      <c r="S166" s="261"/>
    </row>
    <row r="167" spans="1:19" ht="17.25" thickBot="1">
      <c r="A167" s="125" t="s">
        <v>208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51"/>
      <c r="R167" s="251"/>
      <c r="S167" s="251"/>
    </row>
    <row r="168" spans="1:19" ht="17.25" thickBot="1">
      <c r="A168" s="125" t="s">
        <v>231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51"/>
      <c r="R168" s="251"/>
      <c r="S168" s="251"/>
    </row>
    <row r="169" spans="1:19" ht="17.25" thickBot="1">
      <c r="A169" s="125" t="s">
        <v>248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51"/>
      <c r="R169" s="251"/>
      <c r="S169" s="251"/>
    </row>
    <row r="170" spans="1:19">
      <c r="A170" s="125" t="s">
        <v>234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40"/>
      <c r="R170" s="241"/>
      <c r="S170" s="242"/>
    </row>
    <row r="171" spans="1:19" ht="17.25" thickBot="1">
      <c r="A171" s="130" t="s">
        <v>242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43"/>
      <c r="R171" s="244"/>
      <c r="S171" s="245"/>
    </row>
    <row r="172" spans="1:19" ht="17.25" thickBot="1">
      <c r="A172" s="132" t="s">
        <v>295</v>
      </c>
      <c r="B172" s="304">
        <f>$B$37</f>
        <v>100000</v>
      </c>
      <c r="C172" s="305"/>
      <c r="D172" s="26" t="s">
        <v>296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296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296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296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46"/>
      <c r="R172" s="247"/>
      <c r="S172" s="248"/>
    </row>
    <row r="174" spans="1:19" ht="17.25" thickBot="1"/>
    <row r="175" spans="1:19" ht="17.25" thickBot="1">
      <c r="A175" s="262" t="s">
        <v>280</v>
      </c>
      <c r="B175" s="263"/>
      <c r="C175" s="263"/>
      <c r="D175" s="263"/>
      <c r="E175" s="263"/>
      <c r="F175" s="263"/>
      <c r="G175" s="263"/>
      <c r="H175" s="263"/>
      <c r="I175" s="263"/>
      <c r="J175" s="263"/>
      <c r="K175" s="263"/>
      <c r="L175" s="263"/>
      <c r="M175" s="263"/>
      <c r="N175" s="263"/>
      <c r="O175" s="264"/>
      <c r="Q175" s="261"/>
      <c r="R175" s="261"/>
      <c r="S175" s="261"/>
    </row>
    <row r="176" spans="1:19" ht="17.25" thickBot="1">
      <c r="A176" s="157" t="s">
        <v>292</v>
      </c>
      <c r="B176" s="262" t="s">
        <v>49</v>
      </c>
      <c r="C176" s="264"/>
      <c r="D176" s="262" t="s">
        <v>58</v>
      </c>
      <c r="E176" s="263"/>
      <c r="F176" s="264"/>
      <c r="G176" s="265">
        <f>_xlfn.IFNA(VLOOKUP(B176, 현재가테이블!$B$2:$D$200, 2, FALSE), "-")</f>
        <v>40538000</v>
      </c>
      <c r="H176" s="266"/>
      <c r="I176" s="267"/>
      <c r="J176" s="262" t="s">
        <v>59</v>
      </c>
      <c r="K176" s="263"/>
      <c r="L176" s="264"/>
      <c r="M176" s="268">
        <f>_xlfn.IFNA(VLOOKUP(B176, 현재가테이블!$B$2:$D$200, 3, FALSE), "-")</f>
        <v>-3.68275993E-2</v>
      </c>
      <c r="N176" s="269"/>
      <c r="O176" s="270"/>
      <c r="Q176" s="261"/>
      <c r="R176" s="261"/>
      <c r="S176" s="261"/>
    </row>
    <row r="177" spans="1:19" ht="17.25" thickBot="1">
      <c r="A177" s="306" t="s">
        <v>55</v>
      </c>
      <c r="B177" s="302" t="str">
        <f>TEXT($G$1, "[$-ko-KR]yyyy-mm-dd(ddd) ") &amp; "오전 00:00"</f>
        <v>2021-06-01(화) 오전 00:00</v>
      </c>
      <c r="C177" s="303"/>
      <c r="D177" s="275" t="str">
        <f>TEXT($G$1, "[$-ko-KR]yyyy-mm-dd(ddd) ") &amp; "오후 14:00"</f>
        <v>2021-06-01(화) 오후 14:00</v>
      </c>
      <c r="E177" s="276"/>
      <c r="F177" s="277"/>
      <c r="G177" s="275" t="str">
        <f>TEXT($G$1, "[$-ko-KR]yyyy-mm-dd(ddd) ") &amp; "오후 19:00"</f>
        <v>2021-06-01(화) 오후 19:00</v>
      </c>
      <c r="H177" s="276"/>
      <c r="I177" s="277"/>
      <c r="J177" s="275" t="str">
        <f>TEXT($G$1, "[$-ko-KR]yyyy-mm-dd(ddd) ") &amp; "오후 21:00"</f>
        <v>2021-06-01(화) 오후 21:00</v>
      </c>
      <c r="K177" s="276"/>
      <c r="L177" s="277"/>
      <c r="M177" s="275" t="str">
        <f>TEXT($G$1+1, "[$-ko-KR]yyyy-mm-dd(ddd) ") &amp; "오전 00:00"</f>
        <v>2021-06-02(수) 오전 00:00</v>
      </c>
      <c r="N177" s="276"/>
      <c r="O177" s="277"/>
      <c r="Q177" s="261"/>
      <c r="R177" s="261"/>
      <c r="S177" s="261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58" t="s">
        <v>58</v>
      </c>
      <c r="H178" s="159" t="s">
        <v>293</v>
      </c>
      <c r="I178" s="160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1"/>
      <c r="R178" s="251"/>
      <c r="S178" s="251"/>
    </row>
    <row r="179" spans="1:19" ht="17.25" thickBot="1">
      <c r="A179" s="123" t="s">
        <v>201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61"/>
      <c r="R179" s="261"/>
      <c r="S179" s="261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61"/>
      <c r="R180" s="261"/>
      <c r="S180" s="261"/>
    </row>
    <row r="181" spans="1:19" ht="17.25" thickBot="1">
      <c r="A181" s="125" t="s">
        <v>215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51"/>
      <c r="R181" s="251"/>
      <c r="S181" s="251"/>
    </row>
    <row r="182" spans="1:19" ht="17.25" thickBot="1">
      <c r="A182" s="125" t="s">
        <v>229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51"/>
      <c r="R182" s="251"/>
      <c r="S182" s="251"/>
    </row>
    <row r="183" spans="1:19" ht="17.25" thickBot="1">
      <c r="A183" s="127" t="s">
        <v>223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51"/>
      <c r="R183" s="251"/>
      <c r="S183" s="251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51"/>
      <c r="R184" s="251"/>
      <c r="S184" s="251"/>
    </row>
    <row r="185" spans="1:19" ht="17.25" thickBot="1">
      <c r="A185" s="125" t="s">
        <v>193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51"/>
      <c r="R185" s="251"/>
      <c r="S185" s="251"/>
    </row>
    <row r="186" spans="1:19" ht="17.25" thickBot="1">
      <c r="A186" s="125" t="s">
        <v>208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51"/>
      <c r="R186" s="251"/>
      <c r="S186" s="251"/>
    </row>
    <row r="187" spans="1:19" ht="17.25" thickBot="1">
      <c r="A187" s="125" t="s">
        <v>275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231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52"/>
      <c r="R188" s="253"/>
      <c r="S188" s="254"/>
    </row>
    <row r="189" spans="1:19">
      <c r="A189" s="123" t="s">
        <v>248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55"/>
      <c r="R189" s="256"/>
      <c r="S189" s="257"/>
    </row>
    <row r="190" spans="1:19" ht="17.25" thickBot="1">
      <c r="A190" s="125" t="s">
        <v>217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58"/>
      <c r="R190" s="259"/>
      <c r="S190" s="260"/>
    </row>
    <row r="191" spans="1:19" ht="17.25" thickBot="1">
      <c r="A191" s="125" t="s">
        <v>234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51"/>
      <c r="R191" s="251"/>
      <c r="S191" s="251"/>
    </row>
    <row r="192" spans="1:19" ht="17.25" thickBot="1">
      <c r="A192" s="125" t="s">
        <v>163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61"/>
      <c r="R192" s="261"/>
      <c r="S192" s="261"/>
    </row>
    <row r="193" spans="1:19" ht="17.25" thickBot="1">
      <c r="A193" s="127" t="s">
        <v>263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61"/>
      <c r="R193" s="261"/>
      <c r="S193" s="261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51"/>
      <c r="R194" s="251"/>
      <c r="S194" s="251"/>
    </row>
    <row r="195" spans="1:19" ht="17.25" thickBot="1">
      <c r="A195" s="125" t="s">
        <v>171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51"/>
      <c r="R195" s="251"/>
      <c r="S195" s="251"/>
    </row>
    <row r="196" spans="1:19" ht="17.25" thickBot="1">
      <c r="A196" s="125" t="s">
        <v>191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51"/>
      <c r="R196" s="251"/>
      <c r="S196" s="251"/>
    </row>
    <row r="197" spans="1:19">
      <c r="A197" s="125" t="s">
        <v>269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40"/>
      <c r="R197" s="241"/>
      <c r="S197" s="242"/>
    </row>
    <row r="198" spans="1:19" ht="17.25" thickBot="1">
      <c r="A198" s="130" t="s">
        <v>242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43"/>
      <c r="R198" s="244"/>
      <c r="S198" s="245"/>
    </row>
    <row r="199" spans="1:19" ht="17.25" thickBot="1">
      <c r="A199" s="132" t="s">
        <v>295</v>
      </c>
      <c r="B199" s="304">
        <f>$B$37</f>
        <v>100000</v>
      </c>
      <c r="C199" s="305"/>
      <c r="D199" s="26" t="s">
        <v>296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296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296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296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46"/>
      <c r="R199" s="247"/>
      <c r="S199" s="24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61" priority="157">
      <formula>AND($N17 &gt; 0, ISNUMBER($N17))</formula>
    </cfRule>
    <cfRule type="expression" dxfId="3560" priority="158">
      <formula>AND($N17 = 0 * ISNUMBER($N17))</formula>
    </cfRule>
    <cfRule type="expression" dxfId="3559" priority="159">
      <formula>AND($N17 &lt; 0, ISNUMBER($N17))</formula>
    </cfRule>
  </conditionalFormatting>
  <conditionalFormatting sqref="A17:F36">
    <cfRule type="expression" dxfId="3558" priority="166">
      <formula>AND($E17 &gt; 0, ISNUMBER($E17))</formula>
    </cfRule>
    <cfRule type="expression" dxfId="3557" priority="167">
      <formula>AND($E17 = 0 * ISNUMBER($E17))</formula>
    </cfRule>
    <cfRule type="expression" dxfId="3556" priority="168">
      <formula>AND($E17 &lt; 0, ISNUMBER($E17))</formula>
    </cfRule>
  </conditionalFormatting>
  <conditionalFormatting sqref="A17:C36 G17:I36">
    <cfRule type="expression" dxfId="3555" priority="163">
      <formula>AND($H17 &gt; 0, ISNUMBER($H17))</formula>
    </cfRule>
    <cfRule type="expression" dxfId="3554" priority="164">
      <formula>AND($H17 = 0 * ISNUMBER($H17))</formula>
    </cfRule>
    <cfRule type="expression" dxfId="3553" priority="165">
      <formula>AND($H17 &lt; 0, ISNUMBER($H17))</formula>
    </cfRule>
  </conditionalFormatting>
  <conditionalFormatting sqref="A17:C36 J17:L36">
    <cfRule type="expression" dxfId="3552" priority="160">
      <formula>AND($K17 &gt; 0, ISNUMBER($K17))</formula>
    </cfRule>
    <cfRule type="expression" dxfId="3551" priority="161">
      <formula>AND($K17 = 0 * ISNUMBER($K17))</formula>
    </cfRule>
    <cfRule type="expression" dxfId="3550" priority="162">
      <formula>AND($K17 &lt; 0, ISNUMBER($K17))</formula>
    </cfRule>
  </conditionalFormatting>
  <conditionalFormatting sqref="D15:F16 E37:F37">
    <cfRule type="expression" dxfId="3549" priority="154">
      <formula>$E$37 &gt; 0</formula>
    </cfRule>
    <cfRule type="expression" dxfId="3548" priority="155">
      <formula>$E$37 = 0</formula>
    </cfRule>
    <cfRule type="expression" dxfId="3547" priority="156">
      <formula>$E$37 &lt; 0</formula>
    </cfRule>
  </conditionalFormatting>
  <conditionalFormatting sqref="G15:I16 H37:I37">
    <cfRule type="expression" dxfId="3546" priority="151">
      <formula>$H$37 &gt; 0</formula>
    </cfRule>
    <cfRule type="expression" dxfId="3545" priority="152">
      <formula>$H$37 = 0</formula>
    </cfRule>
    <cfRule type="expression" dxfId="3544" priority="153">
      <formula>$H$37 &lt; 0</formula>
    </cfRule>
  </conditionalFormatting>
  <conditionalFormatting sqref="J15:L16 K37:L37">
    <cfRule type="expression" dxfId="3543" priority="148">
      <formula>$K$37 &gt; 0</formula>
    </cfRule>
    <cfRule type="expression" dxfId="3542" priority="149">
      <formula>$K$37 = 0</formula>
    </cfRule>
    <cfRule type="expression" dxfId="3541" priority="150">
      <formula>$K$37 &lt; 0</formula>
    </cfRule>
  </conditionalFormatting>
  <conditionalFormatting sqref="M15:O16 N37:O37">
    <cfRule type="expression" dxfId="3540" priority="145">
      <formula>$N$37 &gt; 0</formula>
    </cfRule>
    <cfRule type="expression" dxfId="3539" priority="146">
      <formula>$N$37 = 0</formula>
    </cfRule>
    <cfRule type="expression" dxfId="3538" priority="147">
      <formula>$N$37 &lt; 0</formula>
    </cfRule>
  </conditionalFormatting>
  <conditionalFormatting sqref="A44:C63 M44:O63">
    <cfRule type="expression" dxfId="3537" priority="133">
      <formula>AND($N44 &gt; 0, ISNUMBER($N44))</formula>
    </cfRule>
    <cfRule type="expression" dxfId="3536" priority="134">
      <formula>AND($N44 = 0 * ISNUMBER($N44))</formula>
    </cfRule>
    <cfRule type="expression" dxfId="3535" priority="135">
      <formula>AND($N44 &lt; 0, ISNUMBER($N44))</formula>
    </cfRule>
  </conditionalFormatting>
  <conditionalFormatting sqref="A44:F63">
    <cfRule type="expression" dxfId="3534" priority="142">
      <formula>AND($E44 &gt; 0, ISNUMBER($E44))</formula>
    </cfRule>
    <cfRule type="expression" dxfId="3533" priority="143">
      <formula>AND($E44 = 0 * ISNUMBER($E44))</formula>
    </cfRule>
    <cfRule type="expression" dxfId="3532" priority="144">
      <formula>AND($E44 &lt; 0, ISNUMBER($E44))</formula>
    </cfRule>
  </conditionalFormatting>
  <conditionalFormatting sqref="A44:C63 G44:I63">
    <cfRule type="expression" dxfId="3531" priority="139">
      <formula>AND($H44 &gt; 0, ISNUMBER($H44))</formula>
    </cfRule>
    <cfRule type="expression" dxfId="3530" priority="140">
      <formula>AND($H44 = 0 * ISNUMBER($H44))</formula>
    </cfRule>
    <cfRule type="expression" dxfId="3529" priority="141">
      <formula>AND($H44 &lt; 0, ISNUMBER($H44))</formula>
    </cfRule>
  </conditionalFormatting>
  <conditionalFormatting sqref="A44:C63 J44:L63">
    <cfRule type="expression" dxfId="3528" priority="136">
      <formula>AND($K44 &gt; 0, ISNUMBER($K44))</formula>
    </cfRule>
    <cfRule type="expression" dxfId="3527" priority="137">
      <formula>AND($K44 = 0 * ISNUMBER($K44))</formula>
    </cfRule>
    <cfRule type="expression" dxfId="3526" priority="138">
      <formula>AND($K44 &lt; 0, ISNUMBER($K44))</formula>
    </cfRule>
  </conditionalFormatting>
  <conditionalFormatting sqref="D42:F43 E64:F64">
    <cfRule type="expression" dxfId="3525" priority="130">
      <formula>$E$64 &gt; 0</formula>
    </cfRule>
    <cfRule type="expression" dxfId="3524" priority="131">
      <formula>$E$64 = 0</formula>
    </cfRule>
    <cfRule type="expression" dxfId="3523" priority="132">
      <formula>$E$64 &lt; 0</formula>
    </cfRule>
  </conditionalFormatting>
  <conditionalFormatting sqref="G42:I43 H64:I64">
    <cfRule type="expression" dxfId="3522" priority="127">
      <formula>$H$64 &gt; 0</formula>
    </cfRule>
    <cfRule type="expression" dxfId="3521" priority="128">
      <formula>$H$64 = 0</formula>
    </cfRule>
    <cfRule type="expression" dxfId="3520" priority="129">
      <formula>$H$64 &lt; 0</formula>
    </cfRule>
  </conditionalFormatting>
  <conditionalFormatting sqref="J42:L43 K64:L64">
    <cfRule type="expression" dxfId="3519" priority="124">
      <formula>$K$64 &gt; 0</formula>
    </cfRule>
    <cfRule type="expression" dxfId="3518" priority="125">
      <formula>$K$64 = 0</formula>
    </cfRule>
    <cfRule type="expression" dxfId="3517" priority="126">
      <formula>$K$64 &lt; 0</formula>
    </cfRule>
  </conditionalFormatting>
  <conditionalFormatting sqref="M42:O43 N64:O64">
    <cfRule type="expression" dxfId="3516" priority="121">
      <formula>$N$64 &gt; 0</formula>
    </cfRule>
    <cfRule type="expression" dxfId="3515" priority="122">
      <formula>$N$64 = 0</formula>
    </cfRule>
    <cfRule type="expression" dxfId="3514" priority="123">
      <formula>$N$64 &lt; 0</formula>
    </cfRule>
  </conditionalFormatting>
  <conditionalFormatting sqref="A71:C90 M71:O90">
    <cfRule type="expression" dxfId="3513" priority="109">
      <formula>AND($N71 &gt; 0, ISNUMBER($N71))</formula>
    </cfRule>
    <cfRule type="expression" dxfId="3512" priority="110">
      <formula>AND($N71 = 0 * ISNUMBER($N71))</formula>
    </cfRule>
    <cfRule type="expression" dxfId="3511" priority="111">
      <formula>AND($N71 &lt; 0, ISNUMBER($N71))</formula>
    </cfRule>
  </conditionalFormatting>
  <conditionalFormatting sqref="A71:F90">
    <cfRule type="expression" dxfId="3510" priority="118">
      <formula>AND($E71 &gt; 0, ISNUMBER($E71))</formula>
    </cfRule>
    <cfRule type="expression" dxfId="3509" priority="119">
      <formula>AND($E71 = 0 * ISNUMBER($E71))</formula>
    </cfRule>
    <cfRule type="expression" dxfId="3508" priority="120">
      <formula>AND($E71 &lt; 0, ISNUMBER($E71))</formula>
    </cfRule>
  </conditionalFormatting>
  <conditionalFormatting sqref="A71:C90 G71:I90">
    <cfRule type="expression" dxfId="3507" priority="115">
      <formula>AND($H71 &gt; 0, ISNUMBER($H71))</formula>
    </cfRule>
    <cfRule type="expression" dxfId="3506" priority="116">
      <formula>AND($H71 = 0 * ISNUMBER($H71))</formula>
    </cfRule>
    <cfRule type="expression" dxfId="3505" priority="117">
      <formula>AND($H71 &lt; 0, ISNUMBER($H71))</formula>
    </cfRule>
  </conditionalFormatting>
  <conditionalFormatting sqref="A71:C90 J71:L90">
    <cfRule type="expression" dxfId="3504" priority="112">
      <formula>AND($K71 &gt; 0, ISNUMBER($K71))</formula>
    </cfRule>
    <cfRule type="expression" dxfId="3503" priority="113">
      <formula>AND($K71 = 0 * ISNUMBER($K71))</formula>
    </cfRule>
    <cfRule type="expression" dxfId="3502" priority="114">
      <formula>AND($K71 &lt; 0, ISNUMBER($K71))</formula>
    </cfRule>
  </conditionalFormatting>
  <conditionalFormatting sqref="D69:F70 E91:F91">
    <cfRule type="expression" dxfId="3501" priority="106">
      <formula>$E$91 &gt; 0</formula>
    </cfRule>
    <cfRule type="expression" dxfId="3500" priority="107">
      <formula>$E$91 = 0</formula>
    </cfRule>
    <cfRule type="expression" dxfId="3499" priority="108">
      <formula>$E$91 &lt; 0</formula>
    </cfRule>
  </conditionalFormatting>
  <conditionalFormatting sqref="G69:I70 H91:I91">
    <cfRule type="expression" dxfId="3498" priority="103">
      <formula>$H$91 &gt; 0</formula>
    </cfRule>
    <cfRule type="expression" dxfId="3497" priority="104">
      <formula>$H$91 = 0</formula>
    </cfRule>
    <cfRule type="expression" dxfId="3496" priority="105">
      <formula>$H$91 &lt; 0</formula>
    </cfRule>
  </conditionalFormatting>
  <conditionalFormatting sqref="J69:L70 K91:L91">
    <cfRule type="expression" dxfId="3495" priority="100">
      <formula>$K$91 &gt; 0</formula>
    </cfRule>
    <cfRule type="expression" dxfId="3494" priority="101">
      <formula>$K$91 = 0</formula>
    </cfRule>
    <cfRule type="expression" dxfId="3493" priority="102">
      <formula>$K$91 &lt; 0</formula>
    </cfRule>
  </conditionalFormatting>
  <conditionalFormatting sqref="M69:O70 N91:O91">
    <cfRule type="expression" dxfId="3492" priority="97">
      <formula>$N$91 &gt; 0</formula>
    </cfRule>
    <cfRule type="expression" dxfId="3491" priority="98">
      <formula>$N$91 = 0</formula>
    </cfRule>
    <cfRule type="expression" dxfId="3490" priority="99">
      <formula>$N$91 &lt; 0</formula>
    </cfRule>
  </conditionalFormatting>
  <conditionalFormatting sqref="A98:C117 M98:O117">
    <cfRule type="expression" dxfId="3489" priority="85">
      <formula>AND($N98 &gt; 0, ISNUMBER($N98))</formula>
    </cfRule>
    <cfRule type="expression" dxfId="3488" priority="86">
      <formula>AND($N98 = 0 * ISNUMBER($N98))</formula>
    </cfRule>
    <cfRule type="expression" dxfId="3487" priority="87">
      <formula>AND($N98 &lt; 0, ISNUMBER($N98))</formula>
    </cfRule>
  </conditionalFormatting>
  <conditionalFormatting sqref="A98:F117">
    <cfRule type="expression" dxfId="3486" priority="94">
      <formula>AND($E98 &gt; 0, ISNUMBER($E98))</formula>
    </cfRule>
    <cfRule type="expression" dxfId="3485" priority="95">
      <formula>AND($E98 = 0 * ISNUMBER($E98))</formula>
    </cfRule>
    <cfRule type="expression" dxfId="3484" priority="96">
      <formula>AND($E98 &lt; 0, ISNUMBER($E98))</formula>
    </cfRule>
  </conditionalFormatting>
  <conditionalFormatting sqref="A98:C117 G98:I117">
    <cfRule type="expression" dxfId="3483" priority="91">
      <formula>AND($H98 &gt; 0, ISNUMBER($H98))</formula>
    </cfRule>
    <cfRule type="expression" dxfId="3482" priority="92">
      <formula>AND($H98 = 0 * ISNUMBER($H98))</formula>
    </cfRule>
    <cfRule type="expression" dxfId="3481" priority="93">
      <formula>AND($H98 &lt; 0, ISNUMBER($H98))</formula>
    </cfRule>
  </conditionalFormatting>
  <conditionalFormatting sqref="A98:C117 J98:L117">
    <cfRule type="expression" dxfId="3480" priority="88">
      <formula>AND($K98 &gt; 0, ISNUMBER($K98))</formula>
    </cfRule>
    <cfRule type="expression" dxfId="3479" priority="89">
      <formula>AND($K98 = 0 * ISNUMBER($K98))</formula>
    </cfRule>
    <cfRule type="expression" dxfId="3478" priority="90">
      <formula>AND($K98 &lt; 0, ISNUMBER($K98))</formula>
    </cfRule>
  </conditionalFormatting>
  <conditionalFormatting sqref="D96:F97 E118:F118">
    <cfRule type="expression" dxfId="3477" priority="82">
      <formula>$E$118 &gt; 0</formula>
    </cfRule>
    <cfRule type="expression" dxfId="3476" priority="83">
      <formula>$E$118 = 0</formula>
    </cfRule>
    <cfRule type="expression" dxfId="3475" priority="84">
      <formula>$E$118 &lt; 0</formula>
    </cfRule>
  </conditionalFormatting>
  <conditionalFormatting sqref="G96:I97 H118:I118">
    <cfRule type="expression" dxfId="3474" priority="79">
      <formula>$H$118 &gt; 0</formula>
    </cfRule>
    <cfRule type="expression" dxfId="3473" priority="80">
      <formula>$H$118 = 0</formula>
    </cfRule>
    <cfRule type="expression" dxfId="3472" priority="81">
      <formula>$H$118 &lt; 0</formula>
    </cfRule>
  </conditionalFormatting>
  <conditionalFormatting sqref="J96:L97 K118:L118">
    <cfRule type="expression" dxfId="3471" priority="76">
      <formula>$K$118 &gt; 0</formula>
    </cfRule>
    <cfRule type="expression" dxfId="3470" priority="77">
      <formula>$K$118 = 0</formula>
    </cfRule>
    <cfRule type="expression" dxfId="3469" priority="78">
      <formula>$K$118 &lt; 0</formula>
    </cfRule>
  </conditionalFormatting>
  <conditionalFormatting sqref="M96:O97 N118:O118">
    <cfRule type="expression" dxfId="3468" priority="73">
      <formula>$N$118 &gt; 0</formula>
    </cfRule>
    <cfRule type="expression" dxfId="3467" priority="74">
      <formula>$N$118 = 0</formula>
    </cfRule>
    <cfRule type="expression" dxfId="3466" priority="75">
      <formula>$N$118 &lt; 0</formula>
    </cfRule>
  </conditionalFormatting>
  <conditionalFormatting sqref="A125:C144 M125:O144">
    <cfRule type="expression" dxfId="3465" priority="61">
      <formula>AND($N125 &gt; 0, ISNUMBER($N125))</formula>
    </cfRule>
    <cfRule type="expression" dxfId="3464" priority="62">
      <formula>AND($N125 = 0 * ISNUMBER($N125))</formula>
    </cfRule>
    <cfRule type="expression" dxfId="3463" priority="63">
      <formula>AND($N125 &lt; 0, ISNUMBER($N125))</formula>
    </cfRule>
  </conditionalFormatting>
  <conditionalFormatting sqref="A125:F144">
    <cfRule type="expression" dxfId="3462" priority="70">
      <formula>AND($E125 &gt; 0, ISNUMBER($E125))</formula>
    </cfRule>
    <cfRule type="expression" dxfId="3461" priority="71">
      <formula>AND($E125 = 0 * ISNUMBER($E125))</formula>
    </cfRule>
    <cfRule type="expression" dxfId="3460" priority="72">
      <formula>AND($E125 &lt; 0, ISNUMBER($E125))</formula>
    </cfRule>
  </conditionalFormatting>
  <conditionalFormatting sqref="A125:C144 G125:I144">
    <cfRule type="expression" dxfId="3459" priority="67">
      <formula>AND($H125 &gt; 0, ISNUMBER($H125))</formula>
    </cfRule>
    <cfRule type="expression" dxfId="3458" priority="68">
      <formula>AND($H125 = 0 * ISNUMBER($H125))</formula>
    </cfRule>
    <cfRule type="expression" dxfId="3457" priority="69">
      <formula>AND($H125 &lt; 0, ISNUMBER($H125))</formula>
    </cfRule>
  </conditionalFormatting>
  <conditionalFormatting sqref="A125:C144 J125:L144">
    <cfRule type="expression" dxfId="3456" priority="64">
      <formula>AND($K125 &gt; 0, ISNUMBER($K125))</formula>
    </cfRule>
    <cfRule type="expression" dxfId="3455" priority="65">
      <formula>AND($K125 = 0 * ISNUMBER($K125))</formula>
    </cfRule>
    <cfRule type="expression" dxfId="3454" priority="66">
      <formula>AND($K125 &lt; 0, ISNUMBER($K125))</formula>
    </cfRule>
  </conditionalFormatting>
  <conditionalFormatting sqref="D123:F124 E145:F145">
    <cfRule type="expression" dxfId="3453" priority="58">
      <formula>$E$145 &gt; 0</formula>
    </cfRule>
    <cfRule type="expression" dxfId="3452" priority="59">
      <formula>$E$145 = 0</formula>
    </cfRule>
    <cfRule type="expression" dxfId="3451" priority="60">
      <formula>$E$145 &lt; 0</formula>
    </cfRule>
  </conditionalFormatting>
  <conditionalFormatting sqref="G123:I124 H145:I145">
    <cfRule type="expression" dxfId="3450" priority="55">
      <formula>$H$145 &gt; 0</formula>
    </cfRule>
    <cfRule type="expression" dxfId="3449" priority="56">
      <formula>$H$145 = 0</formula>
    </cfRule>
    <cfRule type="expression" dxfId="3448" priority="57">
      <formula>$H$145 &lt; 0</formula>
    </cfRule>
  </conditionalFormatting>
  <conditionalFormatting sqref="J123:L124 K145:L145">
    <cfRule type="expression" dxfId="3447" priority="52">
      <formula>$K$145 &gt; 0</formula>
    </cfRule>
    <cfRule type="expression" dxfId="3446" priority="53">
      <formula>$K$145 = 0</formula>
    </cfRule>
    <cfRule type="expression" dxfId="3445" priority="54">
      <formula>$K$145 &lt; 0</formula>
    </cfRule>
  </conditionalFormatting>
  <conditionalFormatting sqref="M123:O124 N145:O145">
    <cfRule type="expression" dxfId="3444" priority="49">
      <formula>$N$145 &gt; 0</formula>
    </cfRule>
    <cfRule type="expression" dxfId="3443" priority="50">
      <formula>$N$145 = 0</formula>
    </cfRule>
    <cfRule type="expression" dxfId="3442" priority="51">
      <formula>$N$145 &lt; 0</formula>
    </cfRule>
  </conditionalFormatting>
  <conditionalFormatting sqref="A152:C171 M152:O171">
    <cfRule type="expression" dxfId="3441" priority="37">
      <formula>AND($N152 &gt; 0, ISNUMBER($N152))</formula>
    </cfRule>
    <cfRule type="expression" dxfId="3440" priority="38">
      <formula>AND($N152 = 0 * ISNUMBER($N152))</formula>
    </cfRule>
    <cfRule type="expression" dxfId="3439" priority="39">
      <formula>AND($N152 &lt; 0, ISNUMBER($N152))</formula>
    </cfRule>
  </conditionalFormatting>
  <conditionalFormatting sqref="A152:F171">
    <cfRule type="expression" dxfId="3438" priority="46">
      <formula>AND($E152 &gt; 0, ISNUMBER($E152))</formula>
    </cfRule>
    <cfRule type="expression" dxfId="3437" priority="47">
      <formula>AND($E152 = 0 * ISNUMBER($E152))</formula>
    </cfRule>
    <cfRule type="expression" dxfId="3436" priority="48">
      <formula>AND($E152 &lt; 0, ISNUMBER($E152))</formula>
    </cfRule>
  </conditionalFormatting>
  <conditionalFormatting sqref="A152:C171 G152:I171">
    <cfRule type="expression" dxfId="3435" priority="43">
      <formula>AND($H152 &gt; 0, ISNUMBER($H152))</formula>
    </cfRule>
    <cfRule type="expression" dxfId="3434" priority="44">
      <formula>AND($H152 = 0 * ISNUMBER($H152))</formula>
    </cfRule>
    <cfRule type="expression" dxfId="3433" priority="45">
      <formula>AND($H152 &lt; 0, ISNUMBER($H152))</formula>
    </cfRule>
  </conditionalFormatting>
  <conditionalFormatting sqref="A152:C171 J152:L171">
    <cfRule type="expression" dxfId="3432" priority="40">
      <formula>AND($K152 &gt; 0, ISNUMBER($K152))</formula>
    </cfRule>
    <cfRule type="expression" dxfId="3431" priority="41">
      <formula>AND($K152 = 0 * ISNUMBER($K152))</formula>
    </cfRule>
    <cfRule type="expression" dxfId="3430" priority="42">
      <formula>AND($K152 &lt; 0, ISNUMBER($K152))</formula>
    </cfRule>
  </conditionalFormatting>
  <conditionalFormatting sqref="D150:F151 E172:F172">
    <cfRule type="expression" dxfId="3429" priority="34">
      <formula>$E$172 &gt; 0</formula>
    </cfRule>
    <cfRule type="expression" dxfId="3428" priority="35">
      <formula>$E$172 = 0</formula>
    </cfRule>
    <cfRule type="expression" dxfId="3427" priority="36">
      <formula>$E$172 &lt; 0</formula>
    </cfRule>
  </conditionalFormatting>
  <conditionalFormatting sqref="G150:I151 H172:I172">
    <cfRule type="expression" dxfId="3426" priority="31">
      <formula>$H$172 &gt; 0</formula>
    </cfRule>
    <cfRule type="expression" dxfId="3425" priority="32">
      <formula>$H$172 = 0</formula>
    </cfRule>
    <cfRule type="expression" dxfId="3424" priority="33">
      <formula>$H$172 &lt; 0</formula>
    </cfRule>
  </conditionalFormatting>
  <conditionalFormatting sqref="J150:L151 K172:L172">
    <cfRule type="expression" dxfId="3423" priority="28">
      <formula>$K$172 &gt; 0</formula>
    </cfRule>
    <cfRule type="expression" dxfId="3422" priority="29">
      <formula>$K$172 = 0</formula>
    </cfRule>
    <cfRule type="expression" dxfId="3421" priority="30">
      <formula>$K$172 &lt; 0</formula>
    </cfRule>
  </conditionalFormatting>
  <conditionalFormatting sqref="M150:O151 N172:O172">
    <cfRule type="expression" dxfId="3420" priority="25">
      <formula>$N$172 &gt; 0</formula>
    </cfRule>
    <cfRule type="expression" dxfId="3419" priority="26">
      <formula>$N$172 = 0</formula>
    </cfRule>
    <cfRule type="expression" dxfId="3418" priority="27">
      <formula>$N$172 &lt; 0</formula>
    </cfRule>
  </conditionalFormatting>
  <conditionalFormatting sqref="A179:C198 M179:O198">
    <cfRule type="expression" dxfId="3417" priority="13">
      <formula>AND($N179 &gt; 0, ISNUMBER($N179))</formula>
    </cfRule>
    <cfRule type="expression" dxfId="3416" priority="14">
      <formula>AND($N179 = 0 * ISNUMBER($N179))</formula>
    </cfRule>
    <cfRule type="expression" dxfId="3415" priority="15">
      <formula>AND($N179 &lt; 0, ISNUMBER($N179))</formula>
    </cfRule>
  </conditionalFormatting>
  <conditionalFormatting sqref="A179:F198">
    <cfRule type="expression" dxfId="3414" priority="22">
      <formula>AND($E179 &gt; 0, ISNUMBER($E179))</formula>
    </cfRule>
    <cfRule type="expression" dxfId="3413" priority="23">
      <formula>AND($E179 = 0 * ISNUMBER($E179))</formula>
    </cfRule>
    <cfRule type="expression" dxfId="3412" priority="24">
      <formula>AND($E179 &lt; 0, ISNUMBER($E179))</formula>
    </cfRule>
  </conditionalFormatting>
  <conditionalFormatting sqref="A179:C198 G179:I198">
    <cfRule type="expression" dxfId="3411" priority="19">
      <formula>AND($H179 &gt; 0, ISNUMBER($H179))</formula>
    </cfRule>
    <cfRule type="expression" dxfId="3410" priority="20">
      <formula>AND($H179 = 0 * ISNUMBER($H179))</formula>
    </cfRule>
    <cfRule type="expression" dxfId="3409" priority="21">
      <formula>AND($H179 &lt; 0, ISNUMBER($H179))</formula>
    </cfRule>
  </conditionalFormatting>
  <conditionalFormatting sqref="A179:C198 J179:L198">
    <cfRule type="expression" dxfId="3408" priority="16">
      <formula>AND($K179 &gt; 0, ISNUMBER($K179))</formula>
    </cfRule>
    <cfRule type="expression" dxfId="3407" priority="17">
      <formula>AND($K179 = 0 * ISNUMBER($K179))</formula>
    </cfRule>
    <cfRule type="expression" dxfId="3406" priority="18">
      <formula>AND($K179 &lt; 0, ISNUMBER($K179))</formula>
    </cfRule>
  </conditionalFormatting>
  <conditionalFormatting sqref="D177:F178 E199:F199">
    <cfRule type="expression" dxfId="3405" priority="10">
      <formula>$E$199 &gt; 0</formula>
    </cfRule>
    <cfRule type="expression" dxfId="3404" priority="11">
      <formula>$E$199 = 0</formula>
    </cfRule>
    <cfRule type="expression" dxfId="3403" priority="12">
      <formula>$E$199 &lt; 0</formula>
    </cfRule>
  </conditionalFormatting>
  <conditionalFormatting sqref="G177:I178 H199:I199">
    <cfRule type="expression" dxfId="3402" priority="7">
      <formula>$H$199 &gt; 0</formula>
    </cfRule>
    <cfRule type="expression" dxfId="3401" priority="8">
      <formula>$H$199 = 0</formula>
    </cfRule>
    <cfRule type="expression" dxfId="3400" priority="9">
      <formula>$H$199 &lt; 0</formula>
    </cfRule>
  </conditionalFormatting>
  <conditionalFormatting sqref="J177:L178 K199:L199">
    <cfRule type="expression" dxfId="3399" priority="4">
      <formula>$K$199 &gt; 0</formula>
    </cfRule>
    <cfRule type="expression" dxfId="3398" priority="5">
      <formula>$K$199 = 0</formula>
    </cfRule>
    <cfRule type="expression" dxfId="3397" priority="6">
      <formula>$K$199 &lt; 0</formula>
    </cfRule>
  </conditionalFormatting>
  <conditionalFormatting sqref="M177:O178 N199:O199">
    <cfRule type="expression" dxfId="3396" priority="1">
      <formula>$N$199 &gt; 0</formula>
    </cfRule>
    <cfRule type="expression" dxfId="3395" priority="2">
      <formula>$N$199 = 0</formula>
    </cfRule>
    <cfRule type="expression" dxfId="33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2" t="s">
        <v>0</v>
      </c>
      <c r="B1" s="263"/>
      <c r="C1" s="263"/>
      <c r="D1" s="263"/>
      <c r="E1" s="263"/>
      <c r="F1" s="264"/>
      <c r="G1" s="293">
        <v>44349</v>
      </c>
      <c r="H1" s="294"/>
      <c r="I1" s="295"/>
      <c r="J1" s="262" t="s">
        <v>1</v>
      </c>
      <c r="K1" s="263"/>
      <c r="L1" s="263"/>
      <c r="M1" s="263"/>
      <c r="N1" s="263"/>
      <c r="O1" s="264"/>
      <c r="Q1" s="262" t="s">
        <v>2</v>
      </c>
      <c r="R1" s="264"/>
    </row>
    <row r="2" spans="1:19" ht="17.25" customHeight="1">
      <c r="A2" s="117" t="s">
        <v>3</v>
      </c>
      <c r="B2" s="296" t="s">
        <v>8</v>
      </c>
      <c r="C2" s="297"/>
      <c r="D2" s="297"/>
      <c r="E2" s="297"/>
      <c r="F2" s="298"/>
      <c r="G2" s="290" t="s">
        <v>46</v>
      </c>
      <c r="H2" s="291"/>
      <c r="I2" s="292"/>
      <c r="J2" s="1" t="s">
        <v>3</v>
      </c>
      <c r="K2" s="296" t="s">
        <v>345</v>
      </c>
      <c r="L2" s="297"/>
      <c r="M2" s="297"/>
      <c r="N2" s="297"/>
      <c r="O2" s="298"/>
      <c r="Q2" s="2" t="s">
        <v>6</v>
      </c>
      <c r="R2" s="3">
        <v>0.375</v>
      </c>
    </row>
    <row r="3" spans="1:19" ht="17.25" customHeight="1" thickBot="1">
      <c r="A3" s="118" t="s">
        <v>7</v>
      </c>
      <c r="B3" s="287" t="s">
        <v>353</v>
      </c>
      <c r="C3" s="288"/>
      <c r="D3" s="288"/>
      <c r="E3" s="288"/>
      <c r="F3" s="289"/>
      <c r="G3" s="28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84"/>
      <c r="I3" s="285"/>
      <c r="J3" s="4" t="s">
        <v>7</v>
      </c>
      <c r="K3" s="287" t="s">
        <v>346</v>
      </c>
      <c r="L3" s="288"/>
      <c r="M3" s="288"/>
      <c r="N3" s="288"/>
      <c r="O3" s="28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7" t="s">
        <v>16</v>
      </c>
      <c r="C4" s="288"/>
      <c r="D4" s="288"/>
      <c r="E4" s="288"/>
      <c r="F4" s="289"/>
      <c r="G4" s="290" t="s">
        <v>44</v>
      </c>
      <c r="H4" s="291"/>
      <c r="I4" s="292"/>
      <c r="J4" s="4" t="s">
        <v>11</v>
      </c>
      <c r="K4" s="287" t="s">
        <v>347</v>
      </c>
      <c r="L4" s="288"/>
      <c r="M4" s="288"/>
      <c r="N4" s="288"/>
      <c r="O4" s="28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7" t="s">
        <v>344</v>
      </c>
      <c r="C5" s="288"/>
      <c r="D5" s="288"/>
      <c r="E5" s="288"/>
      <c r="F5" s="289"/>
      <c r="G5" s="28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84"/>
      <c r="I5" s="285"/>
      <c r="J5" s="4" t="s">
        <v>15</v>
      </c>
      <c r="K5" s="287" t="s">
        <v>348</v>
      </c>
      <c r="L5" s="288"/>
      <c r="M5" s="288"/>
      <c r="N5" s="288"/>
      <c r="O5" s="289"/>
    </row>
    <row r="6" spans="1:19">
      <c r="A6" s="118" t="s">
        <v>18</v>
      </c>
      <c r="B6" s="287"/>
      <c r="C6" s="288"/>
      <c r="D6" s="288"/>
      <c r="E6" s="288"/>
      <c r="F6" s="289"/>
      <c r="G6" s="290" t="s">
        <v>45</v>
      </c>
      <c r="H6" s="291"/>
      <c r="I6" s="292"/>
      <c r="J6" s="4" t="s">
        <v>18</v>
      </c>
      <c r="K6" s="287" t="s">
        <v>349</v>
      </c>
      <c r="L6" s="288"/>
      <c r="M6" s="288"/>
      <c r="N6" s="288"/>
      <c r="O6" s="289"/>
    </row>
    <row r="7" spans="1:19" ht="17.25" thickBot="1">
      <c r="A7" s="118" t="s">
        <v>21</v>
      </c>
      <c r="B7" s="287"/>
      <c r="C7" s="288"/>
      <c r="D7" s="288"/>
      <c r="E7" s="288"/>
      <c r="F7" s="289"/>
      <c r="G7" s="28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84"/>
      <c r="I7" s="285"/>
      <c r="J7" s="4" t="s">
        <v>21</v>
      </c>
      <c r="K7" s="287" t="s">
        <v>350</v>
      </c>
      <c r="L7" s="288"/>
      <c r="M7" s="288"/>
      <c r="N7" s="288"/>
      <c r="O7" s="289"/>
    </row>
    <row r="8" spans="1:19" ht="17.25" thickBot="1">
      <c r="A8" s="118" t="s">
        <v>24</v>
      </c>
      <c r="B8" s="287"/>
      <c r="C8" s="288"/>
      <c r="D8" s="288"/>
      <c r="E8" s="288"/>
      <c r="F8" s="289"/>
      <c r="G8" s="290" t="s">
        <v>280</v>
      </c>
      <c r="H8" s="291"/>
      <c r="I8" s="292"/>
      <c r="J8" s="4" t="s">
        <v>24</v>
      </c>
      <c r="K8" s="287"/>
      <c r="L8" s="288"/>
      <c r="M8" s="288"/>
      <c r="N8" s="288"/>
      <c r="O8" s="289"/>
      <c r="Q8" s="262" t="s">
        <v>27</v>
      </c>
      <c r="R8" s="264"/>
    </row>
    <row r="9" spans="1:19" ht="17.25" thickBot="1">
      <c r="A9" s="118" t="s">
        <v>28</v>
      </c>
      <c r="B9" s="287"/>
      <c r="C9" s="288"/>
      <c r="D9" s="288"/>
      <c r="E9" s="288"/>
      <c r="F9" s="289"/>
      <c r="G9" s="28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84"/>
      <c r="I9" s="285"/>
      <c r="J9" s="4" t="s">
        <v>28</v>
      </c>
      <c r="K9" s="287"/>
      <c r="L9" s="288"/>
      <c r="M9" s="288"/>
      <c r="N9" s="288"/>
      <c r="O9" s="289"/>
      <c r="Q9" s="2" t="s">
        <v>29</v>
      </c>
      <c r="R9" s="6">
        <v>10</v>
      </c>
    </row>
    <row r="10" spans="1:19">
      <c r="A10" s="118" t="s">
        <v>30</v>
      </c>
      <c r="B10" s="287"/>
      <c r="C10" s="288"/>
      <c r="D10" s="288"/>
      <c r="E10" s="288"/>
      <c r="F10" s="289"/>
      <c r="G10" s="290" t="s">
        <v>47</v>
      </c>
      <c r="H10" s="291"/>
      <c r="I10" s="292"/>
      <c r="J10" s="4" t="s">
        <v>30</v>
      </c>
      <c r="K10" s="287" t="s">
        <v>351</v>
      </c>
      <c r="L10" s="288"/>
      <c r="M10" s="288"/>
      <c r="N10" s="288"/>
      <c r="O10" s="289"/>
      <c r="Q10" s="2" t="s">
        <v>31</v>
      </c>
      <c r="R10" s="6">
        <v>100</v>
      </c>
    </row>
    <row r="11" spans="1:19" ht="17.25" thickBot="1">
      <c r="A11" s="119" t="s">
        <v>32</v>
      </c>
      <c r="B11" s="280" t="s">
        <v>352</v>
      </c>
      <c r="C11" s="281"/>
      <c r="D11" s="281"/>
      <c r="E11" s="281"/>
      <c r="F11" s="282"/>
      <c r="G11" s="28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84"/>
      <c r="I11" s="285"/>
      <c r="J11" s="7" t="s">
        <v>32</v>
      </c>
      <c r="K11" s="280" t="s">
        <v>343</v>
      </c>
      <c r="L11" s="281"/>
      <c r="M11" s="281"/>
      <c r="N11" s="281"/>
      <c r="O11" s="282"/>
      <c r="Q11" s="65" t="s">
        <v>33</v>
      </c>
      <c r="R11" s="8">
        <v>1000</v>
      </c>
    </row>
    <row r="12" spans="1:19" ht="17.25" thickBot="1"/>
    <row r="13" spans="1:19" ht="17.25" customHeight="1" thickBot="1">
      <c r="A13" s="262" t="s">
        <v>34</v>
      </c>
      <c r="B13" s="263"/>
      <c r="C13" s="263"/>
      <c r="D13" s="263"/>
      <c r="E13" s="263"/>
      <c r="F13" s="263"/>
      <c r="G13" s="263"/>
      <c r="H13" s="263"/>
      <c r="I13" s="263"/>
      <c r="J13" s="263"/>
      <c r="K13" s="263"/>
      <c r="L13" s="263"/>
      <c r="M13" s="263"/>
      <c r="N13" s="263"/>
      <c r="O13" s="264"/>
      <c r="Q13" s="261"/>
      <c r="R13" s="261"/>
      <c r="S13" s="261"/>
    </row>
    <row r="14" spans="1:19" ht="17.25" customHeight="1" thickBot="1">
      <c r="A14" s="164" t="s">
        <v>35</v>
      </c>
      <c r="B14" s="262" t="s">
        <v>36</v>
      </c>
      <c r="C14" s="264"/>
      <c r="D14" s="262" t="s">
        <v>37</v>
      </c>
      <c r="E14" s="263"/>
      <c r="F14" s="264"/>
      <c r="G14" s="265">
        <f>_xlfn.IFNA(VLOOKUP(B14, 현재가테이블!$B$2:$D$200, 2, FALSE), "-")</f>
        <v>40538000</v>
      </c>
      <c r="H14" s="266"/>
      <c r="I14" s="267"/>
      <c r="J14" s="262" t="s">
        <v>38</v>
      </c>
      <c r="K14" s="263"/>
      <c r="L14" s="264"/>
      <c r="M14" s="268">
        <f>_xlfn.IFNA(VLOOKUP(B14, 현재가테이블!$B$2:$D$200, 3, FALSE), "-")</f>
        <v>-3.68275993E-2</v>
      </c>
      <c r="N14" s="269"/>
      <c r="O14" s="270"/>
      <c r="Q14" s="261"/>
      <c r="R14" s="261"/>
      <c r="S14" s="261"/>
    </row>
    <row r="15" spans="1:19" ht="17.25" customHeight="1" thickBot="1">
      <c r="A15" s="299" t="s">
        <v>39</v>
      </c>
      <c r="B15" s="300" t="str">
        <f>TEXT($G$1, "[$-ko-KR]yyyy-mm-dd(ddd) ") &amp; "오전 00:00"</f>
        <v>2021-06-02(수) 오전 00:00</v>
      </c>
      <c r="C15" s="301"/>
      <c r="D15" s="275" t="str">
        <f>TEXT($G$1, "[$-ko-KR]yyyy-mm-dd(ddd) ") &amp; "오후 14:00"</f>
        <v>2021-06-02(수) 오후 14:00</v>
      </c>
      <c r="E15" s="276"/>
      <c r="F15" s="277"/>
      <c r="G15" s="275" t="str">
        <f>TEXT($G$1, "[$-ko-KR]yyyy-mm-dd(ddd) ") &amp; "오후 19:00"</f>
        <v>2021-06-02(수) 오후 19:00</v>
      </c>
      <c r="H15" s="276"/>
      <c r="I15" s="277"/>
      <c r="J15" s="275" t="str">
        <f>TEXT($G$1, "[$-ko-KR]yyyy-mm-dd(ddd) ") &amp; "오후 21:00"</f>
        <v>2021-06-02(수) 오후 21:00</v>
      </c>
      <c r="K15" s="276"/>
      <c r="L15" s="277"/>
      <c r="M15" s="275" t="str">
        <f>TEXT($G$1+1, "[$-ko-KR]yyyy-mm-dd(ddd) ") &amp; "오전 00:00"</f>
        <v>2021-06-03(목) 오전 00:00</v>
      </c>
      <c r="N15" s="276"/>
      <c r="O15" s="277"/>
      <c r="Q15" s="261"/>
      <c r="R15" s="261"/>
      <c r="S15" s="261"/>
    </row>
    <row r="16" spans="1:19" ht="17.25" customHeight="1" thickBot="1">
      <c r="A16" s="29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61"/>
      <c r="R17" s="261"/>
      <c r="S17" s="261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61"/>
      <c r="R18" s="261"/>
      <c r="S18" s="261"/>
    </row>
    <row r="19" spans="1:19" ht="17.25" customHeight="1" thickBot="1">
      <c r="A19" s="162" t="s">
        <v>242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51"/>
      <c r="R19" s="251"/>
      <c r="S19" s="251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51"/>
      <c r="R20" s="251"/>
      <c r="S20" s="251"/>
    </row>
    <row r="21" spans="1:19" ht="17.25" customHeight="1" thickBot="1">
      <c r="A21" s="163" t="s">
        <v>201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51"/>
      <c r="R21" s="251"/>
      <c r="S21" s="251"/>
    </row>
    <row r="22" spans="1:19" ht="17.25" customHeight="1" thickBot="1">
      <c r="A22" s="162" t="s">
        <v>210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51"/>
      <c r="R22" s="251"/>
      <c r="S22" s="25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304">
        <v>100000</v>
      </c>
      <c r="C37" s="305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262" t="s">
        <v>44</v>
      </c>
      <c r="B40" s="263"/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4"/>
      <c r="Q40" s="261"/>
      <c r="R40" s="261"/>
      <c r="S40" s="261"/>
    </row>
    <row r="41" spans="1:19" ht="17.25" customHeight="1" thickBot="1">
      <c r="A41" s="164" t="s">
        <v>292</v>
      </c>
      <c r="B41" s="262" t="s">
        <v>49</v>
      </c>
      <c r="C41" s="264"/>
      <c r="D41" s="262" t="s">
        <v>58</v>
      </c>
      <c r="E41" s="263"/>
      <c r="F41" s="264"/>
      <c r="G41" s="265">
        <f>_xlfn.IFNA(VLOOKUP(B41, 현재가테이블!$B$2:$D$200, 2, FALSE), "-")</f>
        <v>40538000</v>
      </c>
      <c r="H41" s="266"/>
      <c r="I41" s="267"/>
      <c r="J41" s="262" t="s">
        <v>59</v>
      </c>
      <c r="K41" s="263"/>
      <c r="L41" s="264"/>
      <c r="M41" s="268">
        <f>_xlfn.IFNA(VLOOKUP(B41, 현재가테이블!$B$2:$D$200, 3, FALSE), "-")</f>
        <v>-3.68275993E-2</v>
      </c>
      <c r="N41" s="269"/>
      <c r="O41" s="270"/>
      <c r="Q41" s="261"/>
      <c r="R41" s="261"/>
      <c r="S41" s="261"/>
    </row>
    <row r="42" spans="1:19" ht="17.25" customHeight="1" thickBot="1">
      <c r="A42" s="306" t="s">
        <v>55</v>
      </c>
      <c r="B42" s="302" t="str">
        <f>TEXT($G$1, "[$-ko-KR]yyyy-mm-dd(ddd) ") &amp; "오전 00:00"</f>
        <v>2021-06-02(수) 오전 00:00</v>
      </c>
      <c r="C42" s="303"/>
      <c r="D42" s="275" t="str">
        <f>TEXT($G$1, "[$-ko-KR]yyyy-mm-dd(ddd) ") &amp; "오후 14:00"</f>
        <v>2021-06-02(수) 오후 14:00</v>
      </c>
      <c r="E42" s="276"/>
      <c r="F42" s="277"/>
      <c r="G42" s="275" t="str">
        <f>TEXT($G$1, "[$-ko-KR]yyyy-mm-dd(ddd) ") &amp; "오후 19:00"</f>
        <v>2021-06-02(수) 오후 19:00</v>
      </c>
      <c r="H42" s="276"/>
      <c r="I42" s="277"/>
      <c r="J42" s="275" t="str">
        <f>TEXT($G$1, "[$-ko-KR]yyyy-mm-dd(ddd) ") &amp; "오후 21:00"</f>
        <v>2021-06-02(수) 오후 21:00</v>
      </c>
      <c r="K42" s="276"/>
      <c r="L42" s="277"/>
      <c r="M42" s="275" t="str">
        <f>TEXT($G$1+1, "[$-ko-KR]yyyy-mm-dd(ddd) ") &amp; "오전 00:00"</f>
        <v>2021-06-03(목) 오전 00:00</v>
      </c>
      <c r="N42" s="276"/>
      <c r="O42" s="277"/>
      <c r="Q42" s="261"/>
      <c r="R42" s="261"/>
      <c r="S42" s="261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5" t="s">
        <v>58</v>
      </c>
      <c r="H43" s="166" t="s">
        <v>293</v>
      </c>
      <c r="I43" s="16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1"/>
      <c r="R43" s="251"/>
      <c r="S43" s="251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61"/>
      <c r="R44" s="261"/>
      <c r="S44" s="261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61"/>
      <c r="R45" s="261"/>
      <c r="S45" s="261"/>
    </row>
    <row r="46" spans="1:19" ht="17.25" customHeight="1" thickBot="1">
      <c r="A46" s="162" t="s">
        <v>273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51"/>
      <c r="R46" s="251"/>
      <c r="S46" s="251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51"/>
      <c r="R47" s="251"/>
      <c r="S47" s="251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51"/>
      <c r="R48" s="251"/>
      <c r="S48" s="251"/>
    </row>
    <row r="49" spans="1:19" ht="17.25" customHeight="1" thickBot="1">
      <c r="A49" s="162" t="s">
        <v>171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51"/>
      <c r="R49" s="251"/>
      <c r="S49" s="251"/>
    </row>
    <row r="50" spans="1:19" ht="17.25" customHeight="1" thickBot="1">
      <c r="A50" s="162" t="s">
        <v>233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51"/>
      <c r="R50" s="251"/>
      <c r="S50" s="251"/>
    </row>
    <row r="51" spans="1:19" ht="17.25" customHeight="1" thickBot="1">
      <c r="A51" s="162" t="s">
        <v>249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51"/>
      <c r="R51" s="251"/>
      <c r="S51" s="251"/>
    </row>
    <row r="52" spans="1:19" ht="17.25" customHeight="1" thickBot="1">
      <c r="A52" s="162" t="s">
        <v>261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217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52"/>
      <c r="R53" s="253"/>
      <c r="S53" s="254"/>
    </row>
    <row r="54" spans="1:19" ht="17.25" customHeight="1">
      <c r="A54" s="161" t="s">
        <v>185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55"/>
      <c r="R54" s="256"/>
      <c r="S54" s="257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58"/>
      <c r="R55" s="259"/>
      <c r="S55" s="260"/>
    </row>
    <row r="56" spans="1:19" ht="17.25" customHeight="1" thickBot="1">
      <c r="A56" s="162" t="s">
        <v>195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51"/>
      <c r="R56" s="251"/>
      <c r="S56" s="251"/>
    </row>
    <row r="57" spans="1:19" ht="17.25" customHeight="1" thickBot="1">
      <c r="A57" s="162" t="s">
        <v>219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61"/>
      <c r="R57" s="261"/>
      <c r="S57" s="261"/>
    </row>
    <row r="58" spans="1:19" ht="17.25" customHeight="1" thickBot="1">
      <c r="A58" s="163" t="s">
        <v>259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61"/>
      <c r="R58" s="261"/>
      <c r="S58" s="261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51"/>
      <c r="R59" s="251"/>
      <c r="S59" s="251"/>
    </row>
    <row r="60" spans="1:19" ht="17.25" customHeight="1" thickBot="1">
      <c r="A60" s="162" t="s">
        <v>263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51"/>
      <c r="R60" s="251"/>
      <c r="S60" s="251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51"/>
      <c r="R61" s="251"/>
      <c r="S61" s="251"/>
    </row>
    <row r="62" spans="1:19" ht="17.25" customHeight="1">
      <c r="A62" s="162" t="s">
        <v>197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40"/>
      <c r="R62" s="241"/>
      <c r="S62" s="242"/>
    </row>
    <row r="63" spans="1:19" ht="17.25" customHeight="1" thickBot="1">
      <c r="A63" s="130" t="s">
        <v>215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43"/>
      <c r="R63" s="244"/>
      <c r="S63" s="245"/>
    </row>
    <row r="64" spans="1:19" ht="17.25" customHeight="1" thickBot="1">
      <c r="A64" s="132" t="s">
        <v>295</v>
      </c>
      <c r="B64" s="304">
        <f>$B$37</f>
        <v>100000</v>
      </c>
      <c r="C64" s="305"/>
      <c r="D64" s="26" t="s">
        <v>296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296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296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296</v>
      </c>
      <c r="N64" s="27">
        <f>IF(COUNT(N44:N63), SUM(N44:N63) / COUNT(N44:N63), 0)</f>
        <v>2.0836356808595181E-2</v>
      </c>
      <c r="O64" s="28">
        <f>SUM(O44:O63)</f>
        <v>41672.713617190377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262" t="s">
        <v>45</v>
      </c>
      <c r="B67" s="263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4"/>
      <c r="Q67" s="261"/>
      <c r="R67" s="261"/>
      <c r="S67" s="261"/>
    </row>
    <row r="68" spans="1:19" ht="17.25" thickBot="1">
      <c r="A68" s="164" t="s">
        <v>292</v>
      </c>
      <c r="B68" s="262" t="s">
        <v>49</v>
      </c>
      <c r="C68" s="264"/>
      <c r="D68" s="262" t="s">
        <v>58</v>
      </c>
      <c r="E68" s="263"/>
      <c r="F68" s="264"/>
      <c r="G68" s="265">
        <f>_xlfn.IFNA(VLOOKUP(B68, 현재가테이블!$B$2:$D$200, 2, FALSE), "-")</f>
        <v>40538000</v>
      </c>
      <c r="H68" s="266"/>
      <c r="I68" s="267"/>
      <c r="J68" s="262" t="s">
        <v>59</v>
      </c>
      <c r="K68" s="263"/>
      <c r="L68" s="264"/>
      <c r="M68" s="268">
        <f>_xlfn.IFNA(VLOOKUP(B68, 현재가테이블!$B$2:$D$200, 3, FALSE), "-")</f>
        <v>-3.68275993E-2</v>
      </c>
      <c r="N68" s="269"/>
      <c r="O68" s="270"/>
      <c r="Q68" s="261"/>
      <c r="R68" s="261"/>
      <c r="S68" s="261"/>
    </row>
    <row r="69" spans="1:19" ht="17.25" thickBot="1">
      <c r="A69" s="306" t="s">
        <v>55</v>
      </c>
      <c r="B69" s="302" t="str">
        <f>TEXT($G$1, "[$-ko-KR]yyyy-mm-dd(ddd) ") &amp; "오전 00:00"</f>
        <v>2021-06-02(수) 오전 00:00</v>
      </c>
      <c r="C69" s="303"/>
      <c r="D69" s="275" t="str">
        <f>TEXT($G$1, "[$-ko-KR]yyyy-mm-dd(ddd) ") &amp; "오후 14:00"</f>
        <v>2021-06-02(수) 오후 14:00</v>
      </c>
      <c r="E69" s="276"/>
      <c r="F69" s="277"/>
      <c r="G69" s="275" t="str">
        <f>TEXT($G$1, "[$-ko-KR]yyyy-mm-dd(ddd) ") &amp; "오후 19:00"</f>
        <v>2021-06-02(수) 오후 19:00</v>
      </c>
      <c r="H69" s="276"/>
      <c r="I69" s="277"/>
      <c r="J69" s="275" t="str">
        <f>TEXT($G$1, "[$-ko-KR]yyyy-mm-dd(ddd) ") &amp; "오후 21:00"</f>
        <v>2021-06-02(수) 오후 21:00</v>
      </c>
      <c r="K69" s="276"/>
      <c r="L69" s="277"/>
      <c r="M69" s="275" t="str">
        <f>TEXT($G$1+1, "[$-ko-KR]yyyy-mm-dd(ddd) ") &amp; "오전 00:00"</f>
        <v>2021-06-03(목) 오전 00:00</v>
      </c>
      <c r="N69" s="276"/>
      <c r="O69" s="277"/>
      <c r="Q69" s="261"/>
      <c r="R69" s="261"/>
      <c r="S69" s="261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5" t="s">
        <v>58</v>
      </c>
      <c r="H70" s="166" t="s">
        <v>293</v>
      </c>
      <c r="I70" s="16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1"/>
      <c r="R70" s="251"/>
      <c r="S70" s="251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61"/>
      <c r="R71" s="261"/>
      <c r="S71" s="261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61"/>
      <c r="R72" s="261"/>
      <c r="S72" s="261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51"/>
      <c r="R73" s="251"/>
      <c r="S73" s="251"/>
    </row>
    <row r="74" spans="1:19" ht="17.25" thickBot="1">
      <c r="A74" s="162" t="s">
        <v>167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51"/>
      <c r="R74" s="251"/>
      <c r="S74" s="251"/>
    </row>
    <row r="75" spans="1:19" ht="17.25" thickBot="1">
      <c r="A75" s="163" t="s">
        <v>223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51"/>
      <c r="R75" s="251"/>
      <c r="S75" s="251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51"/>
      <c r="R76" s="251"/>
      <c r="S76" s="251"/>
    </row>
    <row r="77" spans="1:19" ht="17.25" thickBot="1">
      <c r="A77" s="162" t="s">
        <v>291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51"/>
      <c r="R77" s="251"/>
      <c r="S77" s="251"/>
    </row>
    <row r="78" spans="1:19" ht="17.25" thickBot="1">
      <c r="A78" s="162" t="s">
        <v>214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51"/>
      <c r="R78" s="251"/>
      <c r="S78" s="251"/>
    </row>
    <row r="79" spans="1:19" ht="17.25" thickBot="1">
      <c r="A79" s="162" t="s">
        <v>208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236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52"/>
      <c r="R80" s="253"/>
      <c r="S80" s="254"/>
    </row>
    <row r="81" spans="1:19">
      <c r="A81" s="161" t="s">
        <v>169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55"/>
      <c r="R81" s="256"/>
      <c r="S81" s="257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58"/>
      <c r="R82" s="259"/>
      <c r="S82" s="260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51"/>
      <c r="R83" s="251"/>
      <c r="S83" s="251"/>
    </row>
    <row r="84" spans="1:19" ht="17.25" thickBot="1">
      <c r="A84" s="162" t="s">
        <v>181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61"/>
      <c r="R84" s="261"/>
      <c r="S84" s="261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61"/>
      <c r="R85" s="261"/>
      <c r="S85" s="261"/>
    </row>
    <row r="86" spans="1:19" ht="17.25" thickBot="1">
      <c r="A86" s="162" t="s">
        <v>246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51"/>
      <c r="R86" s="251"/>
      <c r="S86" s="251"/>
    </row>
    <row r="87" spans="1:19" ht="17.25" thickBot="1">
      <c r="A87" s="162" t="s">
        <v>248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51"/>
      <c r="R87" s="251"/>
      <c r="S87" s="251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51"/>
      <c r="R88" s="251"/>
      <c r="S88" s="251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40"/>
      <c r="R89" s="241"/>
      <c r="S89" s="242"/>
    </row>
    <row r="90" spans="1:19" ht="17.25" thickBot="1">
      <c r="A90" s="130" t="s">
        <v>251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43"/>
      <c r="R90" s="244"/>
      <c r="S90" s="245"/>
    </row>
    <row r="91" spans="1:19" ht="17.25" thickBot="1">
      <c r="A91" s="132" t="s">
        <v>295</v>
      </c>
      <c r="B91" s="304">
        <f>$B$37</f>
        <v>100000</v>
      </c>
      <c r="C91" s="305"/>
      <c r="D91" s="26" t="s">
        <v>296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296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296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296</v>
      </c>
      <c r="N91" s="27">
        <f>IF(COUNT(N71:N90), SUM(N71:N90) / COUNT(N71:N90), 0)</f>
        <v>3.0210636937261115E-2</v>
      </c>
      <c r="O91" s="28">
        <f>SUM(O71:O90)</f>
        <v>60421.27387452223</v>
      </c>
      <c r="Q91" s="246"/>
      <c r="R91" s="247"/>
      <c r="S91" s="248"/>
    </row>
    <row r="93" spans="1:19" ht="17.25" thickBot="1"/>
    <row r="94" spans="1:19" ht="17.25" thickBot="1">
      <c r="A94" s="262" t="s">
        <v>46</v>
      </c>
      <c r="B94" s="263"/>
      <c r="C94" s="263"/>
      <c r="D94" s="263"/>
      <c r="E94" s="263"/>
      <c r="F94" s="263"/>
      <c r="G94" s="263"/>
      <c r="H94" s="263"/>
      <c r="I94" s="263"/>
      <c r="J94" s="263"/>
      <c r="K94" s="263"/>
      <c r="L94" s="263"/>
      <c r="M94" s="263"/>
      <c r="N94" s="263"/>
      <c r="O94" s="264"/>
      <c r="Q94" s="261"/>
      <c r="R94" s="261"/>
      <c r="S94" s="261"/>
    </row>
    <row r="95" spans="1:19" ht="17.25" thickBot="1">
      <c r="A95" s="164" t="s">
        <v>292</v>
      </c>
      <c r="B95" s="262" t="s">
        <v>49</v>
      </c>
      <c r="C95" s="264"/>
      <c r="D95" s="262" t="s">
        <v>58</v>
      </c>
      <c r="E95" s="263"/>
      <c r="F95" s="264"/>
      <c r="G95" s="265">
        <f>_xlfn.IFNA(VLOOKUP(B95, 현재가테이블!$B$2:$D$200, 2, FALSE), "-")</f>
        <v>40538000</v>
      </c>
      <c r="H95" s="266"/>
      <c r="I95" s="267"/>
      <c r="J95" s="262" t="s">
        <v>59</v>
      </c>
      <c r="K95" s="263"/>
      <c r="L95" s="264"/>
      <c r="M95" s="268">
        <f>_xlfn.IFNA(VLOOKUP(B95, 현재가테이블!$B$2:$D$200, 3, FALSE), "-")</f>
        <v>-3.68275993E-2</v>
      </c>
      <c r="N95" s="269"/>
      <c r="O95" s="270"/>
      <c r="Q95" s="261"/>
      <c r="R95" s="261"/>
      <c r="S95" s="261"/>
    </row>
    <row r="96" spans="1:19" ht="17.25" thickBot="1">
      <c r="A96" s="306" t="s">
        <v>55</v>
      </c>
      <c r="B96" s="302" t="str">
        <f>TEXT($G$1, "[$-ko-KR]yyyy-mm-dd(ddd) ") &amp; "오전 00:00"</f>
        <v>2021-06-02(수) 오전 00:00</v>
      </c>
      <c r="C96" s="303"/>
      <c r="D96" s="275" t="str">
        <f>TEXT($G$1, "[$-ko-KR]yyyy-mm-dd(ddd) ") &amp; "오후 14:00"</f>
        <v>2021-06-02(수) 오후 14:00</v>
      </c>
      <c r="E96" s="276"/>
      <c r="F96" s="277"/>
      <c r="G96" s="275" t="str">
        <f>TEXT($G$1, "[$-ko-KR]yyyy-mm-dd(ddd) ") &amp; "오후 19:00"</f>
        <v>2021-06-02(수) 오후 19:00</v>
      </c>
      <c r="H96" s="276"/>
      <c r="I96" s="277"/>
      <c r="J96" s="275" t="str">
        <f>TEXT($G$1, "[$-ko-KR]yyyy-mm-dd(ddd) ") &amp; "오후 21:00"</f>
        <v>2021-06-02(수) 오후 21:00</v>
      </c>
      <c r="K96" s="276"/>
      <c r="L96" s="277"/>
      <c r="M96" s="275" t="str">
        <f>TEXT($G$1+1, "[$-ko-KR]yyyy-mm-dd(ddd) ") &amp; "오전 00:00"</f>
        <v>2021-06-03(목) 오전 00:00</v>
      </c>
      <c r="N96" s="276"/>
      <c r="O96" s="277"/>
      <c r="Q96" s="261"/>
      <c r="R96" s="261"/>
      <c r="S96" s="261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5" t="s">
        <v>58</v>
      </c>
      <c r="H97" s="166" t="s">
        <v>293</v>
      </c>
      <c r="I97" s="16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1"/>
      <c r="R97" s="251"/>
      <c r="S97" s="251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61"/>
      <c r="R98" s="261"/>
      <c r="S98" s="261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61"/>
      <c r="R99" s="261"/>
      <c r="S99" s="261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51"/>
      <c r="R100" s="251"/>
      <c r="S100" s="251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51"/>
      <c r="R101" s="251"/>
      <c r="S101" s="251"/>
    </row>
    <row r="102" spans="1:19" ht="17.25" thickBot="1">
      <c r="A102" s="163" t="s">
        <v>244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51"/>
      <c r="R102" s="251"/>
      <c r="S102" s="251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51"/>
      <c r="R103" s="251"/>
      <c r="S103" s="251"/>
    </row>
    <row r="104" spans="1:19" ht="17.25" thickBot="1">
      <c r="A104" s="162" t="s">
        <v>167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51"/>
      <c r="R104" s="251"/>
      <c r="S104" s="251"/>
    </row>
    <row r="105" spans="1:19" ht="17.25" thickBot="1">
      <c r="A105" s="162" t="s">
        <v>223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51"/>
      <c r="R105" s="251"/>
      <c r="S105" s="251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52"/>
      <c r="R107" s="253"/>
      <c r="S107" s="254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55"/>
      <c r="R108" s="256"/>
      <c r="S108" s="257"/>
    </row>
    <row r="109" spans="1:19" ht="17.25" thickBot="1">
      <c r="A109" s="162" t="s">
        <v>238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58"/>
      <c r="R109" s="259"/>
      <c r="S109" s="260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51"/>
      <c r="R110" s="251"/>
      <c r="S110" s="251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61"/>
      <c r="R111" s="261"/>
      <c r="S111" s="261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61"/>
      <c r="R112" s="261"/>
      <c r="S112" s="261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51"/>
      <c r="R113" s="251"/>
      <c r="S113" s="251"/>
    </row>
    <row r="114" spans="1:19" ht="17.25" thickBot="1">
      <c r="A114" s="162" t="s">
        <v>291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51"/>
      <c r="R114" s="251"/>
      <c r="S114" s="251"/>
    </row>
    <row r="115" spans="1:19" ht="17.25" thickBot="1">
      <c r="A115" s="162" t="s">
        <v>183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51"/>
      <c r="R115" s="251"/>
      <c r="S115" s="251"/>
    </row>
    <row r="116" spans="1:19">
      <c r="A116" s="162" t="s">
        <v>161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40"/>
      <c r="R116" s="241"/>
      <c r="S116" s="242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43"/>
      <c r="R117" s="244"/>
      <c r="S117" s="245"/>
    </row>
    <row r="118" spans="1:19" ht="17.25" thickBot="1">
      <c r="A118" s="132" t="s">
        <v>295</v>
      </c>
      <c r="B118" s="304">
        <f>$B$37</f>
        <v>100000</v>
      </c>
      <c r="C118" s="305"/>
      <c r="D118" s="26" t="s">
        <v>296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296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296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296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46"/>
      <c r="R118" s="247"/>
      <c r="S118" s="248"/>
    </row>
    <row r="120" spans="1:19" ht="17.25" thickBot="1"/>
    <row r="121" spans="1:19" ht="17.25" thickBot="1">
      <c r="A121" s="262" t="s">
        <v>283</v>
      </c>
      <c r="B121" s="263"/>
      <c r="C121" s="263"/>
      <c r="D121" s="263"/>
      <c r="E121" s="263"/>
      <c r="F121" s="263"/>
      <c r="G121" s="263"/>
      <c r="H121" s="263"/>
      <c r="I121" s="263"/>
      <c r="J121" s="263"/>
      <c r="K121" s="263"/>
      <c r="L121" s="263"/>
      <c r="M121" s="263"/>
      <c r="N121" s="263"/>
      <c r="O121" s="264"/>
      <c r="Q121" s="261"/>
      <c r="R121" s="261"/>
      <c r="S121" s="261"/>
    </row>
    <row r="122" spans="1:19" ht="17.25" thickBot="1">
      <c r="A122" s="164" t="s">
        <v>292</v>
      </c>
      <c r="B122" s="262" t="s">
        <v>49</v>
      </c>
      <c r="C122" s="264"/>
      <c r="D122" s="262" t="s">
        <v>58</v>
      </c>
      <c r="E122" s="263"/>
      <c r="F122" s="264"/>
      <c r="G122" s="265">
        <f>_xlfn.IFNA(VLOOKUP(B122, 현재가테이블!$B$2:$D$200, 2, FALSE), "-")</f>
        <v>40538000</v>
      </c>
      <c r="H122" s="266"/>
      <c r="I122" s="267"/>
      <c r="J122" s="262" t="s">
        <v>59</v>
      </c>
      <c r="K122" s="263"/>
      <c r="L122" s="264"/>
      <c r="M122" s="268">
        <f>_xlfn.IFNA(VLOOKUP(B122, 현재가테이블!$B$2:$D$200, 3, FALSE), "-")</f>
        <v>-3.68275993E-2</v>
      </c>
      <c r="N122" s="269"/>
      <c r="O122" s="270"/>
      <c r="Q122" s="261"/>
      <c r="R122" s="261"/>
      <c r="S122" s="261"/>
    </row>
    <row r="123" spans="1:19" ht="17.25" thickBot="1">
      <c r="A123" s="306" t="s">
        <v>55</v>
      </c>
      <c r="B123" s="302" t="str">
        <f>TEXT($G$1, "[$-ko-KR]yyyy-mm-dd(ddd) ") &amp; "오전 00:00"</f>
        <v>2021-06-02(수) 오전 00:00</v>
      </c>
      <c r="C123" s="303"/>
      <c r="D123" s="275" t="str">
        <f>TEXT($G$1, "[$-ko-KR]yyyy-mm-dd(ddd) ") &amp; "오후 14:00"</f>
        <v>2021-06-02(수) 오후 14:00</v>
      </c>
      <c r="E123" s="276"/>
      <c r="F123" s="277"/>
      <c r="G123" s="275" t="str">
        <f>TEXT($G$1, "[$-ko-KR]yyyy-mm-dd(ddd) ") &amp; "오후 19:00"</f>
        <v>2021-06-02(수) 오후 19:00</v>
      </c>
      <c r="H123" s="276"/>
      <c r="I123" s="277"/>
      <c r="J123" s="275" t="str">
        <f>TEXT($G$1, "[$-ko-KR]yyyy-mm-dd(ddd) ") &amp; "오후 21:00"</f>
        <v>2021-06-02(수) 오후 21:00</v>
      </c>
      <c r="K123" s="276"/>
      <c r="L123" s="277"/>
      <c r="M123" s="275" t="str">
        <f>TEXT($G$1+1, "[$-ko-KR]yyyy-mm-dd(ddd) ") &amp; "오전 00:00"</f>
        <v>2021-06-03(목) 오전 00:00</v>
      </c>
      <c r="N123" s="276"/>
      <c r="O123" s="277"/>
      <c r="Q123" s="261"/>
      <c r="R123" s="261"/>
      <c r="S123" s="261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5" t="s">
        <v>58</v>
      </c>
      <c r="H124" s="166" t="s">
        <v>293</v>
      </c>
      <c r="I124" s="16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1"/>
      <c r="R124" s="251"/>
      <c r="S124" s="251"/>
    </row>
    <row r="125" spans="1:19" ht="17.25" thickBot="1">
      <c r="A125" s="161" t="s">
        <v>233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61"/>
      <c r="R125" s="261"/>
      <c r="S125" s="261"/>
    </row>
    <row r="126" spans="1:19" ht="17.25" thickBot="1">
      <c r="A126" s="162" t="s">
        <v>249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61"/>
      <c r="R126" s="261"/>
      <c r="S126" s="261"/>
    </row>
    <row r="127" spans="1:19" ht="17.25" thickBot="1">
      <c r="A127" s="162" t="s">
        <v>261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51"/>
      <c r="R127" s="251"/>
      <c r="S127" s="251"/>
    </row>
    <row r="128" spans="1:19" ht="17.25" thickBot="1">
      <c r="A128" s="162" t="s">
        <v>217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51"/>
      <c r="R128" s="251"/>
      <c r="S128" s="251"/>
    </row>
    <row r="129" spans="1:19" ht="17.25" thickBot="1">
      <c r="A129" s="163" t="s">
        <v>185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51"/>
      <c r="R129" s="251"/>
      <c r="S129" s="251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51"/>
      <c r="R130" s="251"/>
      <c r="S130" s="251"/>
    </row>
    <row r="131" spans="1:19" ht="17.25" thickBot="1">
      <c r="A131" s="162" t="s">
        <v>195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51"/>
      <c r="R131" s="251"/>
      <c r="S131" s="251"/>
    </row>
    <row r="132" spans="1:19" ht="17.25" thickBot="1">
      <c r="A132" s="162" t="s">
        <v>219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51"/>
      <c r="R132" s="251"/>
      <c r="S132" s="251"/>
    </row>
    <row r="133" spans="1:19" ht="17.25" thickBot="1">
      <c r="A133" s="162" t="s">
        <v>259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52"/>
      <c r="R134" s="253"/>
      <c r="S134" s="254"/>
    </row>
    <row r="135" spans="1:19">
      <c r="A135" s="161" t="s">
        <v>263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55"/>
      <c r="R135" s="256"/>
      <c r="S135" s="257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58"/>
      <c r="R136" s="259"/>
      <c r="S136" s="260"/>
    </row>
    <row r="137" spans="1:19" ht="17.25" thickBot="1">
      <c r="A137" s="162" t="s">
        <v>197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51"/>
      <c r="R137" s="251"/>
      <c r="S137" s="251"/>
    </row>
    <row r="138" spans="1:19" ht="17.25" thickBot="1">
      <c r="A138" s="162" t="s">
        <v>215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61"/>
      <c r="R138" s="261"/>
      <c r="S138" s="261"/>
    </row>
    <row r="139" spans="1:19" ht="17.25" thickBot="1">
      <c r="A139" s="163" t="s">
        <v>225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61"/>
      <c r="R139" s="261"/>
      <c r="S139" s="261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51"/>
      <c r="R140" s="251"/>
      <c r="S140" s="251"/>
    </row>
    <row r="141" spans="1:19" ht="17.25" thickBot="1">
      <c r="A141" s="162" t="s">
        <v>210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51"/>
      <c r="R141" s="251"/>
      <c r="S141" s="251"/>
    </row>
    <row r="142" spans="1:19" ht="17.25" thickBot="1">
      <c r="A142" s="162" t="s">
        <v>212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51"/>
      <c r="R142" s="251"/>
      <c r="S142" s="251"/>
    </row>
    <row r="143" spans="1:19">
      <c r="A143" s="162" t="s">
        <v>255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40"/>
      <c r="R143" s="241"/>
      <c r="S143" s="242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43"/>
      <c r="R144" s="244"/>
      <c r="S144" s="245"/>
    </row>
    <row r="145" spans="1:19" ht="17.25" thickBot="1">
      <c r="A145" s="132" t="s">
        <v>295</v>
      </c>
      <c r="B145" s="304">
        <f>$B$37</f>
        <v>100000</v>
      </c>
      <c r="C145" s="305"/>
      <c r="D145" s="26" t="s">
        <v>296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296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296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296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46"/>
      <c r="R145" s="247"/>
      <c r="S145" s="248"/>
    </row>
    <row r="147" spans="1:19" ht="17.25" thickBot="1"/>
    <row r="148" spans="1:19" ht="17.25" thickBot="1">
      <c r="A148" s="262" t="s">
        <v>284</v>
      </c>
      <c r="B148" s="263"/>
      <c r="C148" s="263"/>
      <c r="D148" s="263"/>
      <c r="E148" s="263"/>
      <c r="F148" s="263"/>
      <c r="G148" s="263"/>
      <c r="H148" s="263"/>
      <c r="I148" s="263"/>
      <c r="J148" s="263"/>
      <c r="K148" s="263"/>
      <c r="L148" s="263"/>
      <c r="M148" s="263"/>
      <c r="N148" s="263"/>
      <c r="O148" s="264"/>
      <c r="Q148" s="261"/>
      <c r="R148" s="261"/>
      <c r="S148" s="261"/>
    </row>
    <row r="149" spans="1:19" ht="17.25" thickBot="1">
      <c r="A149" s="164" t="s">
        <v>292</v>
      </c>
      <c r="B149" s="262" t="s">
        <v>49</v>
      </c>
      <c r="C149" s="264"/>
      <c r="D149" s="262" t="s">
        <v>58</v>
      </c>
      <c r="E149" s="263"/>
      <c r="F149" s="264"/>
      <c r="G149" s="265">
        <f>_xlfn.IFNA(VLOOKUP(B149, 현재가테이블!$B$2:$D$200, 2, FALSE), "-")</f>
        <v>40538000</v>
      </c>
      <c r="H149" s="266"/>
      <c r="I149" s="267"/>
      <c r="J149" s="262" t="s">
        <v>59</v>
      </c>
      <c r="K149" s="263"/>
      <c r="L149" s="264"/>
      <c r="M149" s="268">
        <f>_xlfn.IFNA(VLOOKUP(B149, 현재가테이블!$B$2:$D$200, 3, FALSE), "-")</f>
        <v>-3.68275993E-2</v>
      </c>
      <c r="N149" s="269"/>
      <c r="O149" s="270"/>
      <c r="Q149" s="261"/>
      <c r="R149" s="261"/>
      <c r="S149" s="261"/>
    </row>
    <row r="150" spans="1:19" ht="17.25" thickBot="1">
      <c r="A150" s="306" t="s">
        <v>55</v>
      </c>
      <c r="B150" s="302" t="str">
        <f>TEXT($G$1, "[$-ko-KR]yyyy-mm-dd(ddd) ") &amp; "오전 00:00"</f>
        <v>2021-06-02(수) 오전 00:00</v>
      </c>
      <c r="C150" s="303"/>
      <c r="D150" s="275" t="str">
        <f>TEXT($G$1, "[$-ko-KR]yyyy-mm-dd(ddd) ") &amp; "오후 14:00"</f>
        <v>2021-06-02(수) 오후 14:00</v>
      </c>
      <c r="E150" s="276"/>
      <c r="F150" s="277"/>
      <c r="G150" s="275" t="str">
        <f>TEXT($G$1, "[$-ko-KR]yyyy-mm-dd(ddd) ") &amp; "오후 19:00"</f>
        <v>2021-06-02(수) 오후 19:00</v>
      </c>
      <c r="H150" s="276"/>
      <c r="I150" s="277"/>
      <c r="J150" s="275" t="str">
        <f>TEXT($G$1, "[$-ko-KR]yyyy-mm-dd(ddd) ") &amp; "오후 21:00"</f>
        <v>2021-06-02(수) 오후 21:00</v>
      </c>
      <c r="K150" s="276"/>
      <c r="L150" s="277"/>
      <c r="M150" s="275" t="str">
        <f>TEXT($G$1+1, "[$-ko-KR]yyyy-mm-dd(ddd) ") &amp; "오전 00:00"</f>
        <v>2021-06-03(목) 오전 00:00</v>
      </c>
      <c r="N150" s="276"/>
      <c r="O150" s="277"/>
      <c r="Q150" s="261"/>
      <c r="R150" s="261"/>
      <c r="S150" s="261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5" t="s">
        <v>58</v>
      </c>
      <c r="H151" s="166" t="s">
        <v>293</v>
      </c>
      <c r="I151" s="16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1"/>
      <c r="R151" s="251"/>
      <c r="S151" s="251"/>
    </row>
    <row r="152" spans="1:19" ht="17.25" thickBot="1">
      <c r="A152" s="161" t="s">
        <v>251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61"/>
      <c r="R152" s="261"/>
      <c r="S152" s="261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61"/>
      <c r="R153" s="261"/>
      <c r="S153" s="261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51"/>
      <c r="R154" s="251"/>
      <c r="S154" s="251"/>
    </row>
    <row r="155" spans="1:19" ht="17.25" thickBot="1">
      <c r="A155" s="162" t="s">
        <v>206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51"/>
      <c r="R155" s="251"/>
      <c r="S155" s="251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51"/>
      <c r="R156" s="251"/>
      <c r="S156" s="251"/>
    </row>
    <row r="157" spans="1:19" ht="17.25" thickBot="1">
      <c r="A157" s="162" t="s">
        <v>201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51"/>
      <c r="R157" s="251"/>
      <c r="S157" s="251"/>
    </row>
    <row r="158" spans="1:19" ht="17.25" thickBot="1">
      <c r="A158" s="162" t="s">
        <v>231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51"/>
      <c r="R158" s="251"/>
      <c r="S158" s="251"/>
    </row>
    <row r="159" spans="1:19" ht="17.25" thickBot="1">
      <c r="A159" s="162" t="s">
        <v>199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51"/>
      <c r="R159" s="251"/>
      <c r="S159" s="251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265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52"/>
      <c r="R161" s="253"/>
      <c r="S161" s="254"/>
    </row>
    <row r="162" spans="1:19">
      <c r="A162" s="161" t="s">
        <v>229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55"/>
      <c r="R162" s="256"/>
      <c r="S162" s="257"/>
    </row>
    <row r="163" spans="1:19" ht="17.25" thickBot="1">
      <c r="A163" s="162" t="s">
        <v>173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58"/>
      <c r="R163" s="259"/>
      <c r="S163" s="260"/>
    </row>
    <row r="164" spans="1:19" ht="17.25" thickBot="1">
      <c r="A164" s="162" t="s">
        <v>234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51"/>
      <c r="R164" s="251"/>
      <c r="S164" s="251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61"/>
      <c r="R165" s="261"/>
      <c r="S165" s="261"/>
    </row>
    <row r="166" spans="1:19" ht="17.25" thickBot="1">
      <c r="A166" s="163" t="s">
        <v>253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61"/>
      <c r="R166" s="261"/>
      <c r="S166" s="261"/>
    </row>
    <row r="167" spans="1:19" ht="17.25" thickBot="1">
      <c r="A167" s="162" t="s">
        <v>257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51"/>
      <c r="R167" s="251"/>
      <c r="S167" s="251"/>
    </row>
    <row r="168" spans="1:19" ht="17.25" thickBot="1">
      <c r="A168" s="162" t="s">
        <v>279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51"/>
      <c r="R168" s="251"/>
      <c r="S168" s="251"/>
    </row>
    <row r="169" spans="1:19" ht="17.25" thickBot="1">
      <c r="A169" s="162" t="s">
        <v>227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51"/>
      <c r="R169" s="251"/>
      <c r="S169" s="251"/>
    </row>
    <row r="170" spans="1:19">
      <c r="A170" s="162" t="s">
        <v>242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40"/>
      <c r="R170" s="241"/>
      <c r="S170" s="242"/>
    </row>
    <row r="171" spans="1:19" ht="17.25" thickBot="1">
      <c r="A171" s="130" t="s">
        <v>277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43"/>
      <c r="R171" s="244"/>
      <c r="S171" s="245"/>
    </row>
    <row r="172" spans="1:19" ht="17.25" thickBot="1">
      <c r="A172" s="132" t="s">
        <v>295</v>
      </c>
      <c r="B172" s="304">
        <f>$B$37</f>
        <v>100000</v>
      </c>
      <c r="C172" s="305"/>
      <c r="D172" s="26" t="s">
        <v>296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296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296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296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46"/>
      <c r="R172" s="247"/>
      <c r="S172" s="248"/>
    </row>
    <row r="174" spans="1:19" ht="17.25" thickBot="1"/>
    <row r="175" spans="1:19" ht="17.25" thickBot="1">
      <c r="A175" s="262" t="s">
        <v>280</v>
      </c>
      <c r="B175" s="263"/>
      <c r="C175" s="263"/>
      <c r="D175" s="263"/>
      <c r="E175" s="263"/>
      <c r="F175" s="263"/>
      <c r="G175" s="263"/>
      <c r="H175" s="263"/>
      <c r="I175" s="263"/>
      <c r="J175" s="263"/>
      <c r="K175" s="263"/>
      <c r="L175" s="263"/>
      <c r="M175" s="263"/>
      <c r="N175" s="263"/>
      <c r="O175" s="264"/>
      <c r="Q175" s="261"/>
      <c r="R175" s="261"/>
      <c r="S175" s="261"/>
    </row>
    <row r="176" spans="1:19" ht="17.25" thickBot="1">
      <c r="A176" s="164" t="s">
        <v>292</v>
      </c>
      <c r="B176" s="262" t="s">
        <v>49</v>
      </c>
      <c r="C176" s="264"/>
      <c r="D176" s="262" t="s">
        <v>58</v>
      </c>
      <c r="E176" s="263"/>
      <c r="F176" s="264"/>
      <c r="G176" s="265">
        <f>_xlfn.IFNA(VLOOKUP(B176, 현재가테이블!$B$2:$D$200, 2, FALSE), "-")</f>
        <v>40538000</v>
      </c>
      <c r="H176" s="266"/>
      <c r="I176" s="267"/>
      <c r="J176" s="262" t="s">
        <v>59</v>
      </c>
      <c r="K176" s="263"/>
      <c r="L176" s="264"/>
      <c r="M176" s="268">
        <f>_xlfn.IFNA(VLOOKUP(B176, 현재가테이블!$B$2:$D$200, 3, FALSE), "-")</f>
        <v>-3.68275993E-2</v>
      </c>
      <c r="N176" s="269"/>
      <c r="O176" s="270"/>
      <c r="Q176" s="261"/>
      <c r="R176" s="261"/>
      <c r="S176" s="261"/>
    </row>
    <row r="177" spans="1:19" ht="17.25" thickBot="1">
      <c r="A177" s="306" t="s">
        <v>55</v>
      </c>
      <c r="B177" s="302" t="str">
        <f>TEXT($G$1, "[$-ko-KR]yyyy-mm-dd(ddd) ") &amp; "오전 00:00"</f>
        <v>2021-06-02(수) 오전 00:00</v>
      </c>
      <c r="C177" s="303"/>
      <c r="D177" s="275" t="str">
        <f>TEXT($G$1, "[$-ko-KR]yyyy-mm-dd(ddd) ") &amp; "오후 14:00"</f>
        <v>2021-06-02(수) 오후 14:00</v>
      </c>
      <c r="E177" s="276"/>
      <c r="F177" s="277"/>
      <c r="G177" s="275" t="str">
        <f>TEXT($G$1, "[$-ko-KR]yyyy-mm-dd(ddd) ") &amp; "오후 19:00"</f>
        <v>2021-06-02(수) 오후 19:00</v>
      </c>
      <c r="H177" s="276"/>
      <c r="I177" s="277"/>
      <c r="J177" s="275" t="str">
        <f>TEXT($G$1, "[$-ko-KR]yyyy-mm-dd(ddd) ") &amp; "오후 21:00"</f>
        <v>2021-06-02(수) 오후 21:00</v>
      </c>
      <c r="K177" s="276"/>
      <c r="L177" s="277"/>
      <c r="M177" s="275" t="str">
        <f>TEXT($G$1+1, "[$-ko-KR]yyyy-mm-dd(ddd) ") &amp; "오전 00:00"</f>
        <v>2021-06-03(목) 오전 00:00</v>
      </c>
      <c r="N177" s="276"/>
      <c r="O177" s="277"/>
      <c r="Q177" s="261"/>
      <c r="R177" s="261"/>
      <c r="S177" s="261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5" t="s">
        <v>58</v>
      </c>
      <c r="H178" s="166" t="s">
        <v>293</v>
      </c>
      <c r="I178" s="16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1"/>
      <c r="R178" s="251"/>
      <c r="S178" s="251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61"/>
      <c r="R179" s="261"/>
      <c r="S179" s="261"/>
    </row>
    <row r="180" spans="1:19" ht="17.25" thickBot="1">
      <c r="A180" s="162" t="s">
        <v>253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61"/>
      <c r="R180" s="261"/>
      <c r="S180" s="261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51"/>
      <c r="R181" s="251"/>
      <c r="S181" s="251"/>
    </row>
    <row r="182" spans="1:19" ht="17.25" thickBot="1">
      <c r="A182" s="162" t="s">
        <v>210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51"/>
      <c r="R182" s="251"/>
      <c r="S182" s="251"/>
    </row>
    <row r="183" spans="1:19" ht="17.25" thickBot="1">
      <c r="A183" s="163" t="s">
        <v>191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51"/>
      <c r="R183" s="251"/>
      <c r="S183" s="251"/>
    </row>
    <row r="184" spans="1:19" ht="17.25" thickBot="1">
      <c r="A184" s="162" t="s">
        <v>212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51"/>
      <c r="R184" s="251"/>
      <c r="S184" s="251"/>
    </row>
    <row r="185" spans="1:19" ht="17.25" thickBot="1">
      <c r="A185" s="162" t="s">
        <v>257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51"/>
      <c r="R185" s="251"/>
      <c r="S185" s="251"/>
    </row>
    <row r="186" spans="1:19" ht="17.25" thickBot="1">
      <c r="A186" s="162" t="s">
        <v>279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51"/>
      <c r="R186" s="251"/>
      <c r="S186" s="251"/>
    </row>
    <row r="187" spans="1:19" ht="17.25" thickBot="1">
      <c r="A187" s="162" t="s">
        <v>227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193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52"/>
      <c r="R188" s="253"/>
      <c r="S188" s="254"/>
    </row>
    <row r="189" spans="1:19">
      <c r="A189" s="161" t="s">
        <v>242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55"/>
      <c r="R189" s="256"/>
      <c r="S189" s="257"/>
    </row>
    <row r="190" spans="1:19" ht="17.25" thickBot="1">
      <c r="A190" s="162" t="s">
        <v>277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58"/>
      <c r="R190" s="259"/>
      <c r="S190" s="260"/>
    </row>
    <row r="191" spans="1:19" ht="17.25" thickBot="1">
      <c r="A191" s="162" t="s">
        <v>255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51"/>
      <c r="R191" s="251"/>
      <c r="S191" s="251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61"/>
      <c r="R192" s="261"/>
      <c r="S192" s="261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61"/>
      <c r="R193" s="261"/>
      <c r="S193" s="261"/>
    </row>
    <row r="194" spans="1:19" ht="17.25" thickBot="1">
      <c r="A194" s="162" t="s">
        <v>163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51"/>
      <c r="R194" s="251"/>
      <c r="S194" s="251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51"/>
      <c r="R195" s="251"/>
      <c r="S195" s="251"/>
    </row>
    <row r="196" spans="1:19" ht="17.25" thickBot="1">
      <c r="A196" s="162" t="s">
        <v>221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51"/>
      <c r="R196" s="251"/>
      <c r="S196" s="251"/>
    </row>
    <row r="197" spans="1:19">
      <c r="A197" s="162" t="s">
        <v>187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40"/>
      <c r="R197" s="241"/>
      <c r="S197" s="242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43"/>
      <c r="R198" s="244"/>
      <c r="S198" s="245"/>
    </row>
    <row r="199" spans="1:19" ht="17.25" thickBot="1">
      <c r="A199" s="132" t="s">
        <v>295</v>
      </c>
      <c r="B199" s="304">
        <f>$B$37</f>
        <v>100000</v>
      </c>
      <c r="C199" s="305"/>
      <c r="D199" s="26" t="s">
        <v>296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296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296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296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46"/>
      <c r="R199" s="247"/>
      <c r="S199" s="24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83" priority="157">
      <formula>AND($N17 &gt; 0, ISNUMBER($N17))</formula>
    </cfRule>
    <cfRule type="expression" dxfId="3382" priority="158">
      <formula>AND($N17 = 0 * ISNUMBER($N17))</formula>
    </cfRule>
    <cfRule type="expression" dxfId="3381" priority="159">
      <formula>AND($N17 &lt; 0, ISNUMBER($N17))</formula>
    </cfRule>
  </conditionalFormatting>
  <conditionalFormatting sqref="A17:F36">
    <cfRule type="expression" dxfId="3380" priority="166">
      <formula>AND($E17 &gt; 0, ISNUMBER($E17))</formula>
    </cfRule>
    <cfRule type="expression" dxfId="3379" priority="167">
      <formula>AND($E17 = 0 * ISNUMBER($E17))</formula>
    </cfRule>
    <cfRule type="expression" dxfId="3378" priority="168">
      <formula>AND($E17 &lt; 0, ISNUMBER($E17))</formula>
    </cfRule>
  </conditionalFormatting>
  <conditionalFormatting sqref="A17:C36 G17:I36">
    <cfRule type="expression" dxfId="3377" priority="163">
      <formula>AND($H17 &gt; 0, ISNUMBER($H17))</formula>
    </cfRule>
    <cfRule type="expression" dxfId="3376" priority="164">
      <formula>AND($H17 = 0 * ISNUMBER($H17))</formula>
    </cfRule>
    <cfRule type="expression" dxfId="3375" priority="165">
      <formula>AND($H17 &lt; 0, ISNUMBER($H17))</formula>
    </cfRule>
  </conditionalFormatting>
  <conditionalFormatting sqref="A17:C36 J17:L36">
    <cfRule type="expression" dxfId="3374" priority="160">
      <formula>AND($K17 &gt; 0, ISNUMBER($K17))</formula>
    </cfRule>
    <cfRule type="expression" dxfId="3373" priority="161">
      <formula>AND($K17 = 0 * ISNUMBER($K17))</formula>
    </cfRule>
    <cfRule type="expression" dxfId="3372" priority="162">
      <formula>AND($K17 &lt; 0, ISNUMBER($K17))</formula>
    </cfRule>
  </conditionalFormatting>
  <conditionalFormatting sqref="D15:F16 E37:F37">
    <cfRule type="expression" dxfId="3371" priority="154">
      <formula>$E$37 &gt; 0</formula>
    </cfRule>
    <cfRule type="expression" dxfId="3370" priority="155">
      <formula>$E$37 = 0</formula>
    </cfRule>
    <cfRule type="expression" dxfId="3369" priority="156">
      <formula>$E$37 &lt; 0</formula>
    </cfRule>
  </conditionalFormatting>
  <conditionalFormatting sqref="G15:I16 H37:I37">
    <cfRule type="expression" dxfId="3368" priority="151">
      <formula>$H$37 &gt; 0</formula>
    </cfRule>
    <cfRule type="expression" dxfId="3367" priority="152">
      <formula>$H$37 = 0</formula>
    </cfRule>
    <cfRule type="expression" dxfId="3366" priority="153">
      <formula>$H$37 &lt; 0</formula>
    </cfRule>
  </conditionalFormatting>
  <conditionalFormatting sqref="J15:L16 K37:L37">
    <cfRule type="expression" dxfId="3365" priority="148">
      <formula>$K$37 &gt; 0</formula>
    </cfRule>
    <cfRule type="expression" dxfId="3364" priority="149">
      <formula>$K$37 = 0</formula>
    </cfRule>
    <cfRule type="expression" dxfId="3363" priority="150">
      <formula>$K$37 &lt; 0</formula>
    </cfRule>
  </conditionalFormatting>
  <conditionalFormatting sqref="M15:O16 N37:O37">
    <cfRule type="expression" dxfId="3362" priority="145">
      <formula>$N$37 &gt; 0</formula>
    </cfRule>
    <cfRule type="expression" dxfId="3361" priority="146">
      <formula>$N$37 = 0</formula>
    </cfRule>
    <cfRule type="expression" dxfId="3360" priority="147">
      <formula>$N$37 &lt; 0</formula>
    </cfRule>
  </conditionalFormatting>
  <conditionalFormatting sqref="A44:C63 M44:O63">
    <cfRule type="expression" dxfId="3359" priority="133">
      <formula>AND($N44 &gt; 0, ISNUMBER($N44))</formula>
    </cfRule>
    <cfRule type="expression" dxfId="3358" priority="134">
      <formula>AND($N44 = 0 * ISNUMBER($N44))</formula>
    </cfRule>
    <cfRule type="expression" dxfId="3357" priority="135">
      <formula>AND($N44 &lt; 0, ISNUMBER($N44))</formula>
    </cfRule>
  </conditionalFormatting>
  <conditionalFormatting sqref="A44:F63">
    <cfRule type="expression" dxfId="3356" priority="142">
      <formula>AND($E44 &gt; 0, ISNUMBER($E44))</formula>
    </cfRule>
    <cfRule type="expression" dxfId="3355" priority="143">
      <formula>AND($E44 = 0 * ISNUMBER($E44))</formula>
    </cfRule>
    <cfRule type="expression" dxfId="3354" priority="144">
      <formula>AND($E44 &lt; 0, ISNUMBER($E44))</formula>
    </cfRule>
  </conditionalFormatting>
  <conditionalFormatting sqref="A44:C63 G44:I63">
    <cfRule type="expression" dxfId="3353" priority="139">
      <formula>AND($H44 &gt; 0, ISNUMBER($H44))</formula>
    </cfRule>
    <cfRule type="expression" dxfId="3352" priority="140">
      <formula>AND($H44 = 0 * ISNUMBER($H44))</formula>
    </cfRule>
    <cfRule type="expression" dxfId="3351" priority="141">
      <formula>AND($H44 &lt; 0, ISNUMBER($H44))</formula>
    </cfRule>
  </conditionalFormatting>
  <conditionalFormatting sqref="A44:C63 J44:L63">
    <cfRule type="expression" dxfId="3350" priority="136">
      <formula>AND($K44 &gt; 0, ISNUMBER($K44))</formula>
    </cfRule>
    <cfRule type="expression" dxfId="3349" priority="137">
      <formula>AND($K44 = 0 * ISNUMBER($K44))</formula>
    </cfRule>
    <cfRule type="expression" dxfId="3348" priority="138">
      <formula>AND($K44 &lt; 0, ISNUMBER($K44))</formula>
    </cfRule>
  </conditionalFormatting>
  <conditionalFormatting sqref="D42:F43 E64:F64">
    <cfRule type="expression" dxfId="3347" priority="130">
      <formula>$E$64 &gt; 0</formula>
    </cfRule>
    <cfRule type="expression" dxfId="3346" priority="131">
      <formula>$E$64 = 0</formula>
    </cfRule>
    <cfRule type="expression" dxfId="3345" priority="132">
      <formula>$E$64 &lt; 0</formula>
    </cfRule>
  </conditionalFormatting>
  <conditionalFormatting sqref="G42:I43 H64:I64">
    <cfRule type="expression" dxfId="3344" priority="127">
      <formula>$H$64 &gt; 0</formula>
    </cfRule>
    <cfRule type="expression" dxfId="3343" priority="128">
      <formula>$H$64 = 0</formula>
    </cfRule>
    <cfRule type="expression" dxfId="3342" priority="129">
      <formula>$H$64 &lt; 0</formula>
    </cfRule>
  </conditionalFormatting>
  <conditionalFormatting sqref="J42:L43 K64:L64">
    <cfRule type="expression" dxfId="3341" priority="124">
      <formula>$K$64 &gt; 0</formula>
    </cfRule>
    <cfRule type="expression" dxfId="3340" priority="125">
      <formula>$K$64 = 0</formula>
    </cfRule>
    <cfRule type="expression" dxfId="3339" priority="126">
      <formula>$K$64 &lt; 0</formula>
    </cfRule>
  </conditionalFormatting>
  <conditionalFormatting sqref="M42:O43 N64:O64">
    <cfRule type="expression" dxfId="3338" priority="121">
      <formula>$N$64 &gt; 0</formula>
    </cfRule>
    <cfRule type="expression" dxfId="3337" priority="122">
      <formula>$N$64 = 0</formula>
    </cfRule>
    <cfRule type="expression" dxfId="3336" priority="123">
      <formula>$N$64 &lt; 0</formula>
    </cfRule>
  </conditionalFormatting>
  <conditionalFormatting sqref="A71:C90 M71:O90">
    <cfRule type="expression" dxfId="3335" priority="109">
      <formula>AND($N71 &gt; 0, ISNUMBER($N71))</formula>
    </cfRule>
    <cfRule type="expression" dxfId="3334" priority="110">
      <formula>AND($N71 = 0 * ISNUMBER($N71))</formula>
    </cfRule>
    <cfRule type="expression" dxfId="3333" priority="111">
      <formula>AND($N71 &lt; 0, ISNUMBER($N71))</formula>
    </cfRule>
  </conditionalFormatting>
  <conditionalFormatting sqref="A71:F90">
    <cfRule type="expression" dxfId="3332" priority="118">
      <formula>AND($E71 &gt; 0, ISNUMBER($E71))</formula>
    </cfRule>
    <cfRule type="expression" dxfId="3331" priority="119">
      <formula>AND($E71 = 0 * ISNUMBER($E71))</formula>
    </cfRule>
    <cfRule type="expression" dxfId="3330" priority="120">
      <formula>AND($E71 &lt; 0, ISNUMBER($E71))</formula>
    </cfRule>
  </conditionalFormatting>
  <conditionalFormatting sqref="A71:C90 G71:I90">
    <cfRule type="expression" dxfId="3329" priority="115">
      <formula>AND($H71 &gt; 0, ISNUMBER($H71))</formula>
    </cfRule>
    <cfRule type="expression" dxfId="3328" priority="116">
      <formula>AND($H71 = 0 * ISNUMBER($H71))</formula>
    </cfRule>
    <cfRule type="expression" dxfId="3327" priority="117">
      <formula>AND($H71 &lt; 0, ISNUMBER($H71))</formula>
    </cfRule>
  </conditionalFormatting>
  <conditionalFormatting sqref="A71:C90 J71:L90">
    <cfRule type="expression" dxfId="3326" priority="112">
      <formula>AND($K71 &gt; 0, ISNUMBER($K71))</formula>
    </cfRule>
    <cfRule type="expression" dxfId="3325" priority="113">
      <formula>AND($K71 = 0 * ISNUMBER($K71))</formula>
    </cfRule>
    <cfRule type="expression" dxfId="3324" priority="114">
      <formula>AND($K71 &lt; 0, ISNUMBER($K71))</formula>
    </cfRule>
  </conditionalFormatting>
  <conditionalFormatting sqref="D69:F70 E91:F91">
    <cfRule type="expression" dxfId="3323" priority="106">
      <formula>$E$91 &gt; 0</formula>
    </cfRule>
    <cfRule type="expression" dxfId="3322" priority="107">
      <formula>$E$91 = 0</formula>
    </cfRule>
    <cfRule type="expression" dxfId="3321" priority="108">
      <formula>$E$91 &lt; 0</formula>
    </cfRule>
  </conditionalFormatting>
  <conditionalFormatting sqref="G69:I70 H91:I91">
    <cfRule type="expression" dxfId="3320" priority="103">
      <formula>$H$91 &gt; 0</formula>
    </cfRule>
    <cfRule type="expression" dxfId="3319" priority="104">
      <formula>$H$91 = 0</formula>
    </cfRule>
    <cfRule type="expression" dxfId="3318" priority="105">
      <formula>$H$91 &lt; 0</formula>
    </cfRule>
  </conditionalFormatting>
  <conditionalFormatting sqref="J69:L70 K91:L91">
    <cfRule type="expression" dxfId="3317" priority="100">
      <formula>$K$91 &gt; 0</formula>
    </cfRule>
    <cfRule type="expression" dxfId="3316" priority="101">
      <formula>$K$91 = 0</formula>
    </cfRule>
    <cfRule type="expression" dxfId="3315" priority="102">
      <formula>$K$91 &lt; 0</formula>
    </cfRule>
  </conditionalFormatting>
  <conditionalFormatting sqref="M69:O70 N91:O91">
    <cfRule type="expression" dxfId="3314" priority="97">
      <formula>$N$91 &gt; 0</formula>
    </cfRule>
    <cfRule type="expression" dxfId="3313" priority="98">
      <formula>$N$91 = 0</formula>
    </cfRule>
    <cfRule type="expression" dxfId="3312" priority="99">
      <formula>$N$91 &lt; 0</formula>
    </cfRule>
  </conditionalFormatting>
  <conditionalFormatting sqref="A98:C117 M98:O117">
    <cfRule type="expression" dxfId="3311" priority="85">
      <formula>AND($N98 &gt; 0, ISNUMBER($N98))</formula>
    </cfRule>
    <cfRule type="expression" dxfId="3310" priority="86">
      <formula>AND($N98 = 0 * ISNUMBER($N98))</formula>
    </cfRule>
    <cfRule type="expression" dxfId="3309" priority="87">
      <formula>AND($N98 &lt; 0, ISNUMBER($N98))</formula>
    </cfRule>
  </conditionalFormatting>
  <conditionalFormatting sqref="A98:F117">
    <cfRule type="expression" dxfId="3308" priority="94">
      <formula>AND($E98 &gt; 0, ISNUMBER($E98))</formula>
    </cfRule>
    <cfRule type="expression" dxfId="3307" priority="95">
      <formula>AND($E98 = 0 * ISNUMBER($E98))</formula>
    </cfRule>
    <cfRule type="expression" dxfId="3306" priority="96">
      <formula>AND($E98 &lt; 0, ISNUMBER($E98))</formula>
    </cfRule>
  </conditionalFormatting>
  <conditionalFormatting sqref="A98:C117 G98:I117">
    <cfRule type="expression" dxfId="3305" priority="91">
      <formula>AND($H98 &gt; 0, ISNUMBER($H98))</formula>
    </cfRule>
    <cfRule type="expression" dxfId="3304" priority="92">
      <formula>AND($H98 = 0 * ISNUMBER($H98))</formula>
    </cfRule>
    <cfRule type="expression" dxfId="3303" priority="93">
      <formula>AND($H98 &lt; 0, ISNUMBER($H98))</formula>
    </cfRule>
  </conditionalFormatting>
  <conditionalFormatting sqref="A98:C117 J98:L117">
    <cfRule type="expression" dxfId="3302" priority="88">
      <formula>AND($K98 &gt; 0, ISNUMBER($K98))</formula>
    </cfRule>
    <cfRule type="expression" dxfId="3301" priority="89">
      <formula>AND($K98 = 0 * ISNUMBER($K98))</formula>
    </cfRule>
    <cfRule type="expression" dxfId="3300" priority="90">
      <formula>AND($K98 &lt; 0, ISNUMBER($K98))</formula>
    </cfRule>
  </conditionalFormatting>
  <conditionalFormatting sqref="D96:F97 E118:F118">
    <cfRule type="expression" dxfId="3299" priority="82">
      <formula>$E$118 &gt; 0</formula>
    </cfRule>
    <cfRule type="expression" dxfId="3298" priority="83">
      <formula>$E$118 = 0</formula>
    </cfRule>
    <cfRule type="expression" dxfId="3297" priority="84">
      <formula>$E$118 &lt; 0</formula>
    </cfRule>
  </conditionalFormatting>
  <conditionalFormatting sqref="G96:I97 H118:I118">
    <cfRule type="expression" dxfId="3296" priority="79">
      <formula>$H$118 &gt; 0</formula>
    </cfRule>
    <cfRule type="expression" dxfId="3295" priority="80">
      <formula>$H$118 = 0</formula>
    </cfRule>
    <cfRule type="expression" dxfId="3294" priority="81">
      <formula>$H$118 &lt; 0</formula>
    </cfRule>
  </conditionalFormatting>
  <conditionalFormatting sqref="J96:L97 K118:L118">
    <cfRule type="expression" dxfId="3293" priority="76">
      <formula>$K$118 &gt; 0</formula>
    </cfRule>
    <cfRule type="expression" dxfId="3292" priority="77">
      <formula>$K$118 = 0</formula>
    </cfRule>
    <cfRule type="expression" dxfId="3291" priority="78">
      <formula>$K$118 &lt; 0</formula>
    </cfRule>
  </conditionalFormatting>
  <conditionalFormatting sqref="M96:O97 N118:O118">
    <cfRule type="expression" dxfId="3290" priority="73">
      <formula>$N$118 &gt; 0</formula>
    </cfRule>
    <cfRule type="expression" dxfId="3289" priority="74">
      <formula>$N$118 = 0</formula>
    </cfRule>
    <cfRule type="expression" dxfId="3288" priority="75">
      <formula>$N$118 &lt; 0</formula>
    </cfRule>
  </conditionalFormatting>
  <conditionalFormatting sqref="A125:C144 M125:O144">
    <cfRule type="expression" dxfId="3287" priority="61">
      <formula>AND($N125 &gt; 0, ISNUMBER($N125))</formula>
    </cfRule>
    <cfRule type="expression" dxfId="3286" priority="62">
      <formula>AND($N125 = 0 * ISNUMBER($N125))</formula>
    </cfRule>
    <cfRule type="expression" dxfId="3285" priority="63">
      <formula>AND($N125 &lt; 0, ISNUMBER($N125))</formula>
    </cfRule>
  </conditionalFormatting>
  <conditionalFormatting sqref="A125:F144">
    <cfRule type="expression" dxfId="3284" priority="70">
      <formula>AND($E125 &gt; 0, ISNUMBER($E125))</formula>
    </cfRule>
    <cfRule type="expression" dxfId="3283" priority="71">
      <formula>AND($E125 = 0 * ISNUMBER($E125))</formula>
    </cfRule>
    <cfRule type="expression" dxfId="3282" priority="72">
      <formula>AND($E125 &lt; 0, ISNUMBER($E125))</formula>
    </cfRule>
  </conditionalFormatting>
  <conditionalFormatting sqref="A125:C144 G125:I144">
    <cfRule type="expression" dxfId="3281" priority="67">
      <formula>AND($H125 &gt; 0, ISNUMBER($H125))</formula>
    </cfRule>
    <cfRule type="expression" dxfId="3280" priority="68">
      <formula>AND($H125 = 0 * ISNUMBER($H125))</formula>
    </cfRule>
    <cfRule type="expression" dxfId="3279" priority="69">
      <formula>AND($H125 &lt; 0, ISNUMBER($H125))</formula>
    </cfRule>
  </conditionalFormatting>
  <conditionalFormatting sqref="A125:C144 J125:L144">
    <cfRule type="expression" dxfId="3278" priority="64">
      <formula>AND($K125 &gt; 0, ISNUMBER($K125))</formula>
    </cfRule>
    <cfRule type="expression" dxfId="3277" priority="65">
      <formula>AND($K125 = 0 * ISNUMBER($K125))</formula>
    </cfRule>
    <cfRule type="expression" dxfId="3276" priority="66">
      <formula>AND($K125 &lt; 0, ISNUMBER($K125))</formula>
    </cfRule>
  </conditionalFormatting>
  <conditionalFormatting sqref="D123:F124 E145:F145">
    <cfRule type="expression" dxfId="3275" priority="58">
      <formula>$E$145 &gt; 0</formula>
    </cfRule>
    <cfRule type="expression" dxfId="3274" priority="59">
      <formula>$E$145 = 0</formula>
    </cfRule>
    <cfRule type="expression" dxfId="3273" priority="60">
      <formula>$E$145 &lt; 0</formula>
    </cfRule>
  </conditionalFormatting>
  <conditionalFormatting sqref="G123:I124 H145:I145">
    <cfRule type="expression" dxfId="3272" priority="55">
      <formula>$H$145 &gt; 0</formula>
    </cfRule>
    <cfRule type="expression" dxfId="3271" priority="56">
      <formula>$H$145 = 0</formula>
    </cfRule>
    <cfRule type="expression" dxfId="3270" priority="57">
      <formula>$H$145 &lt; 0</formula>
    </cfRule>
  </conditionalFormatting>
  <conditionalFormatting sqref="J123:L124 K145:L145">
    <cfRule type="expression" dxfId="3269" priority="52">
      <formula>$K$145 &gt; 0</formula>
    </cfRule>
    <cfRule type="expression" dxfId="3268" priority="53">
      <formula>$K$145 = 0</formula>
    </cfRule>
    <cfRule type="expression" dxfId="3267" priority="54">
      <formula>$K$145 &lt; 0</formula>
    </cfRule>
  </conditionalFormatting>
  <conditionalFormatting sqref="M123:O124 N145:O145">
    <cfRule type="expression" dxfId="3266" priority="49">
      <formula>$N$145 &gt; 0</formula>
    </cfRule>
    <cfRule type="expression" dxfId="3265" priority="50">
      <formula>$N$145 = 0</formula>
    </cfRule>
    <cfRule type="expression" dxfId="3264" priority="51">
      <formula>$N$145 &lt; 0</formula>
    </cfRule>
  </conditionalFormatting>
  <conditionalFormatting sqref="A152:C171 M152:O171">
    <cfRule type="expression" dxfId="3263" priority="37">
      <formula>AND($N152 &gt; 0, ISNUMBER($N152))</formula>
    </cfRule>
    <cfRule type="expression" dxfId="3262" priority="38">
      <formula>AND($N152 = 0 * ISNUMBER($N152))</formula>
    </cfRule>
    <cfRule type="expression" dxfId="3261" priority="39">
      <formula>AND($N152 &lt; 0, ISNUMBER($N152))</formula>
    </cfRule>
  </conditionalFormatting>
  <conditionalFormatting sqref="A152:F171">
    <cfRule type="expression" dxfId="3260" priority="46">
      <formula>AND($E152 &gt; 0, ISNUMBER($E152))</formula>
    </cfRule>
    <cfRule type="expression" dxfId="3259" priority="47">
      <formula>AND($E152 = 0 * ISNUMBER($E152))</formula>
    </cfRule>
    <cfRule type="expression" dxfId="3258" priority="48">
      <formula>AND($E152 &lt; 0, ISNUMBER($E152))</formula>
    </cfRule>
  </conditionalFormatting>
  <conditionalFormatting sqref="A152:C171 G152:I171">
    <cfRule type="expression" dxfId="3257" priority="43">
      <formula>AND($H152 &gt; 0, ISNUMBER($H152))</formula>
    </cfRule>
    <cfRule type="expression" dxfId="3256" priority="44">
      <formula>AND($H152 = 0 * ISNUMBER($H152))</formula>
    </cfRule>
    <cfRule type="expression" dxfId="3255" priority="45">
      <formula>AND($H152 &lt; 0, ISNUMBER($H152))</formula>
    </cfRule>
  </conditionalFormatting>
  <conditionalFormatting sqref="A152:C171 J152:L171">
    <cfRule type="expression" dxfId="3254" priority="40">
      <formula>AND($K152 &gt; 0, ISNUMBER($K152))</formula>
    </cfRule>
    <cfRule type="expression" dxfId="3253" priority="41">
      <formula>AND($K152 = 0 * ISNUMBER($K152))</formula>
    </cfRule>
    <cfRule type="expression" dxfId="3252" priority="42">
      <formula>AND($K152 &lt; 0, ISNUMBER($K152))</formula>
    </cfRule>
  </conditionalFormatting>
  <conditionalFormatting sqref="D150:F151 E172:F172">
    <cfRule type="expression" dxfId="3251" priority="34">
      <formula>$E$172 &gt; 0</formula>
    </cfRule>
    <cfRule type="expression" dxfId="3250" priority="35">
      <formula>$E$172 = 0</formula>
    </cfRule>
    <cfRule type="expression" dxfId="3249" priority="36">
      <formula>$E$172 &lt; 0</formula>
    </cfRule>
  </conditionalFormatting>
  <conditionalFormatting sqref="G150:I151 H172:I172">
    <cfRule type="expression" dxfId="3248" priority="31">
      <formula>$H$172 &gt; 0</formula>
    </cfRule>
    <cfRule type="expression" dxfId="3247" priority="32">
      <formula>$H$172 = 0</formula>
    </cfRule>
    <cfRule type="expression" dxfId="3246" priority="33">
      <formula>$H$172 &lt; 0</formula>
    </cfRule>
  </conditionalFormatting>
  <conditionalFormatting sqref="J150:L151 K172:L172">
    <cfRule type="expression" dxfId="3245" priority="28">
      <formula>$K$172 &gt; 0</formula>
    </cfRule>
    <cfRule type="expression" dxfId="3244" priority="29">
      <formula>$K$172 = 0</formula>
    </cfRule>
    <cfRule type="expression" dxfId="3243" priority="30">
      <formula>$K$172 &lt; 0</formula>
    </cfRule>
  </conditionalFormatting>
  <conditionalFormatting sqref="M150:O151 N172:O172">
    <cfRule type="expression" dxfId="3242" priority="25">
      <formula>$N$172 &gt; 0</formula>
    </cfRule>
    <cfRule type="expression" dxfId="3241" priority="26">
      <formula>$N$172 = 0</formula>
    </cfRule>
    <cfRule type="expression" dxfId="3240" priority="27">
      <formula>$N$172 &lt; 0</formula>
    </cfRule>
  </conditionalFormatting>
  <conditionalFormatting sqref="A179:C198 M179:O198">
    <cfRule type="expression" dxfId="3239" priority="13">
      <formula>AND($N179 &gt; 0, ISNUMBER($N179))</formula>
    </cfRule>
    <cfRule type="expression" dxfId="3238" priority="14">
      <formula>AND($N179 = 0 * ISNUMBER($N179))</formula>
    </cfRule>
    <cfRule type="expression" dxfId="3237" priority="15">
      <formula>AND($N179 &lt; 0, ISNUMBER($N179))</formula>
    </cfRule>
  </conditionalFormatting>
  <conditionalFormatting sqref="A179:F198">
    <cfRule type="expression" dxfId="3236" priority="22">
      <formula>AND($E179 &gt; 0, ISNUMBER($E179))</formula>
    </cfRule>
    <cfRule type="expression" dxfId="3235" priority="23">
      <formula>AND($E179 = 0 * ISNUMBER($E179))</formula>
    </cfRule>
    <cfRule type="expression" dxfId="3234" priority="24">
      <formula>AND($E179 &lt; 0, ISNUMBER($E179))</formula>
    </cfRule>
  </conditionalFormatting>
  <conditionalFormatting sqref="A179:C198 G179:I198">
    <cfRule type="expression" dxfId="3233" priority="19">
      <formula>AND($H179 &gt; 0, ISNUMBER($H179))</formula>
    </cfRule>
    <cfRule type="expression" dxfId="3232" priority="20">
      <formula>AND($H179 = 0 * ISNUMBER($H179))</formula>
    </cfRule>
    <cfRule type="expression" dxfId="3231" priority="21">
      <formula>AND($H179 &lt; 0, ISNUMBER($H179))</formula>
    </cfRule>
  </conditionalFormatting>
  <conditionalFormatting sqref="A179:C198 J179:L198">
    <cfRule type="expression" dxfId="3230" priority="16">
      <formula>AND($K179 &gt; 0, ISNUMBER($K179))</formula>
    </cfRule>
    <cfRule type="expression" dxfId="3229" priority="17">
      <formula>AND($K179 = 0 * ISNUMBER($K179))</formula>
    </cfRule>
    <cfRule type="expression" dxfId="3228" priority="18">
      <formula>AND($K179 &lt; 0, ISNUMBER($K179))</formula>
    </cfRule>
  </conditionalFormatting>
  <conditionalFormatting sqref="D177:F178 E199:F199">
    <cfRule type="expression" dxfId="3227" priority="10">
      <formula>$E$199 &gt; 0</formula>
    </cfRule>
    <cfRule type="expression" dxfId="3226" priority="11">
      <formula>$E$199 = 0</formula>
    </cfRule>
    <cfRule type="expression" dxfId="3225" priority="12">
      <formula>$E$199 &lt; 0</formula>
    </cfRule>
  </conditionalFormatting>
  <conditionalFormatting sqref="G177:I178 H199:I199">
    <cfRule type="expression" dxfId="3224" priority="7">
      <formula>$H$199 &gt; 0</formula>
    </cfRule>
    <cfRule type="expression" dxfId="3223" priority="8">
      <formula>$H$199 = 0</formula>
    </cfRule>
    <cfRule type="expression" dxfId="3222" priority="9">
      <formula>$H$199 &lt; 0</formula>
    </cfRule>
  </conditionalFormatting>
  <conditionalFormatting sqref="J177:L178 K199:L199">
    <cfRule type="expression" dxfId="3221" priority="4">
      <formula>$K$199 &gt; 0</formula>
    </cfRule>
    <cfRule type="expression" dxfId="3220" priority="5">
      <formula>$K$199 = 0</formula>
    </cfRule>
    <cfRule type="expression" dxfId="3219" priority="6">
      <formula>$K$199 &lt; 0</formula>
    </cfRule>
  </conditionalFormatting>
  <conditionalFormatting sqref="M177:O178 N199:O199">
    <cfRule type="expression" dxfId="3218" priority="1">
      <formula>$N$199 &gt; 0</formula>
    </cfRule>
    <cfRule type="expression" dxfId="3217" priority="2">
      <formula>$N$199 = 0</formula>
    </cfRule>
    <cfRule type="expression" dxfId="32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2" t="s">
        <v>0</v>
      </c>
      <c r="B1" s="263"/>
      <c r="C1" s="263"/>
      <c r="D1" s="263"/>
      <c r="E1" s="263"/>
      <c r="F1" s="264"/>
      <c r="G1" s="293">
        <v>44350</v>
      </c>
      <c r="H1" s="294"/>
      <c r="I1" s="295"/>
      <c r="J1" s="262" t="s">
        <v>1</v>
      </c>
      <c r="K1" s="263"/>
      <c r="L1" s="263"/>
      <c r="M1" s="263"/>
      <c r="N1" s="263"/>
      <c r="O1" s="264"/>
      <c r="Q1" s="262" t="s">
        <v>2</v>
      </c>
      <c r="R1" s="264"/>
    </row>
    <row r="2" spans="1:19" ht="17.25" customHeight="1">
      <c r="A2" s="117" t="s">
        <v>3</v>
      </c>
      <c r="B2" s="296" t="s">
        <v>8</v>
      </c>
      <c r="C2" s="297"/>
      <c r="D2" s="297"/>
      <c r="E2" s="297"/>
      <c r="F2" s="298"/>
      <c r="G2" s="290" t="s">
        <v>46</v>
      </c>
      <c r="H2" s="291"/>
      <c r="I2" s="292"/>
      <c r="J2" s="1" t="s">
        <v>3</v>
      </c>
      <c r="K2" s="296" t="s">
        <v>345</v>
      </c>
      <c r="L2" s="297"/>
      <c r="M2" s="297"/>
      <c r="N2" s="297"/>
      <c r="O2" s="298"/>
      <c r="Q2" s="2" t="s">
        <v>6</v>
      </c>
      <c r="R2" s="3">
        <v>0.375</v>
      </c>
    </row>
    <row r="3" spans="1:19" ht="17.25" customHeight="1" thickBot="1">
      <c r="A3" s="118" t="s">
        <v>7</v>
      </c>
      <c r="B3" s="287" t="s">
        <v>353</v>
      </c>
      <c r="C3" s="288"/>
      <c r="D3" s="288"/>
      <c r="E3" s="288"/>
      <c r="F3" s="289"/>
      <c r="G3" s="28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84"/>
      <c r="I3" s="285"/>
      <c r="J3" s="4" t="s">
        <v>7</v>
      </c>
      <c r="K3" s="287" t="s">
        <v>346</v>
      </c>
      <c r="L3" s="288"/>
      <c r="M3" s="288"/>
      <c r="N3" s="288"/>
      <c r="O3" s="28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7" t="s">
        <v>16</v>
      </c>
      <c r="C4" s="288"/>
      <c r="D4" s="288"/>
      <c r="E4" s="288"/>
      <c r="F4" s="289"/>
      <c r="G4" s="290" t="s">
        <v>44</v>
      </c>
      <c r="H4" s="291"/>
      <c r="I4" s="292"/>
      <c r="J4" s="4" t="s">
        <v>11</v>
      </c>
      <c r="K4" s="287" t="s">
        <v>347</v>
      </c>
      <c r="L4" s="288"/>
      <c r="M4" s="288"/>
      <c r="N4" s="288"/>
      <c r="O4" s="28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7" t="s">
        <v>344</v>
      </c>
      <c r="C5" s="288"/>
      <c r="D5" s="288"/>
      <c r="E5" s="288"/>
      <c r="F5" s="289"/>
      <c r="G5" s="28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84"/>
      <c r="I5" s="285"/>
      <c r="J5" s="4" t="s">
        <v>15</v>
      </c>
      <c r="K5" s="287" t="s">
        <v>348</v>
      </c>
      <c r="L5" s="288"/>
      <c r="M5" s="288"/>
      <c r="N5" s="288"/>
      <c r="O5" s="289"/>
    </row>
    <row r="6" spans="1:19">
      <c r="A6" s="118" t="s">
        <v>18</v>
      </c>
      <c r="B6" s="287"/>
      <c r="C6" s="288"/>
      <c r="D6" s="288"/>
      <c r="E6" s="288"/>
      <c r="F6" s="289"/>
      <c r="G6" s="290" t="s">
        <v>45</v>
      </c>
      <c r="H6" s="291"/>
      <c r="I6" s="292"/>
      <c r="J6" s="4" t="s">
        <v>18</v>
      </c>
      <c r="K6" s="287" t="s">
        <v>349</v>
      </c>
      <c r="L6" s="288"/>
      <c r="M6" s="288"/>
      <c r="N6" s="288"/>
      <c r="O6" s="289"/>
    </row>
    <row r="7" spans="1:19" ht="17.25" thickBot="1">
      <c r="A7" s="118" t="s">
        <v>21</v>
      </c>
      <c r="B7" s="287"/>
      <c r="C7" s="288"/>
      <c r="D7" s="288"/>
      <c r="E7" s="288"/>
      <c r="F7" s="289"/>
      <c r="G7" s="28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84"/>
      <c r="I7" s="285"/>
      <c r="J7" s="4" t="s">
        <v>21</v>
      </c>
      <c r="K7" s="287" t="s">
        <v>350</v>
      </c>
      <c r="L7" s="288"/>
      <c r="M7" s="288"/>
      <c r="N7" s="288"/>
      <c r="O7" s="289"/>
    </row>
    <row r="8" spans="1:19" ht="17.25" thickBot="1">
      <c r="A8" s="118" t="s">
        <v>24</v>
      </c>
      <c r="B8" s="287"/>
      <c r="C8" s="288"/>
      <c r="D8" s="288"/>
      <c r="E8" s="288"/>
      <c r="F8" s="289"/>
      <c r="G8" s="290" t="s">
        <v>280</v>
      </c>
      <c r="H8" s="291"/>
      <c r="I8" s="292"/>
      <c r="J8" s="4" t="s">
        <v>24</v>
      </c>
      <c r="K8" s="287"/>
      <c r="L8" s="288"/>
      <c r="M8" s="288"/>
      <c r="N8" s="288"/>
      <c r="O8" s="289"/>
      <c r="Q8" s="262" t="s">
        <v>27</v>
      </c>
      <c r="R8" s="264"/>
    </row>
    <row r="9" spans="1:19" ht="17.25" thickBot="1">
      <c r="A9" s="118" t="s">
        <v>28</v>
      </c>
      <c r="B9" s="287"/>
      <c r="C9" s="288"/>
      <c r="D9" s="288"/>
      <c r="E9" s="288"/>
      <c r="F9" s="289"/>
      <c r="G9" s="28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84"/>
      <c r="I9" s="285"/>
      <c r="J9" s="4" t="s">
        <v>28</v>
      </c>
      <c r="K9" s="287"/>
      <c r="L9" s="288"/>
      <c r="M9" s="288"/>
      <c r="N9" s="288"/>
      <c r="O9" s="289"/>
      <c r="Q9" s="2" t="s">
        <v>29</v>
      </c>
      <c r="R9" s="6">
        <v>10</v>
      </c>
    </row>
    <row r="10" spans="1:19">
      <c r="A10" s="118" t="s">
        <v>30</v>
      </c>
      <c r="B10" s="287"/>
      <c r="C10" s="288"/>
      <c r="D10" s="288"/>
      <c r="E10" s="288"/>
      <c r="F10" s="289"/>
      <c r="G10" s="290" t="s">
        <v>47</v>
      </c>
      <c r="H10" s="291"/>
      <c r="I10" s="292"/>
      <c r="J10" s="4" t="s">
        <v>30</v>
      </c>
      <c r="K10" s="287" t="s">
        <v>351</v>
      </c>
      <c r="L10" s="288"/>
      <c r="M10" s="288"/>
      <c r="N10" s="288"/>
      <c r="O10" s="289"/>
      <c r="Q10" s="2" t="s">
        <v>31</v>
      </c>
      <c r="R10" s="6">
        <v>100</v>
      </c>
    </row>
    <row r="11" spans="1:19" ht="17.25" thickBot="1">
      <c r="A11" s="119" t="s">
        <v>32</v>
      </c>
      <c r="B11" s="280" t="s">
        <v>352</v>
      </c>
      <c r="C11" s="281"/>
      <c r="D11" s="281"/>
      <c r="E11" s="281"/>
      <c r="F11" s="282"/>
      <c r="G11" s="28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84"/>
      <c r="I11" s="285"/>
      <c r="J11" s="7" t="s">
        <v>32</v>
      </c>
      <c r="K11" s="280" t="s">
        <v>343</v>
      </c>
      <c r="L11" s="281"/>
      <c r="M11" s="281"/>
      <c r="N11" s="281"/>
      <c r="O11" s="282"/>
      <c r="Q11" s="65" t="s">
        <v>33</v>
      </c>
      <c r="R11" s="8">
        <v>1000</v>
      </c>
    </row>
    <row r="12" spans="1:19" ht="17.25" thickBot="1"/>
    <row r="13" spans="1:19" ht="17.25" customHeight="1" thickBot="1">
      <c r="A13" s="262" t="s">
        <v>34</v>
      </c>
      <c r="B13" s="263"/>
      <c r="C13" s="263"/>
      <c r="D13" s="263"/>
      <c r="E13" s="263"/>
      <c r="F13" s="263"/>
      <c r="G13" s="263"/>
      <c r="H13" s="263"/>
      <c r="I13" s="263"/>
      <c r="J13" s="263"/>
      <c r="K13" s="263"/>
      <c r="L13" s="263"/>
      <c r="M13" s="263"/>
      <c r="N13" s="263"/>
      <c r="O13" s="264"/>
      <c r="Q13" s="261"/>
      <c r="R13" s="261"/>
      <c r="S13" s="261"/>
    </row>
    <row r="14" spans="1:19" ht="17.25" customHeight="1" thickBot="1">
      <c r="A14" s="168" t="s">
        <v>35</v>
      </c>
      <c r="B14" s="262" t="s">
        <v>36</v>
      </c>
      <c r="C14" s="264"/>
      <c r="D14" s="262" t="s">
        <v>37</v>
      </c>
      <c r="E14" s="263"/>
      <c r="F14" s="264"/>
      <c r="G14" s="265">
        <f>_xlfn.IFNA(VLOOKUP(B14, 현재가테이블!$B$2:$D$200, 2, FALSE), "-")</f>
        <v>40538000</v>
      </c>
      <c r="H14" s="266"/>
      <c r="I14" s="267"/>
      <c r="J14" s="262" t="s">
        <v>38</v>
      </c>
      <c r="K14" s="263"/>
      <c r="L14" s="264"/>
      <c r="M14" s="268">
        <f>_xlfn.IFNA(VLOOKUP(B14, 현재가테이블!$B$2:$D$200, 3, FALSE), "-")</f>
        <v>-3.68275993E-2</v>
      </c>
      <c r="N14" s="269"/>
      <c r="O14" s="270"/>
      <c r="Q14" s="261"/>
      <c r="R14" s="261"/>
      <c r="S14" s="261"/>
    </row>
    <row r="15" spans="1:19" ht="17.25" customHeight="1" thickBot="1">
      <c r="A15" s="299" t="s">
        <v>39</v>
      </c>
      <c r="B15" s="300" t="str">
        <f>TEXT($G$1, "[$-ko-KR]yyyy-mm-dd(ddd) ") &amp; "오전 00:00"</f>
        <v>2021-06-03(목) 오전 00:00</v>
      </c>
      <c r="C15" s="301"/>
      <c r="D15" s="275" t="str">
        <f>TEXT($G$1, "[$-ko-KR]yyyy-mm-dd(ddd) ") &amp; "오후 14:00"</f>
        <v>2021-06-03(목) 오후 14:00</v>
      </c>
      <c r="E15" s="276"/>
      <c r="F15" s="277"/>
      <c r="G15" s="275" t="str">
        <f>TEXT($G$1, "[$-ko-KR]yyyy-mm-dd(ddd) ") &amp; "오후 19:00"</f>
        <v>2021-06-03(목) 오후 19:00</v>
      </c>
      <c r="H15" s="276"/>
      <c r="I15" s="277"/>
      <c r="J15" s="275" t="str">
        <f>TEXT($G$1, "[$-ko-KR]yyyy-mm-dd(ddd) ") &amp; "오후 21:00"</f>
        <v>2021-06-03(목) 오후 21:00</v>
      </c>
      <c r="K15" s="276"/>
      <c r="L15" s="277"/>
      <c r="M15" s="275" t="str">
        <f>TEXT($G$1+1, "[$-ko-KR]yyyy-mm-dd(ddd) ") &amp; "오전 00:00"</f>
        <v>2021-06-04(금) 오전 00:00</v>
      </c>
      <c r="N15" s="276"/>
      <c r="O15" s="277"/>
      <c r="Q15" s="261"/>
      <c r="R15" s="261"/>
      <c r="S15" s="261"/>
    </row>
    <row r="16" spans="1:19" ht="17.25" customHeight="1" thickBot="1">
      <c r="A16" s="29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61"/>
      <c r="R17" s="261"/>
      <c r="S17" s="261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61"/>
      <c r="R18" s="261"/>
      <c r="S18" s="261"/>
    </row>
    <row r="19" spans="1:19" ht="17.25" customHeight="1" thickBot="1">
      <c r="A19" s="162" t="s">
        <v>242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51"/>
      <c r="R19" s="251"/>
      <c r="S19" s="251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51"/>
      <c r="R20" s="251"/>
      <c r="S20" s="251"/>
    </row>
    <row r="21" spans="1:19" ht="17.25" customHeight="1" thickBot="1">
      <c r="A21" s="163" t="s">
        <v>201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51"/>
      <c r="R21" s="251"/>
      <c r="S21" s="251"/>
    </row>
    <row r="22" spans="1:19" ht="17.25" customHeight="1" thickBot="1">
      <c r="A22" s="162" t="s">
        <v>210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51"/>
      <c r="R22" s="251"/>
      <c r="S22" s="251"/>
    </row>
    <row r="23" spans="1:19" ht="17.25" customHeight="1" thickBot="1">
      <c r="A23" s="162" t="s">
        <v>183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51"/>
      <c r="R23" s="251"/>
      <c r="S23" s="251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51"/>
      <c r="R24" s="251"/>
      <c r="S24" s="251"/>
    </row>
    <row r="25" spans="1:19" ht="17.25" customHeight="1" thickBot="1">
      <c r="A25" s="162" t="s">
        <v>165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52"/>
      <c r="R26" s="253"/>
      <c r="S26" s="254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55"/>
      <c r="R27" s="256"/>
      <c r="S27" s="257"/>
    </row>
    <row r="28" spans="1:19" ht="17.25" customHeight="1" thickBot="1">
      <c r="A28" s="162" t="s">
        <v>217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58"/>
      <c r="R28" s="259"/>
      <c r="S28" s="260"/>
    </row>
    <row r="29" spans="1:19" ht="17.25" customHeight="1" thickBot="1">
      <c r="A29" s="162" t="s">
        <v>163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51"/>
      <c r="R29" s="251"/>
      <c r="S29" s="251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61"/>
      <c r="R30" s="261"/>
      <c r="S30" s="261"/>
    </row>
    <row r="31" spans="1:19" ht="17.25" customHeight="1" thickBot="1">
      <c r="A31" s="163" t="s">
        <v>177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61"/>
      <c r="R31" s="261"/>
      <c r="S31" s="261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51"/>
      <c r="R32" s="251"/>
      <c r="S32" s="25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304">
        <v>100000</v>
      </c>
      <c r="C37" s="305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262" t="s">
        <v>44</v>
      </c>
      <c r="B40" s="263"/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4"/>
      <c r="Q40" s="261"/>
      <c r="R40" s="261"/>
      <c r="S40" s="261"/>
    </row>
    <row r="41" spans="1:19" ht="17.25" customHeight="1" thickBot="1">
      <c r="A41" s="168" t="s">
        <v>292</v>
      </c>
      <c r="B41" s="262" t="s">
        <v>49</v>
      </c>
      <c r="C41" s="264"/>
      <c r="D41" s="262" t="s">
        <v>58</v>
      </c>
      <c r="E41" s="263"/>
      <c r="F41" s="264"/>
      <c r="G41" s="265">
        <f>_xlfn.IFNA(VLOOKUP(B41, 현재가테이블!$B$2:$D$200, 2, FALSE), "-")</f>
        <v>40538000</v>
      </c>
      <c r="H41" s="266"/>
      <c r="I41" s="267"/>
      <c r="J41" s="262" t="s">
        <v>59</v>
      </c>
      <c r="K41" s="263"/>
      <c r="L41" s="264"/>
      <c r="M41" s="268">
        <f>_xlfn.IFNA(VLOOKUP(B41, 현재가테이블!$B$2:$D$200, 3, FALSE), "-")</f>
        <v>-3.68275993E-2</v>
      </c>
      <c r="N41" s="269"/>
      <c r="O41" s="270"/>
      <c r="Q41" s="261"/>
      <c r="R41" s="261"/>
      <c r="S41" s="261"/>
    </row>
    <row r="42" spans="1:19" ht="17.25" customHeight="1" thickBot="1">
      <c r="A42" s="306" t="s">
        <v>55</v>
      </c>
      <c r="B42" s="302" t="str">
        <f>TEXT($G$1, "[$-ko-KR]yyyy-mm-dd(ddd) ") &amp; "오전 00:00"</f>
        <v>2021-06-03(목) 오전 00:00</v>
      </c>
      <c r="C42" s="303"/>
      <c r="D42" s="275" t="str">
        <f>TEXT($G$1, "[$-ko-KR]yyyy-mm-dd(ddd) ") &amp; "오후 14:00"</f>
        <v>2021-06-03(목) 오후 14:00</v>
      </c>
      <c r="E42" s="276"/>
      <c r="F42" s="277"/>
      <c r="G42" s="275" t="str">
        <f>TEXT($G$1, "[$-ko-KR]yyyy-mm-dd(ddd) ") &amp; "오후 19:00"</f>
        <v>2021-06-03(목) 오후 19:00</v>
      </c>
      <c r="H42" s="276"/>
      <c r="I42" s="277"/>
      <c r="J42" s="275" t="str">
        <f>TEXT($G$1, "[$-ko-KR]yyyy-mm-dd(ddd) ") &amp; "오후 21:00"</f>
        <v>2021-06-03(목) 오후 21:00</v>
      </c>
      <c r="K42" s="276"/>
      <c r="L42" s="277"/>
      <c r="M42" s="275" t="str">
        <f>TEXT($G$1+1, "[$-ko-KR]yyyy-mm-dd(ddd) ") &amp; "오전 00:00"</f>
        <v>2021-06-04(금) 오전 00:00</v>
      </c>
      <c r="N42" s="276"/>
      <c r="O42" s="277"/>
      <c r="Q42" s="261"/>
      <c r="R42" s="261"/>
      <c r="S42" s="261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9" t="s">
        <v>58</v>
      </c>
      <c r="H43" s="170" t="s">
        <v>293</v>
      </c>
      <c r="I43" s="17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1"/>
      <c r="R43" s="251"/>
      <c r="S43" s="251"/>
    </row>
    <row r="44" spans="1:19" ht="17.25" customHeight="1" thickBot="1">
      <c r="A44" s="161" t="s">
        <v>217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61"/>
      <c r="R44" s="261"/>
      <c r="S44" s="261"/>
    </row>
    <row r="45" spans="1:19" ht="17.25" customHeight="1" thickBot="1">
      <c r="A45" s="162" t="s">
        <v>197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61"/>
      <c r="R45" s="261"/>
      <c r="S45" s="261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51"/>
      <c r="R46" s="251"/>
      <c r="S46" s="251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51"/>
      <c r="R47" s="251"/>
      <c r="S47" s="251"/>
    </row>
    <row r="48" spans="1:19" ht="17.25" customHeight="1" thickBot="1">
      <c r="A48" s="163" t="s">
        <v>212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51"/>
      <c r="R48" s="251"/>
      <c r="S48" s="251"/>
    </row>
    <row r="49" spans="1:19" ht="17.25" customHeight="1" thickBot="1">
      <c r="A49" s="162" t="s">
        <v>273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51"/>
      <c r="R49" s="251"/>
      <c r="S49" s="251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51"/>
      <c r="R50" s="251"/>
      <c r="S50" s="251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51"/>
      <c r="R51" s="251"/>
      <c r="S51" s="251"/>
    </row>
    <row r="52" spans="1:19" ht="17.25" customHeight="1" thickBot="1">
      <c r="A52" s="162" t="s">
        <v>195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52"/>
      <c r="R53" s="253"/>
      <c r="S53" s="254"/>
    </row>
    <row r="54" spans="1:19" ht="17.25" customHeight="1">
      <c r="A54" s="161" t="s">
        <v>215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55"/>
      <c r="R54" s="256"/>
      <c r="S54" s="257"/>
    </row>
    <row r="55" spans="1:19" ht="17.25" customHeight="1" thickBot="1">
      <c r="A55" s="162" t="s">
        <v>233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58"/>
      <c r="R55" s="259"/>
      <c r="S55" s="260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51"/>
      <c r="R56" s="251"/>
      <c r="S56" s="251"/>
    </row>
    <row r="57" spans="1:19" ht="17.25" customHeight="1" thickBot="1">
      <c r="A57" s="162" t="s">
        <v>225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61"/>
      <c r="R57" s="261"/>
      <c r="S57" s="261"/>
    </row>
    <row r="58" spans="1:19" ht="17.25" customHeight="1" thickBot="1">
      <c r="A58" s="163" t="s">
        <v>210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61"/>
      <c r="R58" s="261"/>
      <c r="S58" s="261"/>
    </row>
    <row r="59" spans="1:19" ht="17.25" customHeight="1" thickBot="1">
      <c r="A59" s="162" t="s">
        <v>249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51"/>
      <c r="R59" s="251"/>
      <c r="S59" s="251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51"/>
      <c r="R60" s="251"/>
      <c r="S60" s="251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51"/>
      <c r="R61" s="251"/>
      <c r="S61" s="251"/>
    </row>
    <row r="62" spans="1:19" ht="17.25" customHeight="1">
      <c r="A62" s="162" t="s">
        <v>259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40"/>
      <c r="R62" s="241"/>
      <c r="S62" s="242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43"/>
      <c r="R63" s="244"/>
      <c r="S63" s="245"/>
    </row>
    <row r="64" spans="1:19" ht="17.25" customHeight="1" thickBot="1">
      <c r="A64" s="132" t="s">
        <v>295</v>
      </c>
      <c r="B64" s="304">
        <f>$B$37</f>
        <v>100000</v>
      </c>
      <c r="C64" s="305"/>
      <c r="D64" s="26" t="s">
        <v>296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296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296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296</v>
      </c>
      <c r="N64" s="27">
        <f>IF(COUNT(N44:N63), SUM(N44:N63) / COUNT(N44:N63), 0)</f>
        <v>1.8179595803991418E-2</v>
      </c>
      <c r="O64" s="28">
        <f>SUM(O44:O63)</f>
        <v>36359.191607982844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262" t="s">
        <v>45</v>
      </c>
      <c r="B67" s="263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4"/>
      <c r="Q67" s="261"/>
      <c r="R67" s="261"/>
      <c r="S67" s="261"/>
    </row>
    <row r="68" spans="1:19" ht="17.25" thickBot="1">
      <c r="A68" s="168" t="s">
        <v>292</v>
      </c>
      <c r="B68" s="262" t="s">
        <v>49</v>
      </c>
      <c r="C68" s="264"/>
      <c r="D68" s="262" t="s">
        <v>58</v>
      </c>
      <c r="E68" s="263"/>
      <c r="F68" s="264"/>
      <c r="G68" s="265">
        <f>_xlfn.IFNA(VLOOKUP(B68, 현재가테이블!$B$2:$D$200, 2, FALSE), "-")</f>
        <v>40538000</v>
      </c>
      <c r="H68" s="266"/>
      <c r="I68" s="267"/>
      <c r="J68" s="262" t="s">
        <v>59</v>
      </c>
      <c r="K68" s="263"/>
      <c r="L68" s="264"/>
      <c r="M68" s="268">
        <f>_xlfn.IFNA(VLOOKUP(B68, 현재가테이블!$B$2:$D$200, 3, FALSE), "-")</f>
        <v>-3.68275993E-2</v>
      </c>
      <c r="N68" s="269"/>
      <c r="O68" s="270"/>
      <c r="Q68" s="261"/>
      <c r="R68" s="261"/>
      <c r="S68" s="261"/>
    </row>
    <row r="69" spans="1:19" ht="17.25" thickBot="1">
      <c r="A69" s="306" t="s">
        <v>55</v>
      </c>
      <c r="B69" s="302" t="str">
        <f>TEXT($G$1, "[$-ko-KR]yyyy-mm-dd(ddd) ") &amp; "오전 00:00"</f>
        <v>2021-06-03(목) 오전 00:00</v>
      </c>
      <c r="C69" s="303"/>
      <c r="D69" s="275" t="str">
        <f>TEXT($G$1, "[$-ko-KR]yyyy-mm-dd(ddd) ") &amp; "오후 14:00"</f>
        <v>2021-06-03(목) 오후 14:00</v>
      </c>
      <c r="E69" s="276"/>
      <c r="F69" s="277"/>
      <c r="G69" s="275" t="str">
        <f>TEXT($G$1, "[$-ko-KR]yyyy-mm-dd(ddd) ") &amp; "오후 19:00"</f>
        <v>2021-06-03(목) 오후 19:00</v>
      </c>
      <c r="H69" s="276"/>
      <c r="I69" s="277"/>
      <c r="J69" s="275" t="str">
        <f>TEXT($G$1, "[$-ko-KR]yyyy-mm-dd(ddd) ") &amp; "오후 21:00"</f>
        <v>2021-06-03(목) 오후 21:00</v>
      </c>
      <c r="K69" s="276"/>
      <c r="L69" s="277"/>
      <c r="M69" s="275" t="str">
        <f>TEXT($G$1+1, "[$-ko-KR]yyyy-mm-dd(ddd) ") &amp; "오전 00:00"</f>
        <v>2021-06-04(금) 오전 00:00</v>
      </c>
      <c r="N69" s="276"/>
      <c r="O69" s="277"/>
      <c r="Q69" s="261"/>
      <c r="R69" s="261"/>
      <c r="S69" s="261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9" t="s">
        <v>58</v>
      </c>
      <c r="H70" s="170" t="s">
        <v>293</v>
      </c>
      <c r="I70" s="17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1"/>
      <c r="R70" s="251"/>
      <c r="S70" s="251"/>
    </row>
    <row r="71" spans="1:19" ht="17.25" thickBot="1">
      <c r="A71" s="161" t="s">
        <v>291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61"/>
      <c r="R71" s="261"/>
      <c r="S71" s="261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61"/>
      <c r="R72" s="261"/>
      <c r="S72" s="261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51"/>
      <c r="R73" s="251"/>
      <c r="S73" s="251"/>
    </row>
    <row r="74" spans="1:19" ht="17.25" thickBot="1">
      <c r="A74" s="162" t="s">
        <v>229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51"/>
      <c r="R74" s="251"/>
      <c r="S74" s="251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51"/>
      <c r="R75" s="251"/>
      <c r="S75" s="251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51"/>
      <c r="R76" s="251"/>
      <c r="S76" s="251"/>
    </row>
    <row r="77" spans="1:19" ht="17.25" thickBot="1">
      <c r="A77" s="162" t="s">
        <v>201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51"/>
      <c r="R77" s="251"/>
      <c r="S77" s="251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51"/>
      <c r="R78" s="251"/>
      <c r="S78" s="251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214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52"/>
      <c r="R80" s="253"/>
      <c r="S80" s="254"/>
    </row>
    <row r="81" spans="1:19">
      <c r="A81" s="161" t="s">
        <v>236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55"/>
      <c r="R81" s="256"/>
      <c r="S81" s="257"/>
    </row>
    <row r="82" spans="1:19" ht="17.25" thickBot="1">
      <c r="A82" s="162" t="s">
        <v>279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58"/>
      <c r="R82" s="259"/>
      <c r="S82" s="260"/>
    </row>
    <row r="83" spans="1:19" ht="17.25" thickBot="1">
      <c r="A83" s="162" t="s">
        <v>208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51"/>
      <c r="R83" s="251"/>
      <c r="S83" s="251"/>
    </row>
    <row r="84" spans="1:19" ht="17.25" thickBot="1">
      <c r="A84" s="162" t="s">
        <v>251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61"/>
      <c r="R84" s="261"/>
      <c r="S84" s="261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61"/>
      <c r="R85" s="261"/>
      <c r="S85" s="261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51"/>
      <c r="R86" s="251"/>
      <c r="S86" s="251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51"/>
      <c r="R87" s="251"/>
      <c r="S87" s="251"/>
    </row>
    <row r="88" spans="1:19" ht="17.25" thickBot="1">
      <c r="A88" s="162" t="s">
        <v>181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51"/>
      <c r="R88" s="251"/>
      <c r="S88" s="251"/>
    </row>
    <row r="89" spans="1:19">
      <c r="A89" s="162" t="s">
        <v>265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40"/>
      <c r="R89" s="241"/>
      <c r="S89" s="242"/>
    </row>
    <row r="90" spans="1:19" ht="17.25" thickBot="1">
      <c r="A90" s="130" t="s">
        <v>257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43"/>
      <c r="R90" s="244"/>
      <c r="S90" s="245"/>
    </row>
    <row r="91" spans="1:19" ht="17.25" thickBot="1">
      <c r="A91" s="132" t="s">
        <v>295</v>
      </c>
      <c r="B91" s="304">
        <f>$B$37</f>
        <v>100000</v>
      </c>
      <c r="C91" s="305"/>
      <c r="D91" s="26" t="s">
        <v>296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296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296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296</v>
      </c>
      <c r="N91" s="27">
        <f>IF(COUNT(N71:N90), SUM(N71:N90) / COUNT(N71:N90), 0)</f>
        <v>2.7547899196957503E-2</v>
      </c>
      <c r="O91" s="28">
        <f>SUM(O71:O90)</f>
        <v>55095.798393914993</v>
      </c>
      <c r="Q91" s="246"/>
      <c r="R91" s="247"/>
      <c r="S91" s="248"/>
    </row>
    <row r="93" spans="1:19" ht="17.25" thickBot="1"/>
    <row r="94" spans="1:19" ht="17.25" thickBot="1">
      <c r="A94" s="262" t="s">
        <v>46</v>
      </c>
      <c r="B94" s="263"/>
      <c r="C94" s="263"/>
      <c r="D94" s="263"/>
      <c r="E94" s="263"/>
      <c r="F94" s="263"/>
      <c r="G94" s="263"/>
      <c r="H94" s="263"/>
      <c r="I94" s="263"/>
      <c r="J94" s="263"/>
      <c r="K94" s="263"/>
      <c r="L94" s="263"/>
      <c r="M94" s="263"/>
      <c r="N94" s="263"/>
      <c r="O94" s="264"/>
      <c r="Q94" s="261"/>
      <c r="R94" s="261"/>
      <c r="S94" s="261"/>
    </row>
    <row r="95" spans="1:19" ht="17.25" thickBot="1">
      <c r="A95" s="168" t="s">
        <v>292</v>
      </c>
      <c r="B95" s="262" t="s">
        <v>49</v>
      </c>
      <c r="C95" s="264"/>
      <c r="D95" s="262" t="s">
        <v>58</v>
      </c>
      <c r="E95" s="263"/>
      <c r="F95" s="264"/>
      <c r="G95" s="265">
        <f>_xlfn.IFNA(VLOOKUP(B95, 현재가테이블!$B$2:$D$200, 2, FALSE), "-")</f>
        <v>40538000</v>
      </c>
      <c r="H95" s="266"/>
      <c r="I95" s="267"/>
      <c r="J95" s="262" t="s">
        <v>59</v>
      </c>
      <c r="K95" s="263"/>
      <c r="L95" s="264"/>
      <c r="M95" s="268">
        <f>_xlfn.IFNA(VLOOKUP(B95, 현재가테이블!$B$2:$D$200, 3, FALSE), "-")</f>
        <v>-3.68275993E-2</v>
      </c>
      <c r="N95" s="269"/>
      <c r="O95" s="270"/>
      <c r="Q95" s="261"/>
      <c r="R95" s="261"/>
      <c r="S95" s="261"/>
    </row>
    <row r="96" spans="1:19" ht="17.25" thickBot="1">
      <c r="A96" s="306" t="s">
        <v>55</v>
      </c>
      <c r="B96" s="302" t="str">
        <f>TEXT($G$1, "[$-ko-KR]yyyy-mm-dd(ddd) ") &amp; "오전 00:00"</f>
        <v>2021-06-03(목) 오전 00:00</v>
      </c>
      <c r="C96" s="303"/>
      <c r="D96" s="275" t="str">
        <f>TEXT($G$1, "[$-ko-KR]yyyy-mm-dd(ddd) ") &amp; "오후 14:00"</f>
        <v>2021-06-03(목) 오후 14:00</v>
      </c>
      <c r="E96" s="276"/>
      <c r="F96" s="277"/>
      <c r="G96" s="275" t="str">
        <f>TEXT($G$1, "[$-ko-KR]yyyy-mm-dd(ddd) ") &amp; "오후 19:00"</f>
        <v>2021-06-03(목) 오후 19:00</v>
      </c>
      <c r="H96" s="276"/>
      <c r="I96" s="277"/>
      <c r="J96" s="275" t="str">
        <f>TEXT($G$1, "[$-ko-KR]yyyy-mm-dd(ddd) ") &amp; "오후 21:00"</f>
        <v>2021-06-03(목) 오후 21:00</v>
      </c>
      <c r="K96" s="276"/>
      <c r="L96" s="277"/>
      <c r="M96" s="275" t="str">
        <f>TEXT($G$1+1, "[$-ko-KR]yyyy-mm-dd(ddd) ") &amp; "오전 00:00"</f>
        <v>2021-06-04(금) 오전 00:00</v>
      </c>
      <c r="N96" s="276"/>
      <c r="O96" s="277"/>
      <c r="Q96" s="261"/>
      <c r="R96" s="261"/>
      <c r="S96" s="261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9" t="s">
        <v>58</v>
      </c>
      <c r="H97" s="170" t="s">
        <v>293</v>
      </c>
      <c r="I97" s="17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1"/>
      <c r="R97" s="251"/>
      <c r="S97" s="251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61"/>
      <c r="R98" s="261"/>
      <c r="S98" s="261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61"/>
      <c r="R99" s="261"/>
      <c r="S99" s="261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51"/>
      <c r="R100" s="251"/>
      <c r="S100" s="251"/>
    </row>
    <row r="101" spans="1:19" ht="17.25" thickBot="1">
      <c r="A101" s="162" t="s">
        <v>291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51"/>
      <c r="R101" s="251"/>
      <c r="S101" s="251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51"/>
      <c r="R102" s="251"/>
      <c r="S102" s="251"/>
    </row>
    <row r="103" spans="1:19" ht="17.25" thickBot="1">
      <c r="A103" s="162" t="s">
        <v>183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51"/>
      <c r="R103" s="251"/>
      <c r="S103" s="251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51"/>
      <c r="R104" s="251"/>
      <c r="S104" s="251"/>
    </row>
    <row r="105" spans="1:19" ht="17.25" thickBot="1">
      <c r="A105" s="162" t="s">
        <v>165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51"/>
      <c r="R105" s="251"/>
      <c r="S105" s="251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52"/>
      <c r="R107" s="253"/>
      <c r="S107" s="254"/>
    </row>
    <row r="108" spans="1:19">
      <c r="A108" s="161" t="s">
        <v>217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55"/>
      <c r="R108" s="256"/>
      <c r="S108" s="257"/>
    </row>
    <row r="109" spans="1:19" ht="17.25" thickBot="1">
      <c r="A109" s="162" t="s">
        <v>163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58"/>
      <c r="R109" s="259"/>
      <c r="S109" s="260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51"/>
      <c r="R110" s="251"/>
      <c r="S110" s="251"/>
    </row>
    <row r="111" spans="1:19" ht="17.25" thickBot="1">
      <c r="A111" s="162" t="s">
        <v>177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61"/>
      <c r="R111" s="261"/>
      <c r="S111" s="261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61"/>
      <c r="R112" s="261"/>
      <c r="S112" s="261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51"/>
      <c r="R113" s="251"/>
      <c r="S113" s="251"/>
    </row>
    <row r="114" spans="1:19" ht="17.25" thickBot="1">
      <c r="A114" s="162" t="s">
        <v>179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51"/>
      <c r="R114" s="251"/>
      <c r="S114" s="251"/>
    </row>
    <row r="115" spans="1:19" ht="17.25" thickBot="1">
      <c r="A115" s="162" t="s">
        <v>229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51"/>
      <c r="R115" s="251"/>
      <c r="S115" s="251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40"/>
      <c r="R116" s="241"/>
      <c r="S116" s="242"/>
    </row>
    <row r="117" spans="1:19" ht="17.25" thickBot="1">
      <c r="A117" s="130" t="s">
        <v>238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43"/>
      <c r="R117" s="244"/>
      <c r="S117" s="245"/>
    </row>
    <row r="118" spans="1:19" ht="17.25" thickBot="1">
      <c r="A118" s="132" t="s">
        <v>295</v>
      </c>
      <c r="B118" s="304">
        <f>$B$37</f>
        <v>100000</v>
      </c>
      <c r="C118" s="305"/>
      <c r="D118" s="26" t="s">
        <v>296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296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296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296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46"/>
      <c r="R118" s="247"/>
      <c r="S118" s="248"/>
    </row>
    <row r="120" spans="1:19" ht="17.25" thickBot="1"/>
    <row r="121" spans="1:19" ht="17.25" thickBot="1">
      <c r="A121" s="262" t="s">
        <v>283</v>
      </c>
      <c r="B121" s="263"/>
      <c r="C121" s="263"/>
      <c r="D121" s="263"/>
      <c r="E121" s="263"/>
      <c r="F121" s="263"/>
      <c r="G121" s="263"/>
      <c r="H121" s="263"/>
      <c r="I121" s="263"/>
      <c r="J121" s="263"/>
      <c r="K121" s="263"/>
      <c r="L121" s="263"/>
      <c r="M121" s="263"/>
      <c r="N121" s="263"/>
      <c r="O121" s="264"/>
      <c r="Q121" s="261"/>
      <c r="R121" s="261"/>
      <c r="S121" s="261"/>
    </row>
    <row r="122" spans="1:19" ht="17.25" thickBot="1">
      <c r="A122" s="168" t="s">
        <v>292</v>
      </c>
      <c r="B122" s="262" t="s">
        <v>49</v>
      </c>
      <c r="C122" s="264"/>
      <c r="D122" s="262" t="s">
        <v>58</v>
      </c>
      <c r="E122" s="263"/>
      <c r="F122" s="264"/>
      <c r="G122" s="265">
        <f>_xlfn.IFNA(VLOOKUP(B122, 현재가테이블!$B$2:$D$200, 2, FALSE), "-")</f>
        <v>40538000</v>
      </c>
      <c r="H122" s="266"/>
      <c r="I122" s="267"/>
      <c r="J122" s="262" t="s">
        <v>59</v>
      </c>
      <c r="K122" s="263"/>
      <c r="L122" s="264"/>
      <c r="M122" s="268">
        <f>_xlfn.IFNA(VLOOKUP(B122, 현재가테이블!$B$2:$D$200, 3, FALSE), "-")</f>
        <v>-3.68275993E-2</v>
      </c>
      <c r="N122" s="269"/>
      <c r="O122" s="270"/>
      <c r="Q122" s="261"/>
      <c r="R122" s="261"/>
      <c r="S122" s="261"/>
    </row>
    <row r="123" spans="1:19" ht="17.25" thickBot="1">
      <c r="A123" s="306" t="s">
        <v>55</v>
      </c>
      <c r="B123" s="302" t="str">
        <f>TEXT($G$1, "[$-ko-KR]yyyy-mm-dd(ddd) ") &amp; "오전 00:00"</f>
        <v>2021-06-03(목) 오전 00:00</v>
      </c>
      <c r="C123" s="303"/>
      <c r="D123" s="275" t="str">
        <f>TEXT($G$1, "[$-ko-KR]yyyy-mm-dd(ddd) ") &amp; "오후 14:00"</f>
        <v>2021-06-03(목) 오후 14:00</v>
      </c>
      <c r="E123" s="276"/>
      <c r="F123" s="277"/>
      <c r="G123" s="275" t="str">
        <f>TEXT($G$1, "[$-ko-KR]yyyy-mm-dd(ddd) ") &amp; "오후 19:00"</f>
        <v>2021-06-03(목) 오후 19:00</v>
      </c>
      <c r="H123" s="276"/>
      <c r="I123" s="277"/>
      <c r="J123" s="275" t="str">
        <f>TEXT($G$1, "[$-ko-KR]yyyy-mm-dd(ddd) ") &amp; "오후 21:00"</f>
        <v>2021-06-03(목) 오후 21:00</v>
      </c>
      <c r="K123" s="276"/>
      <c r="L123" s="277"/>
      <c r="M123" s="275" t="str">
        <f>TEXT($G$1+1, "[$-ko-KR]yyyy-mm-dd(ddd) ") &amp; "오전 00:00"</f>
        <v>2021-06-04(금) 오전 00:00</v>
      </c>
      <c r="N123" s="276"/>
      <c r="O123" s="277"/>
      <c r="Q123" s="261"/>
      <c r="R123" s="261"/>
      <c r="S123" s="261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9" t="s">
        <v>58</v>
      </c>
      <c r="H124" s="170" t="s">
        <v>293</v>
      </c>
      <c r="I124" s="17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1"/>
      <c r="R124" s="251"/>
      <c r="S124" s="251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61"/>
      <c r="R125" s="261"/>
      <c r="S125" s="261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61"/>
      <c r="R126" s="261"/>
      <c r="S126" s="261"/>
    </row>
    <row r="127" spans="1:19" ht="17.25" thickBot="1">
      <c r="A127" s="162" t="s">
        <v>195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51"/>
      <c r="R127" s="251"/>
      <c r="S127" s="251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51"/>
      <c r="R128" s="251"/>
      <c r="S128" s="251"/>
    </row>
    <row r="129" spans="1:19" ht="17.25" thickBot="1">
      <c r="A129" s="163" t="s">
        <v>215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51"/>
      <c r="R129" s="251"/>
      <c r="S129" s="251"/>
    </row>
    <row r="130" spans="1:19" ht="17.25" thickBot="1">
      <c r="A130" s="162" t="s">
        <v>233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51"/>
      <c r="R130" s="251"/>
      <c r="S130" s="251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51"/>
      <c r="R131" s="251"/>
      <c r="S131" s="251"/>
    </row>
    <row r="132" spans="1:19" ht="17.25" thickBot="1">
      <c r="A132" s="162" t="s">
        <v>225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51"/>
      <c r="R132" s="251"/>
      <c r="S132" s="251"/>
    </row>
    <row r="133" spans="1:19" ht="17.25" thickBot="1">
      <c r="A133" s="162" t="s">
        <v>210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249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52"/>
      <c r="R134" s="253"/>
      <c r="S134" s="254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55"/>
      <c r="R135" s="256"/>
      <c r="S135" s="257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58"/>
      <c r="R136" s="259"/>
      <c r="S136" s="260"/>
    </row>
    <row r="137" spans="1:19" ht="17.25" thickBot="1">
      <c r="A137" s="162" t="s">
        <v>259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51"/>
      <c r="R137" s="251"/>
      <c r="S137" s="251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61"/>
      <c r="R138" s="261"/>
      <c r="S138" s="261"/>
    </row>
    <row r="139" spans="1:19" ht="17.25" thickBot="1">
      <c r="A139" s="163" t="s">
        <v>263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61"/>
      <c r="R139" s="261"/>
      <c r="S139" s="261"/>
    </row>
    <row r="140" spans="1:19" ht="17.25" thickBot="1">
      <c r="A140" s="162" t="s">
        <v>219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51"/>
      <c r="R140" s="251"/>
      <c r="S140" s="251"/>
    </row>
    <row r="141" spans="1:19" ht="17.25" thickBot="1">
      <c r="A141" s="162" t="s">
        <v>261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51"/>
      <c r="R141" s="251"/>
      <c r="S141" s="251"/>
    </row>
    <row r="142" spans="1:19" ht="17.25" thickBot="1">
      <c r="A142" s="162" t="s">
        <v>171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51"/>
      <c r="R142" s="251"/>
      <c r="S142" s="251"/>
    </row>
    <row r="143" spans="1:19">
      <c r="A143" s="162" t="s">
        <v>185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40"/>
      <c r="R143" s="241"/>
      <c r="S143" s="242"/>
    </row>
    <row r="144" spans="1:19" ht="17.25" thickBot="1">
      <c r="A144" s="130" t="s">
        <v>255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43"/>
      <c r="R144" s="244"/>
      <c r="S144" s="245"/>
    </row>
    <row r="145" spans="1:19" ht="17.25" thickBot="1">
      <c r="A145" s="132" t="s">
        <v>295</v>
      </c>
      <c r="B145" s="304">
        <f>$B$37</f>
        <v>100000</v>
      </c>
      <c r="C145" s="305"/>
      <c r="D145" s="26" t="s">
        <v>296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296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296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296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46"/>
      <c r="R145" s="247"/>
      <c r="S145" s="248"/>
    </row>
    <row r="147" spans="1:19" ht="17.25" thickBot="1"/>
    <row r="148" spans="1:19" ht="17.25" thickBot="1">
      <c r="A148" s="262" t="s">
        <v>284</v>
      </c>
      <c r="B148" s="263"/>
      <c r="C148" s="263"/>
      <c r="D148" s="263"/>
      <c r="E148" s="263"/>
      <c r="F148" s="263"/>
      <c r="G148" s="263"/>
      <c r="H148" s="263"/>
      <c r="I148" s="263"/>
      <c r="J148" s="263"/>
      <c r="K148" s="263"/>
      <c r="L148" s="263"/>
      <c r="M148" s="263"/>
      <c r="N148" s="263"/>
      <c r="O148" s="264"/>
      <c r="Q148" s="261"/>
      <c r="R148" s="261"/>
      <c r="S148" s="261"/>
    </row>
    <row r="149" spans="1:19" ht="17.25" thickBot="1">
      <c r="A149" s="168" t="s">
        <v>292</v>
      </c>
      <c r="B149" s="262" t="s">
        <v>49</v>
      </c>
      <c r="C149" s="264"/>
      <c r="D149" s="262" t="s">
        <v>58</v>
      </c>
      <c r="E149" s="263"/>
      <c r="F149" s="264"/>
      <c r="G149" s="265">
        <f>_xlfn.IFNA(VLOOKUP(B149, 현재가테이블!$B$2:$D$200, 2, FALSE), "-")</f>
        <v>40538000</v>
      </c>
      <c r="H149" s="266"/>
      <c r="I149" s="267"/>
      <c r="J149" s="262" t="s">
        <v>59</v>
      </c>
      <c r="K149" s="263"/>
      <c r="L149" s="264"/>
      <c r="M149" s="268">
        <f>_xlfn.IFNA(VLOOKUP(B149, 현재가테이블!$B$2:$D$200, 3, FALSE), "-")</f>
        <v>-3.68275993E-2</v>
      </c>
      <c r="N149" s="269"/>
      <c r="O149" s="270"/>
      <c r="Q149" s="261"/>
      <c r="R149" s="261"/>
      <c r="S149" s="261"/>
    </row>
    <row r="150" spans="1:19" ht="17.25" thickBot="1">
      <c r="A150" s="306" t="s">
        <v>55</v>
      </c>
      <c r="B150" s="302" t="str">
        <f>TEXT($G$1, "[$-ko-KR]yyyy-mm-dd(ddd) ") &amp; "오전 00:00"</f>
        <v>2021-06-03(목) 오전 00:00</v>
      </c>
      <c r="C150" s="303"/>
      <c r="D150" s="275" t="str">
        <f>TEXT($G$1, "[$-ko-KR]yyyy-mm-dd(ddd) ") &amp; "오후 14:00"</f>
        <v>2021-06-03(목) 오후 14:00</v>
      </c>
      <c r="E150" s="276"/>
      <c r="F150" s="277"/>
      <c r="G150" s="275" t="str">
        <f>TEXT($G$1, "[$-ko-KR]yyyy-mm-dd(ddd) ") &amp; "오후 19:00"</f>
        <v>2021-06-03(목) 오후 19:00</v>
      </c>
      <c r="H150" s="276"/>
      <c r="I150" s="277"/>
      <c r="J150" s="275" t="str">
        <f>TEXT($G$1, "[$-ko-KR]yyyy-mm-dd(ddd) ") &amp; "오후 21:00"</f>
        <v>2021-06-03(목) 오후 21:00</v>
      </c>
      <c r="K150" s="276"/>
      <c r="L150" s="277"/>
      <c r="M150" s="275" t="str">
        <f>TEXT($G$1+1, "[$-ko-KR]yyyy-mm-dd(ddd) ") &amp; "오전 00:00"</f>
        <v>2021-06-04(금) 오전 00:00</v>
      </c>
      <c r="N150" s="276"/>
      <c r="O150" s="277"/>
      <c r="Q150" s="261"/>
      <c r="R150" s="261"/>
      <c r="S150" s="261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9" t="s">
        <v>58</v>
      </c>
      <c r="H151" s="170" t="s">
        <v>293</v>
      </c>
      <c r="I151" s="17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1"/>
      <c r="R151" s="251"/>
      <c r="S151" s="251"/>
    </row>
    <row r="152" spans="1:19" ht="17.25" thickBot="1">
      <c r="A152" s="161" t="s">
        <v>257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61"/>
      <c r="R152" s="261"/>
      <c r="S152" s="261"/>
    </row>
    <row r="153" spans="1:19" ht="17.25" thickBot="1">
      <c r="A153" s="162" t="s">
        <v>199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61"/>
      <c r="R153" s="261"/>
      <c r="S153" s="261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51"/>
      <c r="R154" s="251"/>
      <c r="S154" s="251"/>
    </row>
    <row r="155" spans="1:19" ht="17.25" thickBot="1">
      <c r="A155" s="162" t="s">
        <v>277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51"/>
      <c r="R155" s="251"/>
      <c r="S155" s="251"/>
    </row>
    <row r="156" spans="1:19" ht="17.25" thickBot="1">
      <c r="A156" s="163" t="s">
        <v>167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51"/>
      <c r="R156" s="251"/>
      <c r="S156" s="251"/>
    </row>
    <row r="157" spans="1:19" ht="17.25" thickBot="1">
      <c r="A157" s="162" t="s">
        <v>246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51"/>
      <c r="R157" s="251"/>
      <c r="S157" s="251"/>
    </row>
    <row r="158" spans="1:19" ht="17.25" thickBot="1">
      <c r="A158" s="162" t="s">
        <v>234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51"/>
      <c r="R158" s="251"/>
      <c r="S158" s="251"/>
    </row>
    <row r="159" spans="1:19" ht="17.25" thickBot="1">
      <c r="A159" s="162" t="s">
        <v>173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51"/>
      <c r="R159" s="251"/>
      <c r="S159" s="251"/>
    </row>
    <row r="160" spans="1:19" ht="17.25" thickBot="1">
      <c r="A160" s="162" t="s">
        <v>231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169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52"/>
      <c r="R161" s="253"/>
      <c r="S161" s="254"/>
    </row>
    <row r="162" spans="1:19">
      <c r="A162" s="161" t="s">
        <v>206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55"/>
      <c r="R162" s="256"/>
      <c r="S162" s="257"/>
    </row>
    <row r="163" spans="1:19" ht="17.25" thickBot="1">
      <c r="A163" s="162" t="s">
        <v>253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58"/>
      <c r="R163" s="259"/>
      <c r="S163" s="260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51"/>
      <c r="R164" s="251"/>
      <c r="S164" s="251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61"/>
      <c r="R165" s="261"/>
      <c r="S165" s="261"/>
    </row>
    <row r="166" spans="1:19" ht="17.25" thickBot="1">
      <c r="A166" s="163" t="s">
        <v>248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61"/>
      <c r="R166" s="261"/>
      <c r="S166" s="261"/>
    </row>
    <row r="167" spans="1:19" ht="17.25" thickBot="1">
      <c r="A167" s="162" t="s">
        <v>223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51"/>
      <c r="R167" s="251"/>
      <c r="S167" s="251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51"/>
      <c r="R168" s="251"/>
      <c r="S168" s="251"/>
    </row>
    <row r="169" spans="1:19" ht="17.25" thickBot="1">
      <c r="A169" s="162" t="s">
        <v>227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51"/>
      <c r="R169" s="251"/>
      <c r="S169" s="251"/>
    </row>
    <row r="170" spans="1:19">
      <c r="A170" s="162" t="s">
        <v>242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40"/>
      <c r="R170" s="241"/>
      <c r="S170" s="242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43"/>
      <c r="R171" s="244"/>
      <c r="S171" s="245"/>
    </row>
    <row r="172" spans="1:19" ht="17.25" thickBot="1">
      <c r="A172" s="132" t="s">
        <v>295</v>
      </c>
      <c r="B172" s="304">
        <f>$B$37</f>
        <v>100000</v>
      </c>
      <c r="C172" s="305"/>
      <c r="D172" s="26" t="s">
        <v>296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296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296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296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46"/>
      <c r="R172" s="247"/>
      <c r="S172" s="248"/>
    </row>
    <row r="174" spans="1:19" ht="17.25" thickBot="1"/>
    <row r="175" spans="1:19" ht="17.25" thickBot="1">
      <c r="A175" s="262" t="s">
        <v>280</v>
      </c>
      <c r="B175" s="263"/>
      <c r="C175" s="263"/>
      <c r="D175" s="263"/>
      <c r="E175" s="263"/>
      <c r="F175" s="263"/>
      <c r="G175" s="263"/>
      <c r="H175" s="263"/>
      <c r="I175" s="263"/>
      <c r="J175" s="263"/>
      <c r="K175" s="263"/>
      <c r="L175" s="263"/>
      <c r="M175" s="263"/>
      <c r="N175" s="263"/>
      <c r="O175" s="264"/>
      <c r="Q175" s="261"/>
      <c r="R175" s="261"/>
      <c r="S175" s="261"/>
    </row>
    <row r="176" spans="1:19" ht="17.25" thickBot="1">
      <c r="A176" s="168" t="s">
        <v>292</v>
      </c>
      <c r="B176" s="262" t="s">
        <v>49</v>
      </c>
      <c r="C176" s="264"/>
      <c r="D176" s="262" t="s">
        <v>58</v>
      </c>
      <c r="E176" s="263"/>
      <c r="F176" s="264"/>
      <c r="G176" s="265">
        <f>_xlfn.IFNA(VLOOKUP(B176, 현재가테이블!$B$2:$D$200, 2, FALSE), "-")</f>
        <v>40538000</v>
      </c>
      <c r="H176" s="266"/>
      <c r="I176" s="267"/>
      <c r="J176" s="262" t="s">
        <v>59</v>
      </c>
      <c r="K176" s="263"/>
      <c r="L176" s="264"/>
      <c r="M176" s="268">
        <f>_xlfn.IFNA(VLOOKUP(B176, 현재가테이블!$B$2:$D$200, 3, FALSE), "-")</f>
        <v>-3.68275993E-2</v>
      </c>
      <c r="N176" s="269"/>
      <c r="O176" s="270"/>
      <c r="Q176" s="261"/>
      <c r="R176" s="261"/>
      <c r="S176" s="261"/>
    </row>
    <row r="177" spans="1:19" ht="17.25" thickBot="1">
      <c r="A177" s="306" t="s">
        <v>55</v>
      </c>
      <c r="B177" s="302" t="str">
        <f>TEXT($G$1, "[$-ko-KR]yyyy-mm-dd(ddd) ") &amp; "오전 00:00"</f>
        <v>2021-06-03(목) 오전 00:00</v>
      </c>
      <c r="C177" s="303"/>
      <c r="D177" s="275" t="str">
        <f>TEXT($G$1, "[$-ko-KR]yyyy-mm-dd(ddd) ") &amp; "오후 14:00"</f>
        <v>2021-06-03(목) 오후 14:00</v>
      </c>
      <c r="E177" s="276"/>
      <c r="F177" s="277"/>
      <c r="G177" s="275" t="str">
        <f>TEXT($G$1, "[$-ko-KR]yyyy-mm-dd(ddd) ") &amp; "오후 19:00"</f>
        <v>2021-06-03(목) 오후 19:00</v>
      </c>
      <c r="H177" s="276"/>
      <c r="I177" s="277"/>
      <c r="J177" s="275" t="str">
        <f>TEXT($G$1, "[$-ko-KR]yyyy-mm-dd(ddd) ") &amp; "오후 21:00"</f>
        <v>2021-06-03(목) 오후 21:00</v>
      </c>
      <c r="K177" s="276"/>
      <c r="L177" s="277"/>
      <c r="M177" s="275" t="str">
        <f>TEXT($G$1+1, "[$-ko-KR]yyyy-mm-dd(ddd) ") &amp; "오전 00:00"</f>
        <v>2021-06-04(금) 오전 00:00</v>
      </c>
      <c r="N177" s="276"/>
      <c r="O177" s="277"/>
      <c r="Q177" s="261"/>
      <c r="R177" s="261"/>
      <c r="S177" s="261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9" t="s">
        <v>58</v>
      </c>
      <c r="H178" s="170" t="s">
        <v>293</v>
      </c>
      <c r="I178" s="17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1"/>
      <c r="R178" s="251"/>
      <c r="S178" s="251"/>
    </row>
    <row r="179" spans="1:19" ht="17.25" thickBot="1">
      <c r="A179" s="161" t="s">
        <v>221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61"/>
      <c r="R179" s="261"/>
      <c r="S179" s="261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61"/>
      <c r="R180" s="261"/>
      <c r="S180" s="261"/>
    </row>
    <row r="181" spans="1:19" ht="17.25" thickBot="1">
      <c r="A181" s="162" t="s">
        <v>219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51"/>
      <c r="R181" s="251"/>
      <c r="S181" s="251"/>
    </row>
    <row r="182" spans="1:19" ht="17.25" thickBot="1">
      <c r="A182" s="162" t="s">
        <v>161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51"/>
      <c r="R182" s="251"/>
      <c r="S182" s="251"/>
    </row>
    <row r="183" spans="1:19" ht="17.25" thickBot="1">
      <c r="A183" s="163" t="s">
        <v>203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51"/>
      <c r="R183" s="251"/>
      <c r="S183" s="251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51"/>
      <c r="R184" s="251"/>
      <c r="S184" s="251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51"/>
      <c r="R185" s="251"/>
      <c r="S185" s="251"/>
    </row>
    <row r="186" spans="1:19" ht="17.25" thickBot="1">
      <c r="A186" s="162" t="s">
        <v>261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51"/>
      <c r="R186" s="251"/>
      <c r="S186" s="251"/>
    </row>
    <row r="187" spans="1:19" ht="17.25" thickBot="1">
      <c r="A187" s="162" t="s">
        <v>248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52"/>
      <c r="R188" s="253"/>
      <c r="S188" s="254"/>
    </row>
    <row r="189" spans="1:19">
      <c r="A189" s="161" t="s">
        <v>171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55"/>
      <c r="R189" s="256"/>
      <c r="S189" s="257"/>
    </row>
    <row r="190" spans="1:19" ht="17.25" thickBot="1">
      <c r="A190" s="162" t="s">
        <v>223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58"/>
      <c r="R190" s="259"/>
      <c r="S190" s="260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51"/>
      <c r="R191" s="251"/>
      <c r="S191" s="251"/>
    </row>
    <row r="192" spans="1:19" ht="17.25" thickBot="1">
      <c r="A192" s="162" t="s">
        <v>185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61"/>
      <c r="R192" s="261"/>
      <c r="S192" s="261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61"/>
      <c r="R193" s="261"/>
      <c r="S193" s="261"/>
    </row>
    <row r="194" spans="1:19" ht="17.25" thickBot="1">
      <c r="A194" s="162" t="s">
        <v>255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51"/>
      <c r="R194" s="251"/>
      <c r="S194" s="251"/>
    </row>
    <row r="195" spans="1:19" ht="17.25" thickBot="1">
      <c r="A195" s="162" t="s">
        <v>227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51"/>
      <c r="R195" s="251"/>
      <c r="S195" s="251"/>
    </row>
    <row r="196" spans="1:19" ht="17.25" thickBot="1">
      <c r="A196" s="162" t="s">
        <v>242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51"/>
      <c r="R196" s="251"/>
      <c r="S196" s="251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40"/>
      <c r="R197" s="241"/>
      <c r="S197" s="242"/>
    </row>
    <row r="198" spans="1:19" ht="17.25" thickBot="1">
      <c r="A198" s="130" t="s">
        <v>269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43"/>
      <c r="R198" s="244"/>
      <c r="S198" s="245"/>
    </row>
    <row r="199" spans="1:19" ht="17.25" thickBot="1">
      <c r="A199" s="132" t="s">
        <v>295</v>
      </c>
      <c r="B199" s="304">
        <f>$B$37</f>
        <v>100000</v>
      </c>
      <c r="C199" s="305"/>
      <c r="D199" s="26" t="s">
        <v>296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296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296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296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46"/>
      <c r="R199" s="247"/>
      <c r="S199" s="24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05" priority="157">
      <formula>AND($N17 &gt; 0, ISNUMBER($N17))</formula>
    </cfRule>
    <cfRule type="expression" dxfId="3204" priority="158">
      <formula>AND($N17 = 0 * ISNUMBER($N17))</formula>
    </cfRule>
    <cfRule type="expression" dxfId="3203" priority="159">
      <formula>AND($N17 &lt; 0, ISNUMBER($N17))</formula>
    </cfRule>
  </conditionalFormatting>
  <conditionalFormatting sqref="A17:F36">
    <cfRule type="expression" dxfId="3202" priority="166">
      <formula>AND($E17 &gt; 0, ISNUMBER($E17))</formula>
    </cfRule>
    <cfRule type="expression" dxfId="3201" priority="167">
      <formula>AND($E17 = 0 * ISNUMBER($E17))</formula>
    </cfRule>
    <cfRule type="expression" dxfId="3200" priority="168">
      <formula>AND($E17 &lt; 0, ISNUMBER($E17))</formula>
    </cfRule>
  </conditionalFormatting>
  <conditionalFormatting sqref="A17:C36 G17:I36">
    <cfRule type="expression" dxfId="3199" priority="163">
      <formula>AND($H17 &gt; 0, ISNUMBER($H17))</formula>
    </cfRule>
    <cfRule type="expression" dxfId="3198" priority="164">
      <formula>AND($H17 = 0 * ISNUMBER($H17))</formula>
    </cfRule>
    <cfRule type="expression" dxfId="3197" priority="165">
      <formula>AND($H17 &lt; 0, ISNUMBER($H17))</formula>
    </cfRule>
  </conditionalFormatting>
  <conditionalFormatting sqref="A17:C36 J17:L36">
    <cfRule type="expression" dxfId="3196" priority="160">
      <formula>AND($K17 &gt; 0, ISNUMBER($K17))</formula>
    </cfRule>
    <cfRule type="expression" dxfId="3195" priority="161">
      <formula>AND($K17 = 0 * ISNUMBER($K17))</formula>
    </cfRule>
    <cfRule type="expression" dxfId="3194" priority="162">
      <formula>AND($K17 &lt; 0, ISNUMBER($K17))</formula>
    </cfRule>
  </conditionalFormatting>
  <conditionalFormatting sqref="D15:F16 E37:F37">
    <cfRule type="expression" dxfId="3193" priority="154">
      <formula>$E$37 &gt; 0</formula>
    </cfRule>
    <cfRule type="expression" dxfId="3192" priority="155">
      <formula>$E$37 = 0</formula>
    </cfRule>
    <cfRule type="expression" dxfId="3191" priority="156">
      <formula>$E$37 &lt; 0</formula>
    </cfRule>
  </conditionalFormatting>
  <conditionalFormatting sqref="G15:I16 H37:I37">
    <cfRule type="expression" dxfId="3190" priority="151">
      <formula>$H$37 &gt; 0</formula>
    </cfRule>
    <cfRule type="expression" dxfId="3189" priority="152">
      <formula>$H$37 = 0</formula>
    </cfRule>
    <cfRule type="expression" dxfId="3188" priority="153">
      <formula>$H$37 &lt; 0</formula>
    </cfRule>
  </conditionalFormatting>
  <conditionalFormatting sqref="J15:L16 K37:L37">
    <cfRule type="expression" dxfId="3187" priority="148">
      <formula>$K$37 &gt; 0</formula>
    </cfRule>
    <cfRule type="expression" dxfId="3186" priority="149">
      <formula>$K$37 = 0</formula>
    </cfRule>
    <cfRule type="expression" dxfId="3185" priority="150">
      <formula>$K$37 &lt; 0</formula>
    </cfRule>
  </conditionalFormatting>
  <conditionalFormatting sqref="M15:O16 N37:O37">
    <cfRule type="expression" dxfId="3184" priority="145">
      <formula>$N$37 &gt; 0</formula>
    </cfRule>
    <cfRule type="expression" dxfId="3183" priority="146">
      <formula>$N$37 = 0</formula>
    </cfRule>
    <cfRule type="expression" dxfId="3182" priority="147">
      <formula>$N$37 &lt; 0</formula>
    </cfRule>
  </conditionalFormatting>
  <conditionalFormatting sqref="A44:C63 M44:O63">
    <cfRule type="expression" dxfId="3181" priority="133">
      <formula>AND($N44 &gt; 0, ISNUMBER($N44))</formula>
    </cfRule>
    <cfRule type="expression" dxfId="3180" priority="134">
      <formula>AND($N44 = 0 * ISNUMBER($N44))</formula>
    </cfRule>
    <cfRule type="expression" dxfId="3179" priority="135">
      <formula>AND($N44 &lt; 0, ISNUMBER($N44))</formula>
    </cfRule>
  </conditionalFormatting>
  <conditionalFormatting sqref="A44:F63">
    <cfRule type="expression" dxfId="3178" priority="142">
      <formula>AND($E44 &gt; 0, ISNUMBER($E44))</formula>
    </cfRule>
    <cfRule type="expression" dxfId="3177" priority="143">
      <formula>AND($E44 = 0 * ISNUMBER($E44))</formula>
    </cfRule>
    <cfRule type="expression" dxfId="3176" priority="144">
      <formula>AND($E44 &lt; 0, ISNUMBER($E44))</formula>
    </cfRule>
  </conditionalFormatting>
  <conditionalFormatting sqref="A44:C63 G44:I63">
    <cfRule type="expression" dxfId="3175" priority="139">
      <formula>AND($H44 &gt; 0, ISNUMBER($H44))</formula>
    </cfRule>
    <cfRule type="expression" dxfId="3174" priority="140">
      <formula>AND($H44 = 0 * ISNUMBER($H44))</formula>
    </cfRule>
    <cfRule type="expression" dxfId="3173" priority="141">
      <formula>AND($H44 &lt; 0, ISNUMBER($H44))</formula>
    </cfRule>
  </conditionalFormatting>
  <conditionalFormatting sqref="A44:C63 J44:L63">
    <cfRule type="expression" dxfId="3172" priority="136">
      <formula>AND($K44 &gt; 0, ISNUMBER($K44))</formula>
    </cfRule>
    <cfRule type="expression" dxfId="3171" priority="137">
      <formula>AND($K44 = 0 * ISNUMBER($K44))</formula>
    </cfRule>
    <cfRule type="expression" dxfId="3170" priority="138">
      <formula>AND($K44 &lt; 0, ISNUMBER($K44))</formula>
    </cfRule>
  </conditionalFormatting>
  <conditionalFormatting sqref="D42:F43 E64:F64">
    <cfRule type="expression" dxfId="3169" priority="130">
      <formula>$E$64 &gt; 0</formula>
    </cfRule>
    <cfRule type="expression" dxfId="3168" priority="131">
      <formula>$E$64 = 0</formula>
    </cfRule>
    <cfRule type="expression" dxfId="3167" priority="132">
      <formula>$E$64 &lt; 0</formula>
    </cfRule>
  </conditionalFormatting>
  <conditionalFormatting sqref="G42:I43 H64:I64">
    <cfRule type="expression" dxfId="3166" priority="127">
      <formula>$H$64 &gt; 0</formula>
    </cfRule>
    <cfRule type="expression" dxfId="3165" priority="128">
      <formula>$H$64 = 0</formula>
    </cfRule>
    <cfRule type="expression" dxfId="3164" priority="129">
      <formula>$H$64 &lt; 0</formula>
    </cfRule>
  </conditionalFormatting>
  <conditionalFormatting sqref="J42:L43 K64:L64">
    <cfRule type="expression" dxfId="3163" priority="124">
      <formula>$K$64 &gt; 0</formula>
    </cfRule>
    <cfRule type="expression" dxfId="3162" priority="125">
      <formula>$K$64 = 0</formula>
    </cfRule>
    <cfRule type="expression" dxfId="3161" priority="126">
      <formula>$K$64 &lt; 0</formula>
    </cfRule>
  </conditionalFormatting>
  <conditionalFormatting sqref="M42:O43 N64:O64">
    <cfRule type="expression" dxfId="3160" priority="121">
      <formula>$N$64 &gt; 0</formula>
    </cfRule>
    <cfRule type="expression" dxfId="3159" priority="122">
      <formula>$N$64 = 0</formula>
    </cfRule>
    <cfRule type="expression" dxfId="3158" priority="123">
      <formula>$N$64 &lt; 0</formula>
    </cfRule>
  </conditionalFormatting>
  <conditionalFormatting sqref="A71:C90 M71:O90">
    <cfRule type="expression" dxfId="3157" priority="109">
      <formula>AND($N71 &gt; 0, ISNUMBER($N71))</formula>
    </cfRule>
    <cfRule type="expression" dxfId="3156" priority="110">
      <formula>AND($N71 = 0 * ISNUMBER($N71))</formula>
    </cfRule>
    <cfRule type="expression" dxfId="3155" priority="111">
      <formula>AND($N71 &lt; 0, ISNUMBER($N71))</formula>
    </cfRule>
  </conditionalFormatting>
  <conditionalFormatting sqref="A71:F90">
    <cfRule type="expression" dxfId="3154" priority="118">
      <formula>AND($E71 &gt; 0, ISNUMBER($E71))</formula>
    </cfRule>
    <cfRule type="expression" dxfId="3153" priority="119">
      <formula>AND($E71 = 0 * ISNUMBER($E71))</formula>
    </cfRule>
    <cfRule type="expression" dxfId="3152" priority="120">
      <formula>AND($E71 &lt; 0, ISNUMBER($E71))</formula>
    </cfRule>
  </conditionalFormatting>
  <conditionalFormatting sqref="A71:C90 G71:I90">
    <cfRule type="expression" dxfId="3151" priority="115">
      <formula>AND($H71 &gt; 0, ISNUMBER($H71))</formula>
    </cfRule>
    <cfRule type="expression" dxfId="3150" priority="116">
      <formula>AND($H71 = 0 * ISNUMBER($H71))</formula>
    </cfRule>
    <cfRule type="expression" dxfId="3149" priority="117">
      <formula>AND($H71 &lt; 0, ISNUMBER($H71))</formula>
    </cfRule>
  </conditionalFormatting>
  <conditionalFormatting sqref="A71:C90 J71:L90">
    <cfRule type="expression" dxfId="3148" priority="112">
      <formula>AND($K71 &gt; 0, ISNUMBER($K71))</formula>
    </cfRule>
    <cfRule type="expression" dxfId="3147" priority="113">
      <formula>AND($K71 = 0 * ISNUMBER($K71))</formula>
    </cfRule>
    <cfRule type="expression" dxfId="3146" priority="114">
      <formula>AND($K71 &lt; 0, ISNUMBER($K71))</formula>
    </cfRule>
  </conditionalFormatting>
  <conditionalFormatting sqref="D69:F70 E91:F91">
    <cfRule type="expression" dxfId="3145" priority="106">
      <formula>$E$91 &gt; 0</formula>
    </cfRule>
    <cfRule type="expression" dxfId="3144" priority="107">
      <formula>$E$91 = 0</formula>
    </cfRule>
    <cfRule type="expression" dxfId="3143" priority="108">
      <formula>$E$91 &lt; 0</formula>
    </cfRule>
  </conditionalFormatting>
  <conditionalFormatting sqref="G69:I70 H91:I91">
    <cfRule type="expression" dxfId="3142" priority="103">
      <formula>$H$91 &gt; 0</formula>
    </cfRule>
    <cfRule type="expression" dxfId="3141" priority="104">
      <formula>$H$91 = 0</formula>
    </cfRule>
    <cfRule type="expression" dxfId="3140" priority="105">
      <formula>$H$91 &lt; 0</formula>
    </cfRule>
  </conditionalFormatting>
  <conditionalFormatting sqref="J69:L70 K91:L91">
    <cfRule type="expression" dxfId="3139" priority="100">
      <formula>$K$91 &gt; 0</formula>
    </cfRule>
    <cfRule type="expression" dxfId="3138" priority="101">
      <formula>$K$91 = 0</formula>
    </cfRule>
    <cfRule type="expression" dxfId="3137" priority="102">
      <formula>$K$91 &lt; 0</formula>
    </cfRule>
  </conditionalFormatting>
  <conditionalFormatting sqref="M69:O70 N91:O91">
    <cfRule type="expression" dxfId="3136" priority="97">
      <formula>$N$91 &gt; 0</formula>
    </cfRule>
    <cfRule type="expression" dxfId="3135" priority="98">
      <formula>$N$91 = 0</formula>
    </cfRule>
    <cfRule type="expression" dxfId="3134" priority="99">
      <formula>$N$91 &lt; 0</formula>
    </cfRule>
  </conditionalFormatting>
  <conditionalFormatting sqref="A98:C117 M98:O117">
    <cfRule type="expression" dxfId="3133" priority="85">
      <formula>AND($N98 &gt; 0, ISNUMBER($N98))</formula>
    </cfRule>
    <cfRule type="expression" dxfId="3132" priority="86">
      <formula>AND($N98 = 0 * ISNUMBER($N98))</formula>
    </cfRule>
    <cfRule type="expression" dxfId="3131" priority="87">
      <formula>AND($N98 &lt; 0, ISNUMBER($N98))</formula>
    </cfRule>
  </conditionalFormatting>
  <conditionalFormatting sqref="A98:F117">
    <cfRule type="expression" dxfId="3130" priority="94">
      <formula>AND($E98 &gt; 0, ISNUMBER($E98))</formula>
    </cfRule>
    <cfRule type="expression" dxfId="3129" priority="95">
      <formula>AND($E98 = 0 * ISNUMBER($E98))</formula>
    </cfRule>
    <cfRule type="expression" dxfId="3128" priority="96">
      <formula>AND($E98 &lt; 0, ISNUMBER($E98))</formula>
    </cfRule>
  </conditionalFormatting>
  <conditionalFormatting sqref="A98:C117 G98:I117">
    <cfRule type="expression" dxfId="3127" priority="91">
      <formula>AND($H98 &gt; 0, ISNUMBER($H98))</formula>
    </cfRule>
    <cfRule type="expression" dxfId="3126" priority="92">
      <formula>AND($H98 = 0 * ISNUMBER($H98))</formula>
    </cfRule>
    <cfRule type="expression" dxfId="3125" priority="93">
      <formula>AND($H98 &lt; 0, ISNUMBER($H98))</formula>
    </cfRule>
  </conditionalFormatting>
  <conditionalFormatting sqref="A98:C117 J98:L117">
    <cfRule type="expression" dxfId="3124" priority="88">
      <formula>AND($K98 &gt; 0, ISNUMBER($K98))</formula>
    </cfRule>
    <cfRule type="expression" dxfId="3123" priority="89">
      <formula>AND($K98 = 0 * ISNUMBER($K98))</formula>
    </cfRule>
    <cfRule type="expression" dxfId="3122" priority="90">
      <formula>AND($K98 &lt; 0, ISNUMBER($K98))</formula>
    </cfRule>
  </conditionalFormatting>
  <conditionalFormatting sqref="D96:F97 E118:F118">
    <cfRule type="expression" dxfId="3121" priority="82">
      <formula>$E$118 &gt; 0</formula>
    </cfRule>
    <cfRule type="expression" dxfId="3120" priority="83">
      <formula>$E$118 = 0</formula>
    </cfRule>
    <cfRule type="expression" dxfId="3119" priority="84">
      <formula>$E$118 &lt; 0</formula>
    </cfRule>
  </conditionalFormatting>
  <conditionalFormatting sqref="G96:I97 H118:I118">
    <cfRule type="expression" dxfId="3118" priority="79">
      <formula>$H$118 &gt; 0</formula>
    </cfRule>
    <cfRule type="expression" dxfId="3117" priority="80">
      <formula>$H$118 = 0</formula>
    </cfRule>
    <cfRule type="expression" dxfId="3116" priority="81">
      <formula>$H$118 &lt; 0</formula>
    </cfRule>
  </conditionalFormatting>
  <conditionalFormatting sqref="J96:L97 K118:L118">
    <cfRule type="expression" dxfId="3115" priority="76">
      <formula>$K$118 &gt; 0</formula>
    </cfRule>
    <cfRule type="expression" dxfId="3114" priority="77">
      <formula>$K$118 = 0</formula>
    </cfRule>
    <cfRule type="expression" dxfId="3113" priority="78">
      <formula>$K$118 &lt; 0</formula>
    </cfRule>
  </conditionalFormatting>
  <conditionalFormatting sqref="M96:O97 N118:O118">
    <cfRule type="expression" dxfId="3112" priority="73">
      <formula>$N$118 &gt; 0</formula>
    </cfRule>
    <cfRule type="expression" dxfId="3111" priority="74">
      <formula>$N$118 = 0</formula>
    </cfRule>
    <cfRule type="expression" dxfId="3110" priority="75">
      <formula>$N$118 &lt; 0</formula>
    </cfRule>
  </conditionalFormatting>
  <conditionalFormatting sqref="A125:C144 M125:O144">
    <cfRule type="expression" dxfId="3109" priority="61">
      <formula>AND($N125 &gt; 0, ISNUMBER($N125))</formula>
    </cfRule>
    <cfRule type="expression" dxfId="3108" priority="62">
      <formula>AND($N125 = 0 * ISNUMBER($N125))</formula>
    </cfRule>
    <cfRule type="expression" dxfId="3107" priority="63">
      <formula>AND($N125 &lt; 0, ISNUMBER($N125))</formula>
    </cfRule>
  </conditionalFormatting>
  <conditionalFormatting sqref="A125:F144">
    <cfRule type="expression" dxfId="3106" priority="70">
      <formula>AND($E125 &gt; 0, ISNUMBER($E125))</formula>
    </cfRule>
    <cfRule type="expression" dxfId="3105" priority="71">
      <formula>AND($E125 = 0 * ISNUMBER($E125))</formula>
    </cfRule>
    <cfRule type="expression" dxfId="3104" priority="72">
      <formula>AND($E125 &lt; 0, ISNUMBER($E125))</formula>
    </cfRule>
  </conditionalFormatting>
  <conditionalFormatting sqref="A125:C144 G125:I144">
    <cfRule type="expression" dxfId="3103" priority="67">
      <formula>AND($H125 &gt; 0, ISNUMBER($H125))</formula>
    </cfRule>
    <cfRule type="expression" dxfId="3102" priority="68">
      <formula>AND($H125 = 0 * ISNUMBER($H125))</formula>
    </cfRule>
    <cfRule type="expression" dxfId="3101" priority="69">
      <formula>AND($H125 &lt; 0, ISNUMBER($H125))</formula>
    </cfRule>
  </conditionalFormatting>
  <conditionalFormatting sqref="A125:C144 J125:L144">
    <cfRule type="expression" dxfId="3100" priority="64">
      <formula>AND($K125 &gt; 0, ISNUMBER($K125))</formula>
    </cfRule>
    <cfRule type="expression" dxfId="3099" priority="65">
      <formula>AND($K125 = 0 * ISNUMBER($K125))</formula>
    </cfRule>
    <cfRule type="expression" dxfId="3098" priority="66">
      <formula>AND($K125 &lt; 0, ISNUMBER($K125))</formula>
    </cfRule>
  </conditionalFormatting>
  <conditionalFormatting sqref="D123:F124 E145:F145">
    <cfRule type="expression" dxfId="3097" priority="58">
      <formula>$E$145 &gt; 0</formula>
    </cfRule>
    <cfRule type="expression" dxfId="3096" priority="59">
      <formula>$E$145 = 0</formula>
    </cfRule>
    <cfRule type="expression" dxfId="3095" priority="60">
      <formula>$E$145 &lt; 0</formula>
    </cfRule>
  </conditionalFormatting>
  <conditionalFormatting sqref="G123:I124 H145:I145">
    <cfRule type="expression" dxfId="3094" priority="55">
      <formula>$H$145 &gt; 0</formula>
    </cfRule>
    <cfRule type="expression" dxfId="3093" priority="56">
      <formula>$H$145 = 0</formula>
    </cfRule>
    <cfRule type="expression" dxfId="3092" priority="57">
      <formula>$H$145 &lt; 0</formula>
    </cfRule>
  </conditionalFormatting>
  <conditionalFormatting sqref="J123:L124 K145:L145">
    <cfRule type="expression" dxfId="3091" priority="52">
      <formula>$K$145 &gt; 0</formula>
    </cfRule>
    <cfRule type="expression" dxfId="3090" priority="53">
      <formula>$K$145 = 0</formula>
    </cfRule>
    <cfRule type="expression" dxfId="3089" priority="54">
      <formula>$K$145 &lt; 0</formula>
    </cfRule>
  </conditionalFormatting>
  <conditionalFormatting sqref="M123:O124 N145:O145">
    <cfRule type="expression" dxfId="3088" priority="49">
      <formula>$N$145 &gt; 0</formula>
    </cfRule>
    <cfRule type="expression" dxfId="3087" priority="50">
      <formula>$N$145 = 0</formula>
    </cfRule>
    <cfRule type="expression" dxfId="3086" priority="51">
      <formula>$N$145 &lt; 0</formula>
    </cfRule>
  </conditionalFormatting>
  <conditionalFormatting sqref="A152:C171 M152:O171">
    <cfRule type="expression" dxfId="3085" priority="37">
      <formula>AND($N152 &gt; 0, ISNUMBER($N152))</formula>
    </cfRule>
    <cfRule type="expression" dxfId="3084" priority="38">
      <formula>AND($N152 = 0 * ISNUMBER($N152))</formula>
    </cfRule>
    <cfRule type="expression" dxfId="3083" priority="39">
      <formula>AND($N152 &lt; 0, ISNUMBER($N152))</formula>
    </cfRule>
  </conditionalFormatting>
  <conditionalFormatting sqref="A152:F171">
    <cfRule type="expression" dxfId="3082" priority="46">
      <formula>AND($E152 &gt; 0, ISNUMBER($E152))</formula>
    </cfRule>
    <cfRule type="expression" dxfId="3081" priority="47">
      <formula>AND($E152 = 0 * ISNUMBER($E152))</formula>
    </cfRule>
    <cfRule type="expression" dxfId="3080" priority="48">
      <formula>AND($E152 &lt; 0, ISNUMBER($E152))</formula>
    </cfRule>
  </conditionalFormatting>
  <conditionalFormatting sqref="A152:C171 G152:I171">
    <cfRule type="expression" dxfId="3079" priority="43">
      <formula>AND($H152 &gt; 0, ISNUMBER($H152))</formula>
    </cfRule>
    <cfRule type="expression" dxfId="3078" priority="44">
      <formula>AND($H152 = 0 * ISNUMBER($H152))</formula>
    </cfRule>
    <cfRule type="expression" dxfId="3077" priority="45">
      <formula>AND($H152 &lt; 0, ISNUMBER($H152))</formula>
    </cfRule>
  </conditionalFormatting>
  <conditionalFormatting sqref="A152:C171 J152:L171">
    <cfRule type="expression" dxfId="3076" priority="40">
      <formula>AND($K152 &gt; 0, ISNUMBER($K152))</formula>
    </cfRule>
    <cfRule type="expression" dxfId="3075" priority="41">
      <formula>AND($K152 = 0 * ISNUMBER($K152))</formula>
    </cfRule>
    <cfRule type="expression" dxfId="3074" priority="42">
      <formula>AND($K152 &lt; 0, ISNUMBER($K152))</formula>
    </cfRule>
  </conditionalFormatting>
  <conditionalFormatting sqref="D150:F151 E172:F172">
    <cfRule type="expression" dxfId="3073" priority="34">
      <formula>$E$172 &gt; 0</formula>
    </cfRule>
    <cfRule type="expression" dxfId="3072" priority="35">
      <formula>$E$172 = 0</formula>
    </cfRule>
    <cfRule type="expression" dxfId="3071" priority="36">
      <formula>$E$172 &lt; 0</formula>
    </cfRule>
  </conditionalFormatting>
  <conditionalFormatting sqref="G150:I151 H172:I172">
    <cfRule type="expression" dxfId="3070" priority="31">
      <formula>$H$172 &gt; 0</formula>
    </cfRule>
    <cfRule type="expression" dxfId="3069" priority="32">
      <formula>$H$172 = 0</formula>
    </cfRule>
    <cfRule type="expression" dxfId="3068" priority="33">
      <formula>$H$172 &lt; 0</formula>
    </cfRule>
  </conditionalFormatting>
  <conditionalFormatting sqref="J150:L151 K172:L172">
    <cfRule type="expression" dxfId="3067" priority="28">
      <formula>$K$172 &gt; 0</formula>
    </cfRule>
    <cfRule type="expression" dxfId="3066" priority="29">
      <formula>$K$172 = 0</formula>
    </cfRule>
    <cfRule type="expression" dxfId="3065" priority="30">
      <formula>$K$172 &lt; 0</formula>
    </cfRule>
  </conditionalFormatting>
  <conditionalFormatting sqref="M150:O151 N172:O172">
    <cfRule type="expression" dxfId="3064" priority="25">
      <formula>$N$172 &gt; 0</formula>
    </cfRule>
    <cfRule type="expression" dxfId="3063" priority="26">
      <formula>$N$172 = 0</formula>
    </cfRule>
    <cfRule type="expression" dxfId="3062" priority="27">
      <formula>$N$172 &lt; 0</formula>
    </cfRule>
  </conditionalFormatting>
  <conditionalFormatting sqref="A179:C198 M179:O198">
    <cfRule type="expression" dxfId="3061" priority="13">
      <formula>AND($N179 &gt; 0, ISNUMBER($N179))</formula>
    </cfRule>
    <cfRule type="expression" dxfId="3060" priority="14">
      <formula>AND($N179 = 0 * ISNUMBER($N179))</formula>
    </cfRule>
    <cfRule type="expression" dxfId="3059" priority="15">
      <formula>AND($N179 &lt; 0, ISNUMBER($N179))</formula>
    </cfRule>
  </conditionalFormatting>
  <conditionalFormatting sqref="A179:F198">
    <cfRule type="expression" dxfId="3058" priority="22">
      <formula>AND($E179 &gt; 0, ISNUMBER($E179))</formula>
    </cfRule>
    <cfRule type="expression" dxfId="3057" priority="23">
      <formula>AND($E179 = 0 * ISNUMBER($E179))</formula>
    </cfRule>
    <cfRule type="expression" dxfId="3056" priority="24">
      <formula>AND($E179 &lt; 0, ISNUMBER($E179))</formula>
    </cfRule>
  </conditionalFormatting>
  <conditionalFormatting sqref="A179:C198 G179:I198">
    <cfRule type="expression" dxfId="3055" priority="19">
      <formula>AND($H179 &gt; 0, ISNUMBER($H179))</formula>
    </cfRule>
    <cfRule type="expression" dxfId="3054" priority="20">
      <formula>AND($H179 = 0 * ISNUMBER($H179))</formula>
    </cfRule>
    <cfRule type="expression" dxfId="3053" priority="21">
      <formula>AND($H179 &lt; 0, ISNUMBER($H179))</formula>
    </cfRule>
  </conditionalFormatting>
  <conditionalFormatting sqref="A179:C198 J179:L198">
    <cfRule type="expression" dxfId="3052" priority="16">
      <formula>AND($K179 &gt; 0, ISNUMBER($K179))</formula>
    </cfRule>
    <cfRule type="expression" dxfId="3051" priority="17">
      <formula>AND($K179 = 0 * ISNUMBER($K179))</formula>
    </cfRule>
    <cfRule type="expression" dxfId="3050" priority="18">
      <formula>AND($K179 &lt; 0, ISNUMBER($K179))</formula>
    </cfRule>
  </conditionalFormatting>
  <conditionalFormatting sqref="D177:F178 E199:F199">
    <cfRule type="expression" dxfId="3049" priority="10">
      <formula>$E$199 &gt; 0</formula>
    </cfRule>
    <cfRule type="expression" dxfId="3048" priority="11">
      <formula>$E$199 = 0</formula>
    </cfRule>
    <cfRule type="expression" dxfId="3047" priority="12">
      <formula>$E$199 &lt; 0</formula>
    </cfRule>
  </conditionalFormatting>
  <conditionalFormatting sqref="G177:I178 H199:I199">
    <cfRule type="expression" dxfId="3046" priority="7">
      <formula>$H$199 &gt; 0</formula>
    </cfRule>
    <cfRule type="expression" dxfId="3045" priority="8">
      <formula>$H$199 = 0</formula>
    </cfRule>
    <cfRule type="expression" dxfId="3044" priority="9">
      <formula>$H$199 &lt; 0</formula>
    </cfRule>
  </conditionalFormatting>
  <conditionalFormatting sqref="J177:L178 K199:L199">
    <cfRule type="expression" dxfId="3043" priority="4">
      <formula>$K$199 &gt; 0</formula>
    </cfRule>
    <cfRule type="expression" dxfId="3042" priority="5">
      <formula>$K$199 = 0</formula>
    </cfRule>
    <cfRule type="expression" dxfId="3041" priority="6">
      <formula>$K$199 &lt; 0</formula>
    </cfRule>
  </conditionalFormatting>
  <conditionalFormatting sqref="M177:O178 N199:O199">
    <cfRule type="expression" dxfId="3040" priority="1">
      <formula>$N$199 &gt; 0</formula>
    </cfRule>
    <cfRule type="expression" dxfId="3039" priority="2">
      <formula>$N$199 = 0</formula>
    </cfRule>
    <cfRule type="expression" dxfId="30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2" t="s">
        <v>0</v>
      </c>
      <c r="B1" s="263"/>
      <c r="C1" s="263"/>
      <c r="D1" s="263"/>
      <c r="E1" s="263"/>
      <c r="F1" s="264"/>
      <c r="G1" s="293">
        <v>44351</v>
      </c>
      <c r="H1" s="294"/>
      <c r="I1" s="295"/>
      <c r="J1" s="262" t="s">
        <v>1</v>
      </c>
      <c r="K1" s="263"/>
      <c r="L1" s="263"/>
      <c r="M1" s="263"/>
      <c r="N1" s="263"/>
      <c r="O1" s="264"/>
      <c r="Q1" s="262" t="s">
        <v>2</v>
      </c>
      <c r="R1" s="264"/>
    </row>
    <row r="2" spans="1:19" ht="17.25" customHeight="1">
      <c r="A2" s="117" t="s">
        <v>3</v>
      </c>
      <c r="B2" s="296" t="s">
        <v>8</v>
      </c>
      <c r="C2" s="297"/>
      <c r="D2" s="297"/>
      <c r="E2" s="297"/>
      <c r="F2" s="298"/>
      <c r="G2" s="290" t="s">
        <v>46</v>
      </c>
      <c r="H2" s="291"/>
      <c r="I2" s="292"/>
      <c r="J2" s="1" t="s">
        <v>3</v>
      </c>
      <c r="K2" s="296" t="s">
        <v>345</v>
      </c>
      <c r="L2" s="297"/>
      <c r="M2" s="297"/>
      <c r="N2" s="297"/>
      <c r="O2" s="298"/>
      <c r="Q2" s="2" t="s">
        <v>6</v>
      </c>
      <c r="R2" s="3">
        <v>0.375</v>
      </c>
    </row>
    <row r="3" spans="1:19" ht="17.25" customHeight="1" thickBot="1">
      <c r="A3" s="118" t="s">
        <v>7</v>
      </c>
      <c r="B3" s="287" t="s">
        <v>353</v>
      </c>
      <c r="C3" s="288"/>
      <c r="D3" s="288"/>
      <c r="E3" s="288"/>
      <c r="F3" s="289"/>
      <c r="G3" s="28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84"/>
      <c r="I3" s="285"/>
      <c r="J3" s="4" t="s">
        <v>7</v>
      </c>
      <c r="K3" s="287" t="s">
        <v>346</v>
      </c>
      <c r="L3" s="288"/>
      <c r="M3" s="288"/>
      <c r="N3" s="288"/>
      <c r="O3" s="28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7" t="s">
        <v>16</v>
      </c>
      <c r="C4" s="288"/>
      <c r="D4" s="288"/>
      <c r="E4" s="288"/>
      <c r="F4" s="289"/>
      <c r="G4" s="290" t="s">
        <v>44</v>
      </c>
      <c r="H4" s="291"/>
      <c r="I4" s="292"/>
      <c r="J4" s="4" t="s">
        <v>11</v>
      </c>
      <c r="K4" s="287" t="s">
        <v>347</v>
      </c>
      <c r="L4" s="288"/>
      <c r="M4" s="288"/>
      <c r="N4" s="288"/>
      <c r="O4" s="28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7" t="s">
        <v>344</v>
      </c>
      <c r="C5" s="288"/>
      <c r="D5" s="288"/>
      <c r="E5" s="288"/>
      <c r="F5" s="289"/>
      <c r="G5" s="28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84"/>
      <c r="I5" s="285"/>
      <c r="J5" s="4" t="s">
        <v>15</v>
      </c>
      <c r="K5" s="287" t="s">
        <v>348</v>
      </c>
      <c r="L5" s="288"/>
      <c r="M5" s="288"/>
      <c r="N5" s="288"/>
      <c r="O5" s="289"/>
    </row>
    <row r="6" spans="1:19">
      <c r="A6" s="118" t="s">
        <v>18</v>
      </c>
      <c r="B6" s="287"/>
      <c r="C6" s="288"/>
      <c r="D6" s="288"/>
      <c r="E6" s="288"/>
      <c r="F6" s="289"/>
      <c r="G6" s="290" t="s">
        <v>45</v>
      </c>
      <c r="H6" s="291"/>
      <c r="I6" s="292"/>
      <c r="J6" s="4" t="s">
        <v>18</v>
      </c>
      <c r="K6" s="287" t="s">
        <v>349</v>
      </c>
      <c r="L6" s="288"/>
      <c r="M6" s="288"/>
      <c r="N6" s="288"/>
      <c r="O6" s="289"/>
    </row>
    <row r="7" spans="1:19" ht="17.25" thickBot="1">
      <c r="A7" s="118" t="s">
        <v>21</v>
      </c>
      <c r="B7" s="287"/>
      <c r="C7" s="288"/>
      <c r="D7" s="288"/>
      <c r="E7" s="288"/>
      <c r="F7" s="289"/>
      <c r="G7" s="28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84"/>
      <c r="I7" s="285"/>
      <c r="J7" s="4" t="s">
        <v>21</v>
      </c>
      <c r="K7" s="287" t="s">
        <v>350</v>
      </c>
      <c r="L7" s="288"/>
      <c r="M7" s="288"/>
      <c r="N7" s="288"/>
      <c r="O7" s="289"/>
    </row>
    <row r="8" spans="1:19" ht="17.25" thickBot="1">
      <c r="A8" s="118" t="s">
        <v>24</v>
      </c>
      <c r="B8" s="287"/>
      <c r="C8" s="288"/>
      <c r="D8" s="288"/>
      <c r="E8" s="288"/>
      <c r="F8" s="289"/>
      <c r="G8" s="290" t="s">
        <v>280</v>
      </c>
      <c r="H8" s="291"/>
      <c r="I8" s="292"/>
      <c r="J8" s="4" t="s">
        <v>24</v>
      </c>
      <c r="K8" s="287"/>
      <c r="L8" s="288"/>
      <c r="M8" s="288"/>
      <c r="N8" s="288"/>
      <c r="O8" s="289"/>
      <c r="Q8" s="262" t="s">
        <v>27</v>
      </c>
      <c r="R8" s="264"/>
    </row>
    <row r="9" spans="1:19" ht="17.25" thickBot="1">
      <c r="A9" s="118" t="s">
        <v>28</v>
      </c>
      <c r="B9" s="287"/>
      <c r="C9" s="288"/>
      <c r="D9" s="288"/>
      <c r="E9" s="288"/>
      <c r="F9" s="289"/>
      <c r="G9" s="28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84"/>
      <c r="I9" s="285"/>
      <c r="J9" s="4" t="s">
        <v>28</v>
      </c>
      <c r="K9" s="287"/>
      <c r="L9" s="288"/>
      <c r="M9" s="288"/>
      <c r="N9" s="288"/>
      <c r="O9" s="289"/>
      <c r="Q9" s="2" t="s">
        <v>29</v>
      </c>
      <c r="R9" s="6">
        <v>10</v>
      </c>
    </row>
    <row r="10" spans="1:19">
      <c r="A10" s="118" t="s">
        <v>30</v>
      </c>
      <c r="B10" s="287"/>
      <c r="C10" s="288"/>
      <c r="D10" s="288"/>
      <c r="E10" s="288"/>
      <c r="F10" s="289"/>
      <c r="G10" s="290" t="s">
        <v>47</v>
      </c>
      <c r="H10" s="291"/>
      <c r="I10" s="292"/>
      <c r="J10" s="4" t="s">
        <v>30</v>
      </c>
      <c r="K10" s="287" t="s">
        <v>351</v>
      </c>
      <c r="L10" s="288"/>
      <c r="M10" s="288"/>
      <c r="N10" s="288"/>
      <c r="O10" s="289"/>
      <c r="Q10" s="2" t="s">
        <v>31</v>
      </c>
      <c r="R10" s="6">
        <v>100</v>
      </c>
    </row>
    <row r="11" spans="1:19" ht="17.25" thickBot="1">
      <c r="A11" s="119" t="s">
        <v>32</v>
      </c>
      <c r="B11" s="280" t="s">
        <v>352</v>
      </c>
      <c r="C11" s="281"/>
      <c r="D11" s="281"/>
      <c r="E11" s="281"/>
      <c r="F11" s="282"/>
      <c r="G11" s="28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84"/>
      <c r="I11" s="285"/>
      <c r="J11" s="7" t="s">
        <v>32</v>
      </c>
      <c r="K11" s="280" t="s">
        <v>343</v>
      </c>
      <c r="L11" s="281"/>
      <c r="M11" s="281"/>
      <c r="N11" s="281"/>
      <c r="O11" s="282"/>
      <c r="Q11" s="65" t="s">
        <v>33</v>
      </c>
      <c r="R11" s="8">
        <v>1000</v>
      </c>
    </row>
    <row r="12" spans="1:19" ht="17.25" thickBot="1"/>
    <row r="13" spans="1:19" ht="17.25" customHeight="1" thickBot="1">
      <c r="A13" s="262" t="s">
        <v>34</v>
      </c>
      <c r="B13" s="263"/>
      <c r="C13" s="263"/>
      <c r="D13" s="263"/>
      <c r="E13" s="263"/>
      <c r="F13" s="263"/>
      <c r="G13" s="263"/>
      <c r="H13" s="263"/>
      <c r="I13" s="263"/>
      <c r="J13" s="263"/>
      <c r="K13" s="263"/>
      <c r="L13" s="263"/>
      <c r="M13" s="263"/>
      <c r="N13" s="263"/>
      <c r="O13" s="264"/>
      <c r="Q13" s="261"/>
      <c r="R13" s="261"/>
      <c r="S13" s="261"/>
    </row>
    <row r="14" spans="1:19" ht="17.25" customHeight="1" thickBot="1">
      <c r="A14" s="172" t="s">
        <v>35</v>
      </c>
      <c r="B14" s="262" t="s">
        <v>36</v>
      </c>
      <c r="C14" s="264"/>
      <c r="D14" s="262" t="s">
        <v>37</v>
      </c>
      <c r="E14" s="263"/>
      <c r="F14" s="264"/>
      <c r="G14" s="265">
        <f>_xlfn.IFNA(VLOOKUP(B14, 현재가테이블!$B$2:$D$200, 2, FALSE), "-")</f>
        <v>40538000</v>
      </c>
      <c r="H14" s="266"/>
      <c r="I14" s="267"/>
      <c r="J14" s="262" t="s">
        <v>38</v>
      </c>
      <c r="K14" s="263"/>
      <c r="L14" s="264"/>
      <c r="M14" s="268">
        <f>_xlfn.IFNA(VLOOKUP(B14, 현재가테이블!$B$2:$D$200, 3, FALSE), "-")</f>
        <v>-3.68275993E-2</v>
      </c>
      <c r="N14" s="269"/>
      <c r="O14" s="270"/>
      <c r="Q14" s="261"/>
      <c r="R14" s="261"/>
      <c r="S14" s="261"/>
    </row>
    <row r="15" spans="1:19" ht="17.25" customHeight="1" thickBot="1">
      <c r="A15" s="299" t="s">
        <v>39</v>
      </c>
      <c r="B15" s="300" t="str">
        <f>TEXT($G$1, "[$-ko-KR]yyyy-mm-dd(ddd) ") &amp; "오전 00:00"</f>
        <v>2021-06-04(금) 오전 00:00</v>
      </c>
      <c r="C15" s="301"/>
      <c r="D15" s="275" t="str">
        <f>TEXT($G$1, "[$-ko-KR]yyyy-mm-dd(ddd) ") &amp; "오후 14:00"</f>
        <v>2021-06-04(금) 오후 14:00</v>
      </c>
      <c r="E15" s="276"/>
      <c r="F15" s="277"/>
      <c r="G15" s="275" t="str">
        <f>TEXT($G$1, "[$-ko-KR]yyyy-mm-dd(ddd) ") &amp; "오후 19:00"</f>
        <v>2021-06-04(금) 오후 19:00</v>
      </c>
      <c r="H15" s="276"/>
      <c r="I15" s="277"/>
      <c r="J15" s="275" t="str">
        <f>TEXT($G$1, "[$-ko-KR]yyyy-mm-dd(ddd) ") &amp; "오후 21:00"</f>
        <v>2021-06-04(금) 오후 21:00</v>
      </c>
      <c r="K15" s="276"/>
      <c r="L15" s="277"/>
      <c r="M15" s="275" t="str">
        <f>TEXT($G$1+1, "[$-ko-KR]yyyy-mm-dd(ddd) ") &amp; "오전 00:00"</f>
        <v>2021-06-05(토) 오전 00:00</v>
      </c>
      <c r="N15" s="276"/>
      <c r="O15" s="277"/>
      <c r="Q15" s="261"/>
      <c r="R15" s="261"/>
      <c r="S15" s="261"/>
    </row>
    <row r="16" spans="1:19" ht="17.25" customHeight="1" thickBot="1">
      <c r="A16" s="29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61"/>
      <c r="R17" s="261"/>
      <c r="S17" s="261"/>
    </row>
    <row r="18" spans="1:19" ht="17.25" customHeight="1" thickBot="1">
      <c r="A18" s="162" t="s">
        <v>359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61"/>
      <c r="R18" s="261"/>
      <c r="S18" s="261"/>
    </row>
    <row r="19" spans="1:19" ht="17.25" customHeight="1" thickBot="1">
      <c r="A19" s="162" t="s">
        <v>358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51"/>
      <c r="R19" s="251"/>
      <c r="S19" s="251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51"/>
      <c r="R20" s="251"/>
      <c r="S20" s="251"/>
    </row>
    <row r="21" spans="1:19" ht="17.25" customHeight="1" thickBot="1">
      <c r="A21" s="163" t="s">
        <v>356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51"/>
      <c r="R21" s="251"/>
      <c r="S21" s="25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304">
        <v>100000</v>
      </c>
      <c r="C37" s="305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262" t="s">
        <v>44</v>
      </c>
      <c r="B40" s="263"/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4"/>
      <c r="Q40" s="261"/>
      <c r="R40" s="261"/>
      <c r="S40" s="261"/>
    </row>
    <row r="41" spans="1:19" ht="17.25" customHeight="1" thickBot="1">
      <c r="A41" s="172" t="s">
        <v>292</v>
      </c>
      <c r="B41" s="262" t="s">
        <v>49</v>
      </c>
      <c r="C41" s="264"/>
      <c r="D41" s="262" t="s">
        <v>58</v>
      </c>
      <c r="E41" s="263"/>
      <c r="F41" s="264"/>
      <c r="G41" s="265">
        <f>_xlfn.IFNA(VLOOKUP(B41, 현재가테이블!$B$2:$D$200, 2, FALSE), "-")</f>
        <v>40538000</v>
      </c>
      <c r="H41" s="266"/>
      <c r="I41" s="267"/>
      <c r="J41" s="262" t="s">
        <v>59</v>
      </c>
      <c r="K41" s="263"/>
      <c r="L41" s="264"/>
      <c r="M41" s="268">
        <f>_xlfn.IFNA(VLOOKUP(B41, 현재가테이블!$B$2:$D$200, 3, FALSE), "-")</f>
        <v>-3.68275993E-2</v>
      </c>
      <c r="N41" s="269"/>
      <c r="O41" s="270"/>
      <c r="Q41" s="261"/>
      <c r="R41" s="261"/>
      <c r="S41" s="261"/>
    </row>
    <row r="42" spans="1:19" ht="17.25" customHeight="1" thickBot="1">
      <c r="A42" s="306" t="s">
        <v>55</v>
      </c>
      <c r="B42" s="302" t="str">
        <f>TEXT($G$1, "[$-ko-KR]yyyy-mm-dd(ddd) ") &amp; "오전 00:00"</f>
        <v>2021-06-04(금) 오전 00:00</v>
      </c>
      <c r="C42" s="303"/>
      <c r="D42" s="275" t="str">
        <f>TEXT($G$1, "[$-ko-KR]yyyy-mm-dd(ddd) ") &amp; "오후 14:00"</f>
        <v>2021-06-04(금) 오후 14:00</v>
      </c>
      <c r="E42" s="276"/>
      <c r="F42" s="277"/>
      <c r="G42" s="275" t="str">
        <f>TEXT($G$1, "[$-ko-KR]yyyy-mm-dd(ddd) ") &amp; "오후 19:00"</f>
        <v>2021-06-04(금) 오후 19:00</v>
      </c>
      <c r="H42" s="276"/>
      <c r="I42" s="277"/>
      <c r="J42" s="275" t="str">
        <f>TEXT($G$1, "[$-ko-KR]yyyy-mm-dd(ddd) ") &amp; "오후 21:00"</f>
        <v>2021-06-04(금) 오후 21:00</v>
      </c>
      <c r="K42" s="276"/>
      <c r="L42" s="277"/>
      <c r="M42" s="275" t="str">
        <f>TEXT($G$1+1, "[$-ko-KR]yyyy-mm-dd(ddd) ") &amp; "오전 00:00"</f>
        <v>2021-06-05(토) 오전 00:00</v>
      </c>
      <c r="N42" s="276"/>
      <c r="O42" s="277"/>
      <c r="Q42" s="261"/>
      <c r="R42" s="261"/>
      <c r="S42" s="261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3" t="s">
        <v>58</v>
      </c>
      <c r="H43" s="174" t="s">
        <v>293</v>
      </c>
      <c r="I43" s="17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1"/>
      <c r="R43" s="251"/>
      <c r="S43" s="251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61"/>
      <c r="R44" s="261"/>
      <c r="S44" s="261"/>
    </row>
    <row r="45" spans="1:19" ht="17.25" customHeight="1" thickBot="1">
      <c r="A45" s="162" t="s">
        <v>215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61"/>
      <c r="R45" s="261"/>
      <c r="S45" s="261"/>
    </row>
    <row r="46" spans="1:19" ht="17.25" customHeight="1" thickBot="1">
      <c r="A46" s="162" t="s">
        <v>261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51"/>
      <c r="R46" s="251"/>
      <c r="S46" s="251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51"/>
      <c r="R47" s="251"/>
      <c r="S47" s="251"/>
    </row>
    <row r="48" spans="1:19" ht="17.25" customHeight="1" thickBot="1">
      <c r="A48" s="163" t="s">
        <v>249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51"/>
      <c r="R48" s="251"/>
      <c r="S48" s="251"/>
    </row>
    <row r="49" spans="1:19" ht="17.25" customHeight="1" thickBot="1">
      <c r="A49" s="162" t="s">
        <v>273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51"/>
      <c r="R49" s="251"/>
      <c r="S49" s="251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51"/>
      <c r="R50" s="251"/>
      <c r="S50" s="251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51"/>
      <c r="R51" s="251"/>
      <c r="S51" s="251"/>
    </row>
    <row r="52" spans="1:19" ht="17.25" customHeight="1" thickBot="1">
      <c r="A52" s="162" t="s">
        <v>217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233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52"/>
      <c r="R53" s="253"/>
      <c r="S53" s="254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55"/>
      <c r="R54" s="256"/>
      <c r="S54" s="257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58"/>
      <c r="R55" s="259"/>
      <c r="S55" s="260"/>
    </row>
    <row r="56" spans="1:19" ht="17.25" customHeight="1" thickBot="1">
      <c r="A56" s="162" t="s">
        <v>263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51"/>
      <c r="R56" s="251"/>
      <c r="S56" s="251"/>
    </row>
    <row r="57" spans="1:19" ht="17.25" customHeight="1" thickBot="1">
      <c r="A57" s="162" t="s">
        <v>259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61"/>
      <c r="R57" s="261"/>
      <c r="S57" s="261"/>
    </row>
    <row r="58" spans="1:19" ht="17.25" customHeight="1" thickBot="1">
      <c r="A58" s="163" t="s">
        <v>195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61"/>
      <c r="R58" s="261"/>
      <c r="S58" s="261"/>
    </row>
    <row r="59" spans="1:19" ht="17.25" customHeight="1" thickBot="1">
      <c r="A59" s="162" t="s">
        <v>185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51"/>
      <c r="R59" s="251"/>
      <c r="S59" s="251"/>
    </row>
    <row r="60" spans="1:19" ht="17.25" customHeight="1" thickBot="1">
      <c r="A60" s="162" t="s">
        <v>212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51"/>
      <c r="R60" s="251"/>
      <c r="S60" s="251"/>
    </row>
    <row r="61" spans="1:19" ht="17.25" customHeight="1" thickBot="1">
      <c r="A61" s="162" t="s">
        <v>210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51"/>
      <c r="R61" s="251"/>
      <c r="S61" s="251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40"/>
      <c r="R62" s="241"/>
      <c r="S62" s="242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43"/>
      <c r="R63" s="244"/>
      <c r="S63" s="245"/>
    </row>
    <row r="64" spans="1:19" ht="17.25" customHeight="1" thickBot="1">
      <c r="A64" s="132" t="s">
        <v>295</v>
      </c>
      <c r="B64" s="304">
        <f>$B$37</f>
        <v>100000</v>
      </c>
      <c r="C64" s="305"/>
      <c r="D64" s="26" t="s">
        <v>296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296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296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296</v>
      </c>
      <c r="N64" s="27">
        <f>IF(COUNT(N44:N63), SUM(N44:N63) / COUNT(N44:N63), 0)</f>
        <v>-3.1797201201717681E-2</v>
      </c>
      <c r="O64" s="28">
        <f>SUM(O44:O63)</f>
        <v>-63594.402403435364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262" t="s">
        <v>45</v>
      </c>
      <c r="B67" s="263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4"/>
      <c r="Q67" s="261"/>
      <c r="R67" s="261"/>
      <c r="S67" s="261"/>
    </row>
    <row r="68" spans="1:19" ht="17.25" thickBot="1">
      <c r="A68" s="172" t="s">
        <v>292</v>
      </c>
      <c r="B68" s="262" t="s">
        <v>49</v>
      </c>
      <c r="C68" s="264"/>
      <c r="D68" s="262" t="s">
        <v>58</v>
      </c>
      <c r="E68" s="263"/>
      <c r="F68" s="264"/>
      <c r="G68" s="265">
        <f>_xlfn.IFNA(VLOOKUP(B68, 현재가테이블!$B$2:$D$200, 2, FALSE), "-")</f>
        <v>40538000</v>
      </c>
      <c r="H68" s="266"/>
      <c r="I68" s="267"/>
      <c r="J68" s="262" t="s">
        <v>59</v>
      </c>
      <c r="K68" s="263"/>
      <c r="L68" s="264"/>
      <c r="M68" s="268">
        <f>_xlfn.IFNA(VLOOKUP(B68, 현재가테이블!$B$2:$D$200, 3, FALSE), "-")</f>
        <v>-3.68275993E-2</v>
      </c>
      <c r="N68" s="269"/>
      <c r="O68" s="270"/>
      <c r="Q68" s="261"/>
      <c r="R68" s="261"/>
      <c r="S68" s="261"/>
    </row>
    <row r="69" spans="1:19" ht="17.25" thickBot="1">
      <c r="A69" s="306" t="s">
        <v>55</v>
      </c>
      <c r="B69" s="302" t="str">
        <f>TEXT($G$1, "[$-ko-KR]yyyy-mm-dd(ddd) ") &amp; "오전 00:00"</f>
        <v>2021-06-04(금) 오전 00:00</v>
      </c>
      <c r="C69" s="303"/>
      <c r="D69" s="275" t="str">
        <f>TEXT($G$1, "[$-ko-KR]yyyy-mm-dd(ddd) ") &amp; "오후 14:00"</f>
        <v>2021-06-04(금) 오후 14:00</v>
      </c>
      <c r="E69" s="276"/>
      <c r="F69" s="277"/>
      <c r="G69" s="275" t="str">
        <f>TEXT($G$1, "[$-ko-KR]yyyy-mm-dd(ddd) ") &amp; "오후 19:00"</f>
        <v>2021-06-04(금) 오후 19:00</v>
      </c>
      <c r="H69" s="276"/>
      <c r="I69" s="277"/>
      <c r="J69" s="275" t="str">
        <f>TEXT($G$1, "[$-ko-KR]yyyy-mm-dd(ddd) ") &amp; "오후 21:00"</f>
        <v>2021-06-04(금) 오후 21:00</v>
      </c>
      <c r="K69" s="276"/>
      <c r="L69" s="277"/>
      <c r="M69" s="275" t="str">
        <f>TEXT($G$1+1, "[$-ko-KR]yyyy-mm-dd(ddd) ") &amp; "오전 00:00"</f>
        <v>2021-06-05(토) 오전 00:00</v>
      </c>
      <c r="N69" s="276"/>
      <c r="O69" s="277"/>
      <c r="Q69" s="261"/>
      <c r="R69" s="261"/>
      <c r="S69" s="261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3" t="s">
        <v>58</v>
      </c>
      <c r="H70" s="174" t="s">
        <v>293</v>
      </c>
      <c r="I70" s="17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1"/>
      <c r="R70" s="251"/>
      <c r="S70" s="251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61"/>
      <c r="R71" s="261"/>
      <c r="S71" s="261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61"/>
      <c r="R72" s="261"/>
      <c r="S72" s="261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51"/>
      <c r="R73" s="251"/>
      <c r="S73" s="251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51"/>
      <c r="R74" s="251"/>
      <c r="S74" s="251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51"/>
      <c r="R75" s="251"/>
      <c r="S75" s="251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51"/>
      <c r="R76" s="251"/>
      <c r="S76" s="251"/>
    </row>
    <row r="77" spans="1:19" ht="17.25" thickBot="1">
      <c r="A77" s="162" t="s">
        <v>236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51"/>
      <c r="R77" s="251"/>
      <c r="S77" s="251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51"/>
      <c r="R78" s="251"/>
      <c r="S78" s="251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201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52"/>
      <c r="R80" s="253"/>
      <c r="S80" s="254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55"/>
      <c r="R81" s="256"/>
      <c r="S81" s="257"/>
    </row>
    <row r="82" spans="1:19" ht="17.25" thickBot="1">
      <c r="A82" s="162" t="s">
        <v>199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58"/>
      <c r="R82" s="259"/>
      <c r="S82" s="260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51"/>
      <c r="R83" s="251"/>
      <c r="S83" s="251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61"/>
      <c r="R84" s="261"/>
      <c r="S84" s="261"/>
    </row>
    <row r="85" spans="1:19" ht="17.25" thickBot="1">
      <c r="A85" s="163" t="s">
        <v>227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61"/>
      <c r="R85" s="261"/>
      <c r="S85" s="261"/>
    </row>
    <row r="86" spans="1:19" ht="17.25" thickBot="1">
      <c r="A86" s="162" t="s">
        <v>257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51"/>
      <c r="R86" s="251"/>
      <c r="S86" s="251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51"/>
      <c r="R87" s="251"/>
      <c r="S87" s="251"/>
    </row>
    <row r="88" spans="1:19" ht="17.25" thickBot="1">
      <c r="A88" s="162" t="s">
        <v>265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51"/>
      <c r="R88" s="251"/>
      <c r="S88" s="251"/>
    </row>
    <row r="89" spans="1:19">
      <c r="A89" s="162" t="s">
        <v>277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40"/>
      <c r="R89" s="241"/>
      <c r="S89" s="242"/>
    </row>
    <row r="90" spans="1:19" ht="17.25" thickBot="1">
      <c r="A90" s="130" t="s">
        <v>231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43"/>
      <c r="R90" s="244"/>
      <c r="S90" s="245"/>
    </row>
    <row r="91" spans="1:19" ht="17.25" thickBot="1">
      <c r="A91" s="132" t="s">
        <v>295</v>
      </c>
      <c r="B91" s="304">
        <f>$B$37</f>
        <v>100000</v>
      </c>
      <c r="C91" s="305"/>
      <c r="D91" s="26" t="s">
        <v>296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296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296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296</v>
      </c>
      <c r="N91" s="27">
        <f>IF(COUNT(N71:N90), SUM(N71:N90) / COUNT(N71:N90), 0)</f>
        <v>-3.9606271557127044E-2</v>
      </c>
      <c r="O91" s="28">
        <f>SUM(O71:O90)</f>
        <v>-79212.543114254076</v>
      </c>
      <c r="Q91" s="246"/>
      <c r="R91" s="247"/>
      <c r="S91" s="248"/>
    </row>
    <row r="93" spans="1:19" ht="17.25" thickBot="1"/>
    <row r="94" spans="1:19" ht="17.25" thickBot="1">
      <c r="A94" s="262" t="s">
        <v>46</v>
      </c>
      <c r="B94" s="263"/>
      <c r="C94" s="263"/>
      <c r="D94" s="263"/>
      <c r="E94" s="263"/>
      <c r="F94" s="263"/>
      <c r="G94" s="263"/>
      <c r="H94" s="263"/>
      <c r="I94" s="263"/>
      <c r="J94" s="263"/>
      <c r="K94" s="263"/>
      <c r="L94" s="263"/>
      <c r="M94" s="263"/>
      <c r="N94" s="263"/>
      <c r="O94" s="264"/>
      <c r="Q94" s="261"/>
      <c r="R94" s="261"/>
      <c r="S94" s="261"/>
    </row>
    <row r="95" spans="1:19" ht="17.25" thickBot="1">
      <c r="A95" s="172" t="s">
        <v>292</v>
      </c>
      <c r="B95" s="262" t="s">
        <v>49</v>
      </c>
      <c r="C95" s="264"/>
      <c r="D95" s="262" t="s">
        <v>58</v>
      </c>
      <c r="E95" s="263"/>
      <c r="F95" s="264"/>
      <c r="G95" s="265">
        <f>_xlfn.IFNA(VLOOKUP(B95, 현재가테이블!$B$2:$D$200, 2, FALSE), "-")</f>
        <v>40538000</v>
      </c>
      <c r="H95" s="266"/>
      <c r="I95" s="267"/>
      <c r="J95" s="262" t="s">
        <v>59</v>
      </c>
      <c r="K95" s="263"/>
      <c r="L95" s="264"/>
      <c r="M95" s="268">
        <f>_xlfn.IFNA(VLOOKUP(B95, 현재가테이블!$B$2:$D$200, 3, FALSE), "-")</f>
        <v>-3.68275993E-2</v>
      </c>
      <c r="N95" s="269"/>
      <c r="O95" s="270"/>
      <c r="Q95" s="261"/>
      <c r="R95" s="261"/>
      <c r="S95" s="261"/>
    </row>
    <row r="96" spans="1:19" ht="17.25" thickBot="1">
      <c r="A96" s="306" t="s">
        <v>55</v>
      </c>
      <c r="B96" s="302" t="str">
        <f>TEXT($G$1, "[$-ko-KR]yyyy-mm-dd(ddd) ") &amp; "오전 00:00"</f>
        <v>2021-06-04(금) 오전 00:00</v>
      </c>
      <c r="C96" s="303"/>
      <c r="D96" s="275" t="str">
        <f>TEXT($G$1, "[$-ko-KR]yyyy-mm-dd(ddd) ") &amp; "오후 14:00"</f>
        <v>2021-06-04(금) 오후 14:00</v>
      </c>
      <c r="E96" s="276"/>
      <c r="F96" s="277"/>
      <c r="G96" s="275" t="str">
        <f>TEXT($G$1, "[$-ko-KR]yyyy-mm-dd(ddd) ") &amp; "오후 19:00"</f>
        <v>2021-06-04(금) 오후 19:00</v>
      </c>
      <c r="H96" s="276"/>
      <c r="I96" s="277"/>
      <c r="J96" s="275" t="str">
        <f>TEXT($G$1, "[$-ko-KR]yyyy-mm-dd(ddd) ") &amp; "오후 21:00"</f>
        <v>2021-06-04(금) 오후 21:00</v>
      </c>
      <c r="K96" s="276"/>
      <c r="L96" s="277"/>
      <c r="M96" s="275" t="str">
        <f>TEXT($G$1+1, "[$-ko-KR]yyyy-mm-dd(ddd) ") &amp; "오전 00:00"</f>
        <v>2021-06-05(토) 오전 00:00</v>
      </c>
      <c r="N96" s="276"/>
      <c r="O96" s="277"/>
      <c r="Q96" s="261"/>
      <c r="R96" s="261"/>
      <c r="S96" s="261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3" t="s">
        <v>58</v>
      </c>
      <c r="H97" s="174" t="s">
        <v>293</v>
      </c>
      <c r="I97" s="17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1"/>
      <c r="R97" s="251"/>
      <c r="S97" s="251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61"/>
      <c r="R98" s="261"/>
      <c r="S98" s="261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61"/>
      <c r="R99" s="261"/>
      <c r="S99" s="261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51"/>
      <c r="R100" s="251"/>
      <c r="S100" s="251"/>
    </row>
    <row r="101" spans="1:19" ht="17.25" thickBot="1">
      <c r="A101" s="162" t="s">
        <v>183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51"/>
      <c r="R101" s="251"/>
      <c r="S101" s="251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51"/>
      <c r="R102" s="251"/>
      <c r="S102" s="251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51"/>
      <c r="R103" s="251"/>
      <c r="S103" s="251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51"/>
      <c r="R104" s="251"/>
      <c r="S104" s="251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51"/>
      <c r="R105" s="251"/>
      <c r="S105" s="251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52"/>
      <c r="R107" s="253"/>
      <c r="S107" s="254"/>
    </row>
    <row r="108" spans="1:19">
      <c r="A108" s="161" t="s">
        <v>236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55"/>
      <c r="R108" s="256"/>
      <c r="S108" s="257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58"/>
      <c r="R109" s="259"/>
      <c r="S109" s="260"/>
    </row>
    <row r="110" spans="1:19" ht="17.25" thickBot="1">
      <c r="A110" s="162" t="s">
        <v>177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51"/>
      <c r="R110" s="251"/>
      <c r="S110" s="251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61"/>
      <c r="R111" s="261"/>
      <c r="S111" s="261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61"/>
      <c r="R112" s="261"/>
      <c r="S112" s="261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51"/>
      <c r="R113" s="251"/>
      <c r="S113" s="251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51"/>
      <c r="R114" s="251"/>
      <c r="S114" s="251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51"/>
      <c r="R115" s="251"/>
      <c r="S115" s="251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40"/>
      <c r="R116" s="241"/>
      <c r="S116" s="242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43"/>
      <c r="R117" s="244"/>
      <c r="S117" s="245"/>
    </row>
    <row r="118" spans="1:19" ht="17.25" thickBot="1">
      <c r="A118" s="132" t="s">
        <v>295</v>
      </c>
      <c r="B118" s="304">
        <f>$B$37</f>
        <v>100000</v>
      </c>
      <c r="C118" s="305"/>
      <c r="D118" s="26" t="s">
        <v>296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296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296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296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46"/>
      <c r="R118" s="247"/>
      <c r="S118" s="248"/>
    </row>
    <row r="120" spans="1:19" ht="17.25" thickBot="1"/>
    <row r="121" spans="1:19" ht="17.25" thickBot="1">
      <c r="A121" s="262" t="s">
        <v>283</v>
      </c>
      <c r="B121" s="263"/>
      <c r="C121" s="263"/>
      <c r="D121" s="263"/>
      <c r="E121" s="263"/>
      <c r="F121" s="263"/>
      <c r="G121" s="263"/>
      <c r="H121" s="263"/>
      <c r="I121" s="263"/>
      <c r="J121" s="263"/>
      <c r="K121" s="263"/>
      <c r="L121" s="263"/>
      <c r="M121" s="263"/>
      <c r="N121" s="263"/>
      <c r="O121" s="264"/>
      <c r="Q121" s="261"/>
      <c r="R121" s="261"/>
      <c r="S121" s="261"/>
    </row>
    <row r="122" spans="1:19" ht="17.25" thickBot="1">
      <c r="A122" s="172" t="s">
        <v>292</v>
      </c>
      <c r="B122" s="262" t="s">
        <v>49</v>
      </c>
      <c r="C122" s="264"/>
      <c r="D122" s="262" t="s">
        <v>58</v>
      </c>
      <c r="E122" s="263"/>
      <c r="F122" s="264"/>
      <c r="G122" s="265">
        <f>_xlfn.IFNA(VLOOKUP(B122, 현재가테이블!$B$2:$D$200, 2, FALSE), "-")</f>
        <v>40538000</v>
      </c>
      <c r="H122" s="266"/>
      <c r="I122" s="267"/>
      <c r="J122" s="262" t="s">
        <v>59</v>
      </c>
      <c r="K122" s="263"/>
      <c r="L122" s="264"/>
      <c r="M122" s="268">
        <f>_xlfn.IFNA(VLOOKUP(B122, 현재가테이블!$B$2:$D$200, 3, FALSE), "-")</f>
        <v>-3.68275993E-2</v>
      </c>
      <c r="N122" s="269"/>
      <c r="O122" s="270"/>
      <c r="Q122" s="261"/>
      <c r="R122" s="261"/>
      <c r="S122" s="261"/>
    </row>
    <row r="123" spans="1:19" ht="17.25" thickBot="1">
      <c r="A123" s="306" t="s">
        <v>55</v>
      </c>
      <c r="B123" s="302" t="str">
        <f>TEXT($G$1, "[$-ko-KR]yyyy-mm-dd(ddd) ") &amp; "오전 00:00"</f>
        <v>2021-06-04(금) 오전 00:00</v>
      </c>
      <c r="C123" s="303"/>
      <c r="D123" s="275" t="str">
        <f>TEXT($G$1, "[$-ko-KR]yyyy-mm-dd(ddd) ") &amp; "오후 14:00"</f>
        <v>2021-06-04(금) 오후 14:00</v>
      </c>
      <c r="E123" s="276"/>
      <c r="F123" s="277"/>
      <c r="G123" s="275" t="str">
        <f>TEXT($G$1, "[$-ko-KR]yyyy-mm-dd(ddd) ") &amp; "오후 19:00"</f>
        <v>2021-06-04(금) 오후 19:00</v>
      </c>
      <c r="H123" s="276"/>
      <c r="I123" s="277"/>
      <c r="J123" s="275" t="str">
        <f>TEXT($G$1, "[$-ko-KR]yyyy-mm-dd(ddd) ") &amp; "오후 21:00"</f>
        <v>2021-06-04(금) 오후 21:00</v>
      </c>
      <c r="K123" s="276"/>
      <c r="L123" s="277"/>
      <c r="M123" s="275" t="str">
        <f>TEXT($G$1+1, "[$-ko-KR]yyyy-mm-dd(ddd) ") &amp; "오전 00:00"</f>
        <v>2021-06-05(토) 오전 00:00</v>
      </c>
      <c r="N123" s="276"/>
      <c r="O123" s="277"/>
      <c r="Q123" s="261"/>
      <c r="R123" s="261"/>
      <c r="S123" s="261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3" t="s">
        <v>58</v>
      </c>
      <c r="H124" s="174" t="s">
        <v>293</v>
      </c>
      <c r="I124" s="17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1"/>
      <c r="R124" s="251"/>
      <c r="S124" s="251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61"/>
      <c r="R125" s="261"/>
      <c r="S125" s="261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61"/>
      <c r="R126" s="261"/>
      <c r="S126" s="261"/>
    </row>
    <row r="127" spans="1:19" ht="17.25" thickBot="1">
      <c r="A127" s="162" t="s">
        <v>217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51"/>
      <c r="R127" s="251"/>
      <c r="S127" s="251"/>
    </row>
    <row r="128" spans="1:19" ht="17.25" thickBot="1">
      <c r="A128" s="162" t="s">
        <v>233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51"/>
      <c r="R128" s="251"/>
      <c r="S128" s="251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51"/>
      <c r="R129" s="251"/>
      <c r="S129" s="251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51"/>
      <c r="R130" s="251"/>
      <c r="S130" s="251"/>
    </row>
    <row r="131" spans="1:19" ht="17.25" thickBot="1">
      <c r="A131" s="162" t="s">
        <v>263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51"/>
      <c r="R131" s="251"/>
      <c r="S131" s="251"/>
    </row>
    <row r="132" spans="1:19" ht="17.25" thickBot="1">
      <c r="A132" s="162" t="s">
        <v>259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51"/>
      <c r="R132" s="251"/>
      <c r="S132" s="251"/>
    </row>
    <row r="133" spans="1:19" ht="17.25" thickBot="1">
      <c r="A133" s="162" t="s">
        <v>195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185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52"/>
      <c r="R134" s="253"/>
      <c r="S134" s="254"/>
    </row>
    <row r="135" spans="1:19">
      <c r="A135" s="161" t="s">
        <v>212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55"/>
      <c r="R135" s="256"/>
      <c r="S135" s="257"/>
    </row>
    <row r="136" spans="1:19" ht="17.25" thickBot="1">
      <c r="A136" s="162" t="s">
        <v>210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58"/>
      <c r="R136" s="259"/>
      <c r="S136" s="260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51"/>
      <c r="R137" s="251"/>
      <c r="S137" s="251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61"/>
      <c r="R138" s="261"/>
      <c r="S138" s="261"/>
    </row>
    <row r="139" spans="1:19" ht="17.25" thickBot="1">
      <c r="A139" s="163" t="s">
        <v>225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61"/>
      <c r="R139" s="261"/>
      <c r="S139" s="261"/>
    </row>
    <row r="140" spans="1:19" ht="17.25" thickBot="1">
      <c r="A140" s="162" t="s">
        <v>171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51"/>
      <c r="R140" s="251"/>
      <c r="S140" s="251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51"/>
      <c r="R141" s="251"/>
      <c r="S141" s="251"/>
    </row>
    <row r="142" spans="1:19" ht="17.25" thickBot="1">
      <c r="A142" s="162" t="s">
        <v>219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51"/>
      <c r="R142" s="251"/>
      <c r="S142" s="251"/>
    </row>
    <row r="143" spans="1:19">
      <c r="A143" s="162" t="s">
        <v>197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40"/>
      <c r="R143" s="241"/>
      <c r="S143" s="242"/>
    </row>
    <row r="144" spans="1:19" ht="17.25" thickBot="1">
      <c r="A144" s="130" t="s">
        <v>255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43"/>
      <c r="R144" s="244"/>
      <c r="S144" s="245"/>
    </row>
    <row r="145" spans="1:19" ht="17.25" thickBot="1">
      <c r="A145" s="132" t="s">
        <v>295</v>
      </c>
      <c r="B145" s="304">
        <f>$B$37</f>
        <v>100000</v>
      </c>
      <c r="C145" s="305"/>
      <c r="D145" s="26" t="s">
        <v>296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296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296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296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46"/>
      <c r="R145" s="247"/>
      <c r="S145" s="248"/>
    </row>
    <row r="147" spans="1:19" ht="17.25" thickBot="1"/>
    <row r="148" spans="1:19" ht="17.25" thickBot="1">
      <c r="A148" s="262" t="s">
        <v>284</v>
      </c>
      <c r="B148" s="263"/>
      <c r="C148" s="263"/>
      <c r="D148" s="263"/>
      <c r="E148" s="263"/>
      <c r="F148" s="263"/>
      <c r="G148" s="263"/>
      <c r="H148" s="263"/>
      <c r="I148" s="263"/>
      <c r="J148" s="263"/>
      <c r="K148" s="263"/>
      <c r="L148" s="263"/>
      <c r="M148" s="263"/>
      <c r="N148" s="263"/>
      <c r="O148" s="264"/>
      <c r="Q148" s="261"/>
      <c r="R148" s="261"/>
      <c r="S148" s="261"/>
    </row>
    <row r="149" spans="1:19" ht="17.25" thickBot="1">
      <c r="A149" s="172" t="s">
        <v>292</v>
      </c>
      <c r="B149" s="262" t="s">
        <v>49</v>
      </c>
      <c r="C149" s="264"/>
      <c r="D149" s="262" t="s">
        <v>58</v>
      </c>
      <c r="E149" s="263"/>
      <c r="F149" s="264"/>
      <c r="G149" s="265">
        <f>_xlfn.IFNA(VLOOKUP(B149, 현재가테이블!$B$2:$D$200, 2, FALSE), "-")</f>
        <v>40538000</v>
      </c>
      <c r="H149" s="266"/>
      <c r="I149" s="267"/>
      <c r="J149" s="262" t="s">
        <v>59</v>
      </c>
      <c r="K149" s="263"/>
      <c r="L149" s="264"/>
      <c r="M149" s="268">
        <f>_xlfn.IFNA(VLOOKUP(B149, 현재가테이블!$B$2:$D$200, 3, FALSE), "-")</f>
        <v>-3.68275993E-2</v>
      </c>
      <c r="N149" s="269"/>
      <c r="O149" s="270"/>
      <c r="Q149" s="261"/>
      <c r="R149" s="261"/>
      <c r="S149" s="261"/>
    </row>
    <row r="150" spans="1:19" ht="17.25" thickBot="1">
      <c r="A150" s="306" t="s">
        <v>55</v>
      </c>
      <c r="B150" s="302" t="str">
        <f>TEXT($G$1, "[$-ko-KR]yyyy-mm-dd(ddd) ") &amp; "오전 00:00"</f>
        <v>2021-06-04(금) 오전 00:00</v>
      </c>
      <c r="C150" s="303"/>
      <c r="D150" s="275" t="str">
        <f>TEXT($G$1, "[$-ko-KR]yyyy-mm-dd(ddd) ") &amp; "오후 14:00"</f>
        <v>2021-06-04(금) 오후 14:00</v>
      </c>
      <c r="E150" s="276"/>
      <c r="F150" s="277"/>
      <c r="G150" s="275" t="str">
        <f>TEXT($G$1, "[$-ko-KR]yyyy-mm-dd(ddd) ") &amp; "오후 19:00"</f>
        <v>2021-06-04(금) 오후 19:00</v>
      </c>
      <c r="H150" s="276"/>
      <c r="I150" s="277"/>
      <c r="J150" s="275" t="str">
        <f>TEXT($G$1, "[$-ko-KR]yyyy-mm-dd(ddd) ") &amp; "오후 21:00"</f>
        <v>2021-06-04(금) 오후 21:00</v>
      </c>
      <c r="K150" s="276"/>
      <c r="L150" s="277"/>
      <c r="M150" s="275" t="str">
        <f>TEXT($G$1+1, "[$-ko-KR]yyyy-mm-dd(ddd) ") &amp; "오전 00:00"</f>
        <v>2021-06-05(토) 오전 00:00</v>
      </c>
      <c r="N150" s="276"/>
      <c r="O150" s="277"/>
      <c r="Q150" s="261"/>
      <c r="R150" s="261"/>
      <c r="S150" s="261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3" t="s">
        <v>58</v>
      </c>
      <c r="H151" s="174" t="s">
        <v>293</v>
      </c>
      <c r="I151" s="17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1"/>
      <c r="R151" s="251"/>
      <c r="S151" s="251"/>
    </row>
    <row r="152" spans="1:19" ht="17.25" thickBot="1">
      <c r="A152" s="161" t="s">
        <v>277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61"/>
      <c r="R152" s="261"/>
      <c r="S152" s="261"/>
    </row>
    <row r="153" spans="1:19" ht="17.25" thickBot="1">
      <c r="A153" s="162" t="s">
        <v>231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61"/>
      <c r="R153" s="261"/>
      <c r="S153" s="261"/>
    </row>
    <row r="154" spans="1:19" ht="17.25" thickBot="1">
      <c r="A154" s="162" t="s">
        <v>208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51"/>
      <c r="R154" s="251"/>
      <c r="S154" s="251"/>
    </row>
    <row r="155" spans="1:19" ht="17.25" thickBot="1">
      <c r="A155" s="162" t="s">
        <v>223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51"/>
      <c r="R155" s="251"/>
      <c r="S155" s="251"/>
    </row>
    <row r="156" spans="1:19" ht="17.25" thickBot="1">
      <c r="A156" s="163" t="s">
        <v>181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51"/>
      <c r="R156" s="251"/>
      <c r="S156" s="251"/>
    </row>
    <row r="157" spans="1:19" ht="17.25" thickBot="1">
      <c r="A157" s="162" t="s">
        <v>206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51"/>
      <c r="R157" s="251"/>
      <c r="S157" s="251"/>
    </row>
    <row r="158" spans="1:19" ht="17.25" thickBot="1">
      <c r="A158" s="162" t="s">
        <v>251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51"/>
      <c r="R158" s="251"/>
      <c r="S158" s="251"/>
    </row>
    <row r="159" spans="1:19" ht="17.25" thickBot="1">
      <c r="A159" s="162" t="s">
        <v>173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51"/>
      <c r="R159" s="251"/>
      <c r="S159" s="251"/>
    </row>
    <row r="160" spans="1:19" ht="17.25" thickBot="1">
      <c r="A160" s="162" t="s">
        <v>167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52"/>
      <c r="R161" s="253"/>
      <c r="S161" s="254"/>
    </row>
    <row r="162" spans="1:19">
      <c r="A162" s="161" t="s">
        <v>279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55"/>
      <c r="R162" s="256"/>
      <c r="S162" s="257"/>
    </row>
    <row r="163" spans="1:19" ht="17.25" thickBot="1">
      <c r="A163" s="162" t="s">
        <v>248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58"/>
      <c r="R163" s="259"/>
      <c r="S163" s="260"/>
    </row>
    <row r="164" spans="1:19" ht="17.25" thickBot="1">
      <c r="A164" s="162" t="s">
        <v>229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51"/>
      <c r="R164" s="251"/>
      <c r="S164" s="251"/>
    </row>
    <row r="165" spans="1:19" ht="17.25" thickBot="1">
      <c r="A165" s="162" t="s">
        <v>234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61"/>
      <c r="R165" s="261"/>
      <c r="S165" s="261"/>
    </row>
    <row r="166" spans="1:19" ht="17.25" thickBot="1">
      <c r="A166" s="163" t="s">
        <v>253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61"/>
      <c r="R166" s="261"/>
      <c r="S166" s="261"/>
    </row>
    <row r="167" spans="1:19" ht="17.25" thickBot="1">
      <c r="A167" s="162" t="s">
        <v>246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51"/>
      <c r="R167" s="251"/>
      <c r="S167" s="251"/>
    </row>
    <row r="168" spans="1:19" ht="17.25" thickBot="1">
      <c r="A168" s="162" t="s">
        <v>214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51"/>
      <c r="R168" s="251"/>
      <c r="S168" s="251"/>
    </row>
    <row r="169" spans="1:19" ht="17.25" thickBot="1">
      <c r="A169" s="162" t="s">
        <v>169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51"/>
      <c r="R169" s="251"/>
      <c r="S169" s="251"/>
    </row>
    <row r="170" spans="1:19">
      <c r="A170" s="162" t="s">
        <v>242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40"/>
      <c r="R170" s="241"/>
      <c r="S170" s="242"/>
    </row>
    <row r="171" spans="1:19" ht="17.25" thickBot="1">
      <c r="A171" s="130" t="s">
        <v>291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43"/>
      <c r="R171" s="244"/>
      <c r="S171" s="245"/>
    </row>
    <row r="172" spans="1:19" ht="17.25" thickBot="1">
      <c r="A172" s="132" t="s">
        <v>295</v>
      </c>
      <c r="B172" s="304">
        <f>$B$37</f>
        <v>100000</v>
      </c>
      <c r="C172" s="305"/>
      <c r="D172" s="26" t="s">
        <v>296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296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296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296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46"/>
      <c r="R172" s="247"/>
      <c r="S172" s="248"/>
    </row>
    <row r="174" spans="1:19" ht="17.25" thickBot="1"/>
    <row r="175" spans="1:19" ht="17.25" thickBot="1">
      <c r="A175" s="262" t="s">
        <v>280</v>
      </c>
      <c r="B175" s="263"/>
      <c r="C175" s="263"/>
      <c r="D175" s="263"/>
      <c r="E175" s="263"/>
      <c r="F175" s="263"/>
      <c r="G175" s="263"/>
      <c r="H175" s="263"/>
      <c r="I175" s="263"/>
      <c r="J175" s="263"/>
      <c r="K175" s="263"/>
      <c r="L175" s="263"/>
      <c r="M175" s="263"/>
      <c r="N175" s="263"/>
      <c r="O175" s="264"/>
      <c r="Q175" s="261"/>
      <c r="R175" s="261"/>
      <c r="S175" s="261"/>
    </row>
    <row r="176" spans="1:19" ht="17.25" thickBot="1">
      <c r="A176" s="172" t="s">
        <v>292</v>
      </c>
      <c r="B176" s="262" t="s">
        <v>49</v>
      </c>
      <c r="C176" s="264"/>
      <c r="D176" s="262" t="s">
        <v>58</v>
      </c>
      <c r="E176" s="263"/>
      <c r="F176" s="264"/>
      <c r="G176" s="265">
        <f>_xlfn.IFNA(VLOOKUP(B176, 현재가테이블!$B$2:$D$200, 2, FALSE), "-")</f>
        <v>40538000</v>
      </c>
      <c r="H176" s="266"/>
      <c r="I176" s="267"/>
      <c r="J176" s="262" t="s">
        <v>59</v>
      </c>
      <c r="K176" s="263"/>
      <c r="L176" s="264"/>
      <c r="M176" s="268">
        <f>_xlfn.IFNA(VLOOKUP(B176, 현재가테이블!$B$2:$D$200, 3, FALSE), "-")</f>
        <v>-3.68275993E-2</v>
      </c>
      <c r="N176" s="269"/>
      <c r="O176" s="270"/>
      <c r="Q176" s="261"/>
      <c r="R176" s="261"/>
      <c r="S176" s="261"/>
    </row>
    <row r="177" spans="1:19" ht="17.25" thickBot="1">
      <c r="A177" s="306" t="s">
        <v>55</v>
      </c>
      <c r="B177" s="302" t="str">
        <f>TEXT($G$1, "[$-ko-KR]yyyy-mm-dd(ddd) ") &amp; "오전 00:00"</f>
        <v>2021-06-04(금) 오전 00:00</v>
      </c>
      <c r="C177" s="303"/>
      <c r="D177" s="275" t="str">
        <f>TEXT($G$1, "[$-ko-KR]yyyy-mm-dd(ddd) ") &amp; "오후 14:00"</f>
        <v>2021-06-04(금) 오후 14:00</v>
      </c>
      <c r="E177" s="276"/>
      <c r="F177" s="277"/>
      <c r="G177" s="275" t="str">
        <f>TEXT($G$1, "[$-ko-KR]yyyy-mm-dd(ddd) ") &amp; "오후 19:00"</f>
        <v>2021-06-04(금) 오후 19:00</v>
      </c>
      <c r="H177" s="276"/>
      <c r="I177" s="277"/>
      <c r="J177" s="275" t="str">
        <f>TEXT($G$1, "[$-ko-KR]yyyy-mm-dd(ddd) ") &amp; "오후 21:00"</f>
        <v>2021-06-04(금) 오후 21:00</v>
      </c>
      <c r="K177" s="276"/>
      <c r="L177" s="277"/>
      <c r="M177" s="275" t="str">
        <f>TEXT($G$1+1, "[$-ko-KR]yyyy-mm-dd(ddd) ") &amp; "오전 00:00"</f>
        <v>2021-06-05(토) 오전 00:00</v>
      </c>
      <c r="N177" s="276"/>
      <c r="O177" s="277"/>
      <c r="Q177" s="261"/>
      <c r="R177" s="261"/>
      <c r="S177" s="261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3" t="s">
        <v>58</v>
      </c>
      <c r="H178" s="174" t="s">
        <v>293</v>
      </c>
      <c r="I178" s="17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1"/>
      <c r="R178" s="251"/>
      <c r="S178" s="251"/>
    </row>
    <row r="179" spans="1:19" ht="17.25" thickBot="1">
      <c r="A179" s="161" t="s">
        <v>197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61"/>
      <c r="R179" s="261"/>
      <c r="S179" s="261"/>
    </row>
    <row r="180" spans="1:19" ht="17.25" thickBot="1">
      <c r="A180" s="162" t="s">
        <v>271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61"/>
      <c r="R180" s="261"/>
      <c r="S180" s="261"/>
    </row>
    <row r="181" spans="1:19" ht="17.25" thickBot="1">
      <c r="A181" s="162" t="s">
        <v>255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51"/>
      <c r="R181" s="251"/>
      <c r="S181" s="251"/>
    </row>
    <row r="182" spans="1:19" ht="17.25" thickBot="1">
      <c r="A182" s="162" t="s">
        <v>246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51"/>
      <c r="R182" s="251"/>
      <c r="S182" s="251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51"/>
      <c r="R183" s="251"/>
      <c r="S183" s="251"/>
    </row>
    <row r="184" spans="1:19" ht="17.25" thickBot="1">
      <c r="A184" s="162" t="s">
        <v>203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51"/>
      <c r="R184" s="251"/>
      <c r="S184" s="251"/>
    </row>
    <row r="185" spans="1:19" ht="17.25" thickBot="1">
      <c r="A185" s="162" t="s">
        <v>179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51"/>
      <c r="R185" s="251"/>
      <c r="S185" s="251"/>
    </row>
    <row r="186" spans="1:19" ht="17.25" thickBot="1">
      <c r="A186" s="162" t="s">
        <v>214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51"/>
      <c r="R186" s="251"/>
      <c r="S186" s="251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161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52"/>
      <c r="R188" s="253"/>
      <c r="S188" s="254"/>
    </row>
    <row r="189" spans="1:19">
      <c r="A189" s="161" t="s">
        <v>169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55"/>
      <c r="R189" s="256"/>
      <c r="S189" s="257"/>
    </row>
    <row r="190" spans="1:19" ht="17.25" thickBot="1">
      <c r="A190" s="162" t="s">
        <v>193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58"/>
      <c r="R190" s="259"/>
      <c r="S190" s="260"/>
    </row>
    <row r="191" spans="1:19" ht="17.25" thickBot="1">
      <c r="A191" s="162" t="s">
        <v>267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51"/>
      <c r="R191" s="251"/>
      <c r="S191" s="251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61"/>
      <c r="R192" s="261"/>
      <c r="S192" s="261"/>
    </row>
    <row r="193" spans="1:19" ht="17.25" thickBot="1">
      <c r="A193" s="163" t="s">
        <v>242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61"/>
      <c r="R193" s="261"/>
      <c r="S193" s="261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51"/>
      <c r="R194" s="251"/>
      <c r="S194" s="251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51"/>
      <c r="R195" s="251"/>
      <c r="S195" s="251"/>
    </row>
    <row r="196" spans="1:19" ht="17.25" thickBot="1">
      <c r="A196" s="162" t="s">
        <v>165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51"/>
      <c r="R196" s="251"/>
      <c r="S196" s="251"/>
    </row>
    <row r="197" spans="1:19">
      <c r="A197" s="162" t="s">
        <v>269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40"/>
      <c r="R197" s="241"/>
      <c r="S197" s="242"/>
    </row>
    <row r="198" spans="1:19" ht="17.25" thickBot="1">
      <c r="A198" s="130" t="s">
        <v>291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43"/>
      <c r="R198" s="244"/>
      <c r="S198" s="245"/>
    </row>
    <row r="199" spans="1:19" ht="17.25" thickBot="1">
      <c r="A199" s="132" t="s">
        <v>295</v>
      </c>
      <c r="B199" s="304">
        <f>$B$37</f>
        <v>100000</v>
      </c>
      <c r="C199" s="305"/>
      <c r="D199" s="26" t="s">
        <v>296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296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296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296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46"/>
      <c r="R199" s="247"/>
      <c r="S199" s="24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27" priority="157">
      <formula>AND($N17 &gt; 0, ISNUMBER($N17))</formula>
    </cfRule>
    <cfRule type="expression" dxfId="3026" priority="158">
      <formula>AND($N17 = 0 * ISNUMBER($N17))</formula>
    </cfRule>
    <cfRule type="expression" dxfId="3025" priority="159">
      <formula>AND($N17 &lt; 0, ISNUMBER($N17))</formula>
    </cfRule>
  </conditionalFormatting>
  <conditionalFormatting sqref="A17:F36">
    <cfRule type="expression" dxfId="3024" priority="166">
      <formula>AND($E17 &gt; 0, ISNUMBER($E17))</formula>
    </cfRule>
    <cfRule type="expression" dxfId="3023" priority="167">
      <formula>AND($E17 = 0 * ISNUMBER($E17))</formula>
    </cfRule>
    <cfRule type="expression" dxfId="3022" priority="168">
      <formula>AND($E17 &lt; 0, ISNUMBER($E17))</formula>
    </cfRule>
  </conditionalFormatting>
  <conditionalFormatting sqref="A17:C36 G17:I36">
    <cfRule type="expression" dxfId="3021" priority="163">
      <formula>AND($H17 &gt; 0, ISNUMBER($H17))</formula>
    </cfRule>
    <cfRule type="expression" dxfId="3020" priority="164">
      <formula>AND($H17 = 0 * ISNUMBER($H17))</formula>
    </cfRule>
    <cfRule type="expression" dxfId="3019" priority="165">
      <formula>AND($H17 &lt; 0, ISNUMBER($H17))</formula>
    </cfRule>
  </conditionalFormatting>
  <conditionalFormatting sqref="A17:C36 J17:L36">
    <cfRule type="expression" dxfId="3018" priority="160">
      <formula>AND($K17 &gt; 0, ISNUMBER($K17))</formula>
    </cfRule>
    <cfRule type="expression" dxfId="3017" priority="161">
      <formula>AND($K17 = 0 * ISNUMBER($K17))</formula>
    </cfRule>
    <cfRule type="expression" dxfId="3016" priority="162">
      <formula>AND($K17 &lt; 0, ISNUMBER($K17))</formula>
    </cfRule>
  </conditionalFormatting>
  <conditionalFormatting sqref="D15:F16 E37:F37">
    <cfRule type="expression" dxfId="3015" priority="154">
      <formula>$E$37 &gt; 0</formula>
    </cfRule>
    <cfRule type="expression" dxfId="3014" priority="155">
      <formula>$E$37 = 0</formula>
    </cfRule>
    <cfRule type="expression" dxfId="3013" priority="156">
      <formula>$E$37 &lt; 0</formula>
    </cfRule>
  </conditionalFormatting>
  <conditionalFormatting sqref="G15:I16 H37:I37">
    <cfRule type="expression" dxfId="3012" priority="151">
      <formula>$H$37 &gt; 0</formula>
    </cfRule>
    <cfRule type="expression" dxfId="3011" priority="152">
      <formula>$H$37 = 0</formula>
    </cfRule>
    <cfRule type="expression" dxfId="3010" priority="153">
      <formula>$H$37 &lt; 0</formula>
    </cfRule>
  </conditionalFormatting>
  <conditionalFormatting sqref="J15:L16 K37:L37">
    <cfRule type="expression" dxfId="3009" priority="148">
      <formula>$K$37 &gt; 0</formula>
    </cfRule>
    <cfRule type="expression" dxfId="3008" priority="149">
      <formula>$K$37 = 0</formula>
    </cfRule>
    <cfRule type="expression" dxfId="3007" priority="150">
      <formula>$K$37 &lt; 0</formula>
    </cfRule>
  </conditionalFormatting>
  <conditionalFormatting sqref="M15:O16 N37:O37">
    <cfRule type="expression" dxfId="3006" priority="145">
      <formula>$N$37 &gt; 0</formula>
    </cfRule>
    <cfRule type="expression" dxfId="3005" priority="146">
      <formula>$N$37 = 0</formula>
    </cfRule>
    <cfRule type="expression" dxfId="3004" priority="147">
      <formula>$N$37 &lt; 0</formula>
    </cfRule>
  </conditionalFormatting>
  <conditionalFormatting sqref="A44:C63 M44:O63">
    <cfRule type="expression" dxfId="3003" priority="133">
      <formula>AND($N44 &gt; 0, ISNUMBER($N44))</formula>
    </cfRule>
    <cfRule type="expression" dxfId="3002" priority="134">
      <formula>AND($N44 = 0 * ISNUMBER($N44))</formula>
    </cfRule>
    <cfRule type="expression" dxfId="3001" priority="135">
      <formula>AND($N44 &lt; 0, ISNUMBER($N44))</formula>
    </cfRule>
  </conditionalFormatting>
  <conditionalFormatting sqref="A44:F63">
    <cfRule type="expression" dxfId="3000" priority="142">
      <formula>AND($E44 &gt; 0, ISNUMBER($E44))</formula>
    </cfRule>
    <cfRule type="expression" dxfId="2999" priority="143">
      <formula>AND($E44 = 0 * ISNUMBER($E44))</formula>
    </cfRule>
    <cfRule type="expression" dxfId="2998" priority="144">
      <formula>AND($E44 &lt; 0, ISNUMBER($E44))</formula>
    </cfRule>
  </conditionalFormatting>
  <conditionalFormatting sqref="A44:C63 G44:I63">
    <cfRule type="expression" dxfId="2997" priority="139">
      <formula>AND($H44 &gt; 0, ISNUMBER($H44))</formula>
    </cfRule>
    <cfRule type="expression" dxfId="2996" priority="140">
      <formula>AND($H44 = 0 * ISNUMBER($H44))</formula>
    </cfRule>
    <cfRule type="expression" dxfId="2995" priority="141">
      <formula>AND($H44 &lt; 0, ISNUMBER($H44))</formula>
    </cfRule>
  </conditionalFormatting>
  <conditionalFormatting sqref="A44:C63 J44:L63">
    <cfRule type="expression" dxfId="2994" priority="136">
      <formula>AND($K44 &gt; 0, ISNUMBER($K44))</formula>
    </cfRule>
    <cfRule type="expression" dxfId="2993" priority="137">
      <formula>AND($K44 = 0 * ISNUMBER($K44))</formula>
    </cfRule>
    <cfRule type="expression" dxfId="2992" priority="138">
      <formula>AND($K44 &lt; 0, ISNUMBER($K44))</formula>
    </cfRule>
  </conditionalFormatting>
  <conditionalFormatting sqref="D42:F43 E64:F64">
    <cfRule type="expression" dxfId="2991" priority="130">
      <formula>$E$64 &gt; 0</formula>
    </cfRule>
    <cfRule type="expression" dxfId="2990" priority="131">
      <formula>$E$64 = 0</formula>
    </cfRule>
    <cfRule type="expression" dxfId="2989" priority="132">
      <formula>$E$64 &lt; 0</formula>
    </cfRule>
  </conditionalFormatting>
  <conditionalFormatting sqref="G42:I43 H64:I64">
    <cfRule type="expression" dxfId="2988" priority="127">
      <formula>$H$64 &gt; 0</formula>
    </cfRule>
    <cfRule type="expression" dxfId="2987" priority="128">
      <formula>$H$64 = 0</formula>
    </cfRule>
    <cfRule type="expression" dxfId="2986" priority="129">
      <formula>$H$64 &lt; 0</formula>
    </cfRule>
  </conditionalFormatting>
  <conditionalFormatting sqref="J42:L43 K64:L64">
    <cfRule type="expression" dxfId="2985" priority="124">
      <formula>$K$64 &gt; 0</formula>
    </cfRule>
    <cfRule type="expression" dxfId="2984" priority="125">
      <formula>$K$64 = 0</formula>
    </cfRule>
    <cfRule type="expression" dxfId="2983" priority="126">
      <formula>$K$64 &lt; 0</formula>
    </cfRule>
  </conditionalFormatting>
  <conditionalFormatting sqref="M42:O43 N64:O64">
    <cfRule type="expression" dxfId="2982" priority="121">
      <formula>$N$64 &gt; 0</formula>
    </cfRule>
    <cfRule type="expression" dxfId="2981" priority="122">
      <formula>$N$64 = 0</formula>
    </cfRule>
    <cfRule type="expression" dxfId="2980" priority="123">
      <formula>$N$64 &lt; 0</formula>
    </cfRule>
  </conditionalFormatting>
  <conditionalFormatting sqref="A71:C90 M71:O90">
    <cfRule type="expression" dxfId="2979" priority="109">
      <formula>AND($N71 &gt; 0, ISNUMBER($N71))</formula>
    </cfRule>
    <cfRule type="expression" dxfId="2978" priority="110">
      <formula>AND($N71 = 0 * ISNUMBER($N71))</formula>
    </cfRule>
    <cfRule type="expression" dxfId="2977" priority="111">
      <formula>AND($N71 &lt; 0, ISNUMBER($N71))</formula>
    </cfRule>
  </conditionalFormatting>
  <conditionalFormatting sqref="A71:F90">
    <cfRule type="expression" dxfId="2976" priority="118">
      <formula>AND($E71 &gt; 0, ISNUMBER($E71))</formula>
    </cfRule>
    <cfRule type="expression" dxfId="2975" priority="119">
      <formula>AND($E71 = 0 * ISNUMBER($E71))</formula>
    </cfRule>
    <cfRule type="expression" dxfId="2974" priority="120">
      <formula>AND($E71 &lt; 0, ISNUMBER($E71))</formula>
    </cfRule>
  </conditionalFormatting>
  <conditionalFormatting sqref="A71:C90 G71:I90">
    <cfRule type="expression" dxfId="2973" priority="115">
      <formula>AND($H71 &gt; 0, ISNUMBER($H71))</formula>
    </cfRule>
    <cfRule type="expression" dxfId="2972" priority="116">
      <formula>AND($H71 = 0 * ISNUMBER($H71))</formula>
    </cfRule>
    <cfRule type="expression" dxfId="2971" priority="117">
      <formula>AND($H71 &lt; 0, ISNUMBER($H71))</formula>
    </cfRule>
  </conditionalFormatting>
  <conditionalFormatting sqref="A71:C90 J71:L90">
    <cfRule type="expression" dxfId="2970" priority="112">
      <formula>AND($K71 &gt; 0, ISNUMBER($K71))</formula>
    </cfRule>
    <cfRule type="expression" dxfId="2969" priority="113">
      <formula>AND($K71 = 0 * ISNUMBER($K71))</formula>
    </cfRule>
    <cfRule type="expression" dxfId="2968" priority="114">
      <formula>AND($K71 &lt; 0, ISNUMBER($K71))</formula>
    </cfRule>
  </conditionalFormatting>
  <conditionalFormatting sqref="D69:F70 E91:F91">
    <cfRule type="expression" dxfId="2967" priority="106">
      <formula>$E$91 &gt; 0</formula>
    </cfRule>
    <cfRule type="expression" dxfId="2966" priority="107">
      <formula>$E$91 = 0</formula>
    </cfRule>
    <cfRule type="expression" dxfId="2965" priority="108">
      <formula>$E$91 &lt; 0</formula>
    </cfRule>
  </conditionalFormatting>
  <conditionalFormatting sqref="G69:I70 H91:I91">
    <cfRule type="expression" dxfId="2964" priority="103">
      <formula>$H$91 &gt; 0</formula>
    </cfRule>
    <cfRule type="expression" dxfId="2963" priority="104">
      <formula>$H$91 = 0</formula>
    </cfRule>
    <cfRule type="expression" dxfId="2962" priority="105">
      <formula>$H$91 &lt; 0</formula>
    </cfRule>
  </conditionalFormatting>
  <conditionalFormatting sqref="J69:L70 K91:L91">
    <cfRule type="expression" dxfId="2961" priority="100">
      <formula>$K$91 &gt; 0</formula>
    </cfRule>
    <cfRule type="expression" dxfId="2960" priority="101">
      <formula>$K$91 = 0</formula>
    </cfRule>
    <cfRule type="expression" dxfId="2959" priority="102">
      <formula>$K$91 &lt; 0</formula>
    </cfRule>
  </conditionalFormatting>
  <conditionalFormatting sqref="M69:O70 N91:O91">
    <cfRule type="expression" dxfId="2958" priority="97">
      <formula>$N$91 &gt; 0</formula>
    </cfRule>
    <cfRule type="expression" dxfId="2957" priority="98">
      <formula>$N$91 = 0</formula>
    </cfRule>
    <cfRule type="expression" dxfId="2956" priority="99">
      <formula>$N$91 &lt; 0</formula>
    </cfRule>
  </conditionalFormatting>
  <conditionalFormatting sqref="A98:C117 M98:O117">
    <cfRule type="expression" dxfId="2955" priority="85">
      <formula>AND($N98 &gt; 0, ISNUMBER($N98))</formula>
    </cfRule>
    <cfRule type="expression" dxfId="2954" priority="86">
      <formula>AND($N98 = 0 * ISNUMBER($N98))</formula>
    </cfRule>
    <cfRule type="expression" dxfId="2953" priority="87">
      <formula>AND($N98 &lt; 0, ISNUMBER($N98))</formula>
    </cfRule>
  </conditionalFormatting>
  <conditionalFormatting sqref="A98:F117">
    <cfRule type="expression" dxfId="2952" priority="94">
      <formula>AND($E98 &gt; 0, ISNUMBER($E98))</formula>
    </cfRule>
    <cfRule type="expression" dxfId="2951" priority="95">
      <formula>AND($E98 = 0 * ISNUMBER($E98))</formula>
    </cfRule>
    <cfRule type="expression" dxfId="2950" priority="96">
      <formula>AND($E98 &lt; 0, ISNUMBER($E98))</formula>
    </cfRule>
  </conditionalFormatting>
  <conditionalFormatting sqref="A98:C117 G98:I117">
    <cfRule type="expression" dxfId="2949" priority="91">
      <formula>AND($H98 &gt; 0, ISNUMBER($H98))</formula>
    </cfRule>
    <cfRule type="expression" dxfId="2948" priority="92">
      <formula>AND($H98 = 0 * ISNUMBER($H98))</formula>
    </cfRule>
    <cfRule type="expression" dxfId="2947" priority="93">
      <formula>AND($H98 &lt; 0, ISNUMBER($H98))</formula>
    </cfRule>
  </conditionalFormatting>
  <conditionalFormatting sqref="A98:C117 J98:L117">
    <cfRule type="expression" dxfId="2946" priority="88">
      <formula>AND($K98 &gt; 0, ISNUMBER($K98))</formula>
    </cfRule>
    <cfRule type="expression" dxfId="2945" priority="89">
      <formula>AND($K98 = 0 * ISNUMBER($K98))</formula>
    </cfRule>
    <cfRule type="expression" dxfId="2944" priority="90">
      <formula>AND($K98 &lt; 0, ISNUMBER($K98))</formula>
    </cfRule>
  </conditionalFormatting>
  <conditionalFormatting sqref="D96:F97 E118:F118">
    <cfRule type="expression" dxfId="2943" priority="82">
      <formula>$E$118 &gt; 0</formula>
    </cfRule>
    <cfRule type="expression" dxfId="2942" priority="83">
      <formula>$E$118 = 0</formula>
    </cfRule>
    <cfRule type="expression" dxfId="2941" priority="84">
      <formula>$E$118 &lt; 0</formula>
    </cfRule>
  </conditionalFormatting>
  <conditionalFormatting sqref="G96:I97 H118:I118">
    <cfRule type="expression" dxfId="2940" priority="79">
      <formula>$H$118 &gt; 0</formula>
    </cfRule>
    <cfRule type="expression" dxfId="2939" priority="80">
      <formula>$H$118 = 0</formula>
    </cfRule>
    <cfRule type="expression" dxfId="2938" priority="81">
      <formula>$H$118 &lt; 0</formula>
    </cfRule>
  </conditionalFormatting>
  <conditionalFormatting sqref="J96:L97 K118:L118">
    <cfRule type="expression" dxfId="2937" priority="76">
      <formula>$K$118 &gt; 0</formula>
    </cfRule>
    <cfRule type="expression" dxfId="2936" priority="77">
      <formula>$K$118 = 0</formula>
    </cfRule>
    <cfRule type="expression" dxfId="2935" priority="78">
      <formula>$K$118 &lt; 0</formula>
    </cfRule>
  </conditionalFormatting>
  <conditionalFormatting sqref="M96:O97 N118:O118">
    <cfRule type="expression" dxfId="2934" priority="73">
      <formula>$N$118 &gt; 0</formula>
    </cfRule>
    <cfRule type="expression" dxfId="2933" priority="74">
      <formula>$N$118 = 0</formula>
    </cfRule>
    <cfRule type="expression" dxfId="2932" priority="75">
      <formula>$N$118 &lt; 0</formula>
    </cfRule>
  </conditionalFormatting>
  <conditionalFormatting sqref="A125:C144 M125:O144">
    <cfRule type="expression" dxfId="2931" priority="61">
      <formula>AND($N125 &gt; 0, ISNUMBER($N125))</formula>
    </cfRule>
    <cfRule type="expression" dxfId="2930" priority="62">
      <formula>AND($N125 = 0 * ISNUMBER($N125))</formula>
    </cfRule>
    <cfRule type="expression" dxfId="2929" priority="63">
      <formula>AND($N125 &lt; 0, ISNUMBER($N125))</formula>
    </cfRule>
  </conditionalFormatting>
  <conditionalFormatting sqref="A125:F144">
    <cfRule type="expression" dxfId="2928" priority="70">
      <formula>AND($E125 &gt; 0, ISNUMBER($E125))</formula>
    </cfRule>
    <cfRule type="expression" dxfId="2927" priority="71">
      <formula>AND($E125 = 0 * ISNUMBER($E125))</formula>
    </cfRule>
    <cfRule type="expression" dxfId="2926" priority="72">
      <formula>AND($E125 &lt; 0, ISNUMBER($E125))</formula>
    </cfRule>
  </conditionalFormatting>
  <conditionalFormatting sqref="A125:C144 G125:I144">
    <cfRule type="expression" dxfId="2925" priority="67">
      <formula>AND($H125 &gt; 0, ISNUMBER($H125))</formula>
    </cfRule>
    <cfRule type="expression" dxfId="2924" priority="68">
      <formula>AND($H125 = 0 * ISNUMBER($H125))</formula>
    </cfRule>
    <cfRule type="expression" dxfId="2923" priority="69">
      <formula>AND($H125 &lt; 0, ISNUMBER($H125))</formula>
    </cfRule>
  </conditionalFormatting>
  <conditionalFormatting sqref="A125:C144 J125:L144">
    <cfRule type="expression" dxfId="2922" priority="64">
      <formula>AND($K125 &gt; 0, ISNUMBER($K125))</formula>
    </cfRule>
    <cfRule type="expression" dxfId="2921" priority="65">
      <formula>AND($K125 = 0 * ISNUMBER($K125))</formula>
    </cfRule>
    <cfRule type="expression" dxfId="2920" priority="66">
      <formula>AND($K125 &lt; 0, ISNUMBER($K125))</formula>
    </cfRule>
  </conditionalFormatting>
  <conditionalFormatting sqref="D123:F124 E145:F145">
    <cfRule type="expression" dxfId="2919" priority="58">
      <formula>$E$145 &gt; 0</formula>
    </cfRule>
    <cfRule type="expression" dxfId="2918" priority="59">
      <formula>$E$145 = 0</formula>
    </cfRule>
    <cfRule type="expression" dxfId="2917" priority="60">
      <formula>$E$145 &lt; 0</formula>
    </cfRule>
  </conditionalFormatting>
  <conditionalFormatting sqref="G123:I124 H145:I145">
    <cfRule type="expression" dxfId="2916" priority="55">
      <formula>$H$145 &gt; 0</formula>
    </cfRule>
    <cfRule type="expression" dxfId="2915" priority="56">
      <formula>$H$145 = 0</formula>
    </cfRule>
    <cfRule type="expression" dxfId="2914" priority="57">
      <formula>$H$145 &lt; 0</formula>
    </cfRule>
  </conditionalFormatting>
  <conditionalFormatting sqref="J123:L124 K145:L145">
    <cfRule type="expression" dxfId="2913" priority="52">
      <formula>$K$145 &gt; 0</formula>
    </cfRule>
    <cfRule type="expression" dxfId="2912" priority="53">
      <formula>$K$145 = 0</formula>
    </cfRule>
    <cfRule type="expression" dxfId="2911" priority="54">
      <formula>$K$145 &lt; 0</formula>
    </cfRule>
  </conditionalFormatting>
  <conditionalFormatting sqref="M123:O124 N145:O145">
    <cfRule type="expression" dxfId="2910" priority="49">
      <formula>$N$145 &gt; 0</formula>
    </cfRule>
    <cfRule type="expression" dxfId="2909" priority="50">
      <formula>$N$145 = 0</formula>
    </cfRule>
    <cfRule type="expression" dxfId="2908" priority="51">
      <formula>$N$145 &lt; 0</formula>
    </cfRule>
  </conditionalFormatting>
  <conditionalFormatting sqref="A152:C171 M152:O171">
    <cfRule type="expression" dxfId="2907" priority="37">
      <formula>AND($N152 &gt; 0, ISNUMBER($N152))</formula>
    </cfRule>
    <cfRule type="expression" dxfId="2906" priority="38">
      <formula>AND($N152 = 0 * ISNUMBER($N152))</formula>
    </cfRule>
    <cfRule type="expression" dxfId="2905" priority="39">
      <formula>AND($N152 &lt; 0, ISNUMBER($N152))</formula>
    </cfRule>
  </conditionalFormatting>
  <conditionalFormatting sqref="A152:F171">
    <cfRule type="expression" dxfId="2904" priority="46">
      <formula>AND($E152 &gt; 0, ISNUMBER($E152))</formula>
    </cfRule>
    <cfRule type="expression" dxfId="2903" priority="47">
      <formula>AND($E152 = 0 * ISNUMBER($E152))</formula>
    </cfRule>
    <cfRule type="expression" dxfId="2902" priority="48">
      <formula>AND($E152 &lt; 0, ISNUMBER($E152))</formula>
    </cfRule>
  </conditionalFormatting>
  <conditionalFormatting sqref="A152:C171 G152:I171">
    <cfRule type="expression" dxfId="2901" priority="43">
      <formula>AND($H152 &gt; 0, ISNUMBER($H152))</formula>
    </cfRule>
    <cfRule type="expression" dxfId="2900" priority="44">
      <formula>AND($H152 = 0 * ISNUMBER($H152))</formula>
    </cfRule>
    <cfRule type="expression" dxfId="2899" priority="45">
      <formula>AND($H152 &lt; 0, ISNUMBER($H152))</formula>
    </cfRule>
  </conditionalFormatting>
  <conditionalFormatting sqref="A152:C171 J152:L171">
    <cfRule type="expression" dxfId="2898" priority="40">
      <formula>AND($K152 &gt; 0, ISNUMBER($K152))</formula>
    </cfRule>
    <cfRule type="expression" dxfId="2897" priority="41">
      <formula>AND($K152 = 0 * ISNUMBER($K152))</formula>
    </cfRule>
    <cfRule type="expression" dxfId="2896" priority="42">
      <formula>AND($K152 &lt; 0, ISNUMBER($K152))</formula>
    </cfRule>
  </conditionalFormatting>
  <conditionalFormatting sqref="D150:F151 E172:F172">
    <cfRule type="expression" dxfId="2895" priority="34">
      <formula>$E$172 &gt; 0</formula>
    </cfRule>
    <cfRule type="expression" dxfId="2894" priority="35">
      <formula>$E$172 = 0</formula>
    </cfRule>
    <cfRule type="expression" dxfId="2893" priority="36">
      <formula>$E$172 &lt; 0</formula>
    </cfRule>
  </conditionalFormatting>
  <conditionalFormatting sqref="G150:I151 H172:I172">
    <cfRule type="expression" dxfId="2892" priority="31">
      <formula>$H$172 &gt; 0</formula>
    </cfRule>
    <cfRule type="expression" dxfId="2891" priority="32">
      <formula>$H$172 = 0</formula>
    </cfRule>
    <cfRule type="expression" dxfId="2890" priority="33">
      <formula>$H$172 &lt; 0</formula>
    </cfRule>
  </conditionalFormatting>
  <conditionalFormatting sqref="J150:L151 K172:L172">
    <cfRule type="expression" dxfId="2889" priority="28">
      <formula>$K$172 &gt; 0</formula>
    </cfRule>
    <cfRule type="expression" dxfId="2888" priority="29">
      <formula>$K$172 = 0</formula>
    </cfRule>
    <cfRule type="expression" dxfId="2887" priority="30">
      <formula>$K$172 &lt; 0</formula>
    </cfRule>
  </conditionalFormatting>
  <conditionalFormatting sqref="M150:O151 N172:O172">
    <cfRule type="expression" dxfId="2886" priority="25">
      <formula>$N$172 &gt; 0</formula>
    </cfRule>
    <cfRule type="expression" dxfId="2885" priority="26">
      <formula>$N$172 = 0</formula>
    </cfRule>
    <cfRule type="expression" dxfId="2884" priority="27">
      <formula>$N$172 &lt; 0</formula>
    </cfRule>
  </conditionalFormatting>
  <conditionalFormatting sqref="A179:C198 M179:O198">
    <cfRule type="expression" dxfId="2883" priority="13">
      <formula>AND($N179 &gt; 0, ISNUMBER($N179))</formula>
    </cfRule>
    <cfRule type="expression" dxfId="2882" priority="14">
      <formula>AND($N179 = 0 * ISNUMBER($N179))</formula>
    </cfRule>
    <cfRule type="expression" dxfId="2881" priority="15">
      <formula>AND($N179 &lt; 0, ISNUMBER($N179))</formula>
    </cfRule>
  </conditionalFormatting>
  <conditionalFormatting sqref="A179:F198">
    <cfRule type="expression" dxfId="2880" priority="22">
      <formula>AND($E179 &gt; 0, ISNUMBER($E179))</formula>
    </cfRule>
    <cfRule type="expression" dxfId="2879" priority="23">
      <formula>AND($E179 = 0 * ISNUMBER($E179))</formula>
    </cfRule>
    <cfRule type="expression" dxfId="2878" priority="24">
      <formula>AND($E179 &lt; 0, ISNUMBER($E179))</formula>
    </cfRule>
  </conditionalFormatting>
  <conditionalFormatting sqref="A179:C198 G179:I198">
    <cfRule type="expression" dxfId="2877" priority="19">
      <formula>AND($H179 &gt; 0, ISNUMBER($H179))</formula>
    </cfRule>
    <cfRule type="expression" dxfId="2876" priority="20">
      <formula>AND($H179 = 0 * ISNUMBER($H179))</formula>
    </cfRule>
    <cfRule type="expression" dxfId="2875" priority="21">
      <formula>AND($H179 &lt; 0, ISNUMBER($H179))</formula>
    </cfRule>
  </conditionalFormatting>
  <conditionalFormatting sqref="A179:C198 J179:L198">
    <cfRule type="expression" dxfId="2874" priority="16">
      <formula>AND($K179 &gt; 0, ISNUMBER($K179))</formula>
    </cfRule>
    <cfRule type="expression" dxfId="2873" priority="17">
      <formula>AND($K179 = 0 * ISNUMBER($K179))</formula>
    </cfRule>
    <cfRule type="expression" dxfId="2872" priority="18">
      <formula>AND($K179 &lt; 0, ISNUMBER($K179))</formula>
    </cfRule>
  </conditionalFormatting>
  <conditionalFormatting sqref="D177:F178 E199:F199">
    <cfRule type="expression" dxfId="2871" priority="10">
      <formula>$E$199 &gt; 0</formula>
    </cfRule>
    <cfRule type="expression" dxfId="2870" priority="11">
      <formula>$E$199 = 0</formula>
    </cfRule>
    <cfRule type="expression" dxfId="2869" priority="12">
      <formula>$E$199 &lt; 0</formula>
    </cfRule>
  </conditionalFormatting>
  <conditionalFormatting sqref="G177:I178 H199:I199">
    <cfRule type="expression" dxfId="2868" priority="7">
      <formula>$H$199 &gt; 0</formula>
    </cfRule>
    <cfRule type="expression" dxfId="2867" priority="8">
      <formula>$H$199 = 0</formula>
    </cfRule>
    <cfRule type="expression" dxfId="2866" priority="9">
      <formula>$H$199 &lt; 0</formula>
    </cfRule>
  </conditionalFormatting>
  <conditionalFormatting sqref="J177:L178 K199:L199">
    <cfRule type="expression" dxfId="2865" priority="4">
      <formula>$K$199 &gt; 0</formula>
    </cfRule>
    <cfRule type="expression" dxfId="2864" priority="5">
      <formula>$K$199 = 0</formula>
    </cfRule>
    <cfRule type="expression" dxfId="2863" priority="6">
      <formula>$K$199 &lt; 0</formula>
    </cfRule>
  </conditionalFormatting>
  <conditionalFormatting sqref="M177:O178 N199:O199">
    <cfRule type="expression" dxfId="2862" priority="1">
      <formula>$N$199 &gt; 0</formula>
    </cfRule>
    <cfRule type="expression" dxfId="2861" priority="2">
      <formula>$N$199 = 0</formula>
    </cfRule>
    <cfRule type="expression" dxfId="28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2" t="s">
        <v>0</v>
      </c>
      <c r="B1" s="263"/>
      <c r="C1" s="263"/>
      <c r="D1" s="263"/>
      <c r="E1" s="263"/>
      <c r="F1" s="264"/>
      <c r="G1" s="293">
        <v>44352</v>
      </c>
      <c r="H1" s="294"/>
      <c r="I1" s="295"/>
      <c r="J1" s="262" t="s">
        <v>1</v>
      </c>
      <c r="K1" s="263"/>
      <c r="L1" s="263"/>
      <c r="M1" s="263"/>
      <c r="N1" s="263"/>
      <c r="O1" s="264"/>
      <c r="Q1" s="262" t="s">
        <v>2</v>
      </c>
      <c r="R1" s="264"/>
    </row>
    <row r="2" spans="1:19" ht="17.25" customHeight="1">
      <c r="A2" s="117" t="s">
        <v>3</v>
      </c>
      <c r="B2" s="296" t="s">
        <v>8</v>
      </c>
      <c r="C2" s="297"/>
      <c r="D2" s="297"/>
      <c r="E2" s="297"/>
      <c r="F2" s="298"/>
      <c r="G2" s="290" t="s">
        <v>46</v>
      </c>
      <c r="H2" s="291"/>
      <c r="I2" s="292"/>
      <c r="J2" s="1" t="s">
        <v>3</v>
      </c>
      <c r="K2" s="296" t="s">
        <v>345</v>
      </c>
      <c r="L2" s="297"/>
      <c r="M2" s="297"/>
      <c r="N2" s="297"/>
      <c r="O2" s="298"/>
      <c r="Q2" s="2" t="s">
        <v>6</v>
      </c>
      <c r="R2" s="3">
        <v>0.375</v>
      </c>
    </row>
    <row r="3" spans="1:19" ht="17.25" customHeight="1" thickBot="1">
      <c r="A3" s="118" t="s">
        <v>7</v>
      </c>
      <c r="B3" s="287" t="s">
        <v>353</v>
      </c>
      <c r="C3" s="288"/>
      <c r="D3" s="288"/>
      <c r="E3" s="288"/>
      <c r="F3" s="289"/>
      <c r="G3" s="28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84"/>
      <c r="I3" s="285"/>
      <c r="J3" s="4" t="s">
        <v>7</v>
      </c>
      <c r="K3" s="287" t="s">
        <v>346</v>
      </c>
      <c r="L3" s="288"/>
      <c r="M3" s="288"/>
      <c r="N3" s="288"/>
      <c r="O3" s="28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7" t="s">
        <v>16</v>
      </c>
      <c r="C4" s="288"/>
      <c r="D4" s="288"/>
      <c r="E4" s="288"/>
      <c r="F4" s="289"/>
      <c r="G4" s="290" t="s">
        <v>44</v>
      </c>
      <c r="H4" s="291"/>
      <c r="I4" s="292"/>
      <c r="J4" s="4" t="s">
        <v>11</v>
      </c>
      <c r="K4" s="287" t="s">
        <v>347</v>
      </c>
      <c r="L4" s="288"/>
      <c r="M4" s="288"/>
      <c r="N4" s="288"/>
      <c r="O4" s="28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7" t="s">
        <v>344</v>
      </c>
      <c r="C5" s="288"/>
      <c r="D5" s="288"/>
      <c r="E5" s="288"/>
      <c r="F5" s="289"/>
      <c r="G5" s="28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84"/>
      <c r="I5" s="285"/>
      <c r="J5" s="4" t="s">
        <v>15</v>
      </c>
      <c r="K5" s="287" t="s">
        <v>348</v>
      </c>
      <c r="L5" s="288"/>
      <c r="M5" s="288"/>
      <c r="N5" s="288"/>
      <c r="O5" s="289"/>
    </row>
    <row r="6" spans="1:19">
      <c r="A6" s="118" t="s">
        <v>18</v>
      </c>
      <c r="B6" s="287"/>
      <c r="C6" s="288"/>
      <c r="D6" s="288"/>
      <c r="E6" s="288"/>
      <c r="F6" s="289"/>
      <c r="G6" s="290" t="s">
        <v>45</v>
      </c>
      <c r="H6" s="291"/>
      <c r="I6" s="292"/>
      <c r="J6" s="4" t="s">
        <v>18</v>
      </c>
      <c r="K6" s="287" t="s">
        <v>349</v>
      </c>
      <c r="L6" s="288"/>
      <c r="M6" s="288"/>
      <c r="N6" s="288"/>
      <c r="O6" s="289"/>
    </row>
    <row r="7" spans="1:19" ht="17.25" thickBot="1">
      <c r="A7" s="118" t="s">
        <v>21</v>
      </c>
      <c r="B7" s="287"/>
      <c r="C7" s="288"/>
      <c r="D7" s="288"/>
      <c r="E7" s="288"/>
      <c r="F7" s="289"/>
      <c r="G7" s="28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84"/>
      <c r="I7" s="285"/>
      <c r="J7" s="4" t="s">
        <v>21</v>
      </c>
      <c r="K7" s="287" t="s">
        <v>350</v>
      </c>
      <c r="L7" s="288"/>
      <c r="M7" s="288"/>
      <c r="N7" s="288"/>
      <c r="O7" s="289"/>
    </row>
    <row r="8" spans="1:19" ht="17.25" thickBot="1">
      <c r="A8" s="118" t="s">
        <v>24</v>
      </c>
      <c r="B8" s="287"/>
      <c r="C8" s="288"/>
      <c r="D8" s="288"/>
      <c r="E8" s="288"/>
      <c r="F8" s="289"/>
      <c r="G8" s="290" t="s">
        <v>280</v>
      </c>
      <c r="H8" s="291"/>
      <c r="I8" s="292"/>
      <c r="J8" s="4" t="s">
        <v>24</v>
      </c>
      <c r="K8" s="287"/>
      <c r="L8" s="288"/>
      <c r="M8" s="288"/>
      <c r="N8" s="288"/>
      <c r="O8" s="289"/>
      <c r="Q8" s="262" t="s">
        <v>27</v>
      </c>
      <c r="R8" s="264"/>
    </row>
    <row r="9" spans="1:19" ht="17.25" thickBot="1">
      <c r="A9" s="118" t="s">
        <v>28</v>
      </c>
      <c r="B9" s="287"/>
      <c r="C9" s="288"/>
      <c r="D9" s="288"/>
      <c r="E9" s="288"/>
      <c r="F9" s="289"/>
      <c r="G9" s="28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84"/>
      <c r="I9" s="285"/>
      <c r="J9" s="4" t="s">
        <v>28</v>
      </c>
      <c r="K9" s="287"/>
      <c r="L9" s="288"/>
      <c r="M9" s="288"/>
      <c r="N9" s="288"/>
      <c r="O9" s="289"/>
      <c r="Q9" s="2" t="s">
        <v>29</v>
      </c>
      <c r="R9" s="6">
        <v>10</v>
      </c>
    </row>
    <row r="10" spans="1:19">
      <c r="A10" s="118" t="s">
        <v>30</v>
      </c>
      <c r="B10" s="287"/>
      <c r="C10" s="288"/>
      <c r="D10" s="288"/>
      <c r="E10" s="288"/>
      <c r="F10" s="289"/>
      <c r="G10" s="290" t="s">
        <v>47</v>
      </c>
      <c r="H10" s="291"/>
      <c r="I10" s="292"/>
      <c r="J10" s="4" t="s">
        <v>30</v>
      </c>
      <c r="K10" s="287" t="s">
        <v>351</v>
      </c>
      <c r="L10" s="288"/>
      <c r="M10" s="288"/>
      <c r="N10" s="288"/>
      <c r="O10" s="289"/>
      <c r="Q10" s="2" t="s">
        <v>31</v>
      </c>
      <c r="R10" s="6">
        <v>100</v>
      </c>
    </row>
    <row r="11" spans="1:19" ht="17.25" thickBot="1">
      <c r="A11" s="119" t="s">
        <v>32</v>
      </c>
      <c r="B11" s="280" t="s">
        <v>352</v>
      </c>
      <c r="C11" s="281"/>
      <c r="D11" s="281"/>
      <c r="E11" s="281"/>
      <c r="F11" s="282"/>
      <c r="G11" s="28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84"/>
      <c r="I11" s="285"/>
      <c r="J11" s="7" t="s">
        <v>32</v>
      </c>
      <c r="K11" s="280" t="s">
        <v>343</v>
      </c>
      <c r="L11" s="281"/>
      <c r="M11" s="281"/>
      <c r="N11" s="281"/>
      <c r="O11" s="282"/>
      <c r="Q11" s="65" t="s">
        <v>33</v>
      </c>
      <c r="R11" s="8">
        <v>1000</v>
      </c>
    </row>
    <row r="12" spans="1:19" ht="17.25" thickBot="1"/>
    <row r="13" spans="1:19" ht="17.25" customHeight="1" thickBot="1">
      <c r="A13" s="262" t="s">
        <v>34</v>
      </c>
      <c r="B13" s="263"/>
      <c r="C13" s="263"/>
      <c r="D13" s="263"/>
      <c r="E13" s="263"/>
      <c r="F13" s="263"/>
      <c r="G13" s="263"/>
      <c r="H13" s="263"/>
      <c r="I13" s="263"/>
      <c r="J13" s="263"/>
      <c r="K13" s="263"/>
      <c r="L13" s="263"/>
      <c r="M13" s="263"/>
      <c r="N13" s="263"/>
      <c r="O13" s="264"/>
      <c r="Q13" s="261"/>
      <c r="R13" s="261"/>
      <c r="S13" s="261"/>
    </row>
    <row r="14" spans="1:19" ht="17.25" customHeight="1" thickBot="1">
      <c r="A14" s="176" t="s">
        <v>35</v>
      </c>
      <c r="B14" s="262" t="s">
        <v>36</v>
      </c>
      <c r="C14" s="264"/>
      <c r="D14" s="262" t="s">
        <v>37</v>
      </c>
      <c r="E14" s="263"/>
      <c r="F14" s="264"/>
      <c r="G14" s="265">
        <f>_xlfn.IFNA(VLOOKUP(B14, 현재가테이블!$B$2:$D$200, 2, FALSE), "-")</f>
        <v>40538000</v>
      </c>
      <c r="H14" s="266"/>
      <c r="I14" s="267"/>
      <c r="J14" s="262" t="s">
        <v>38</v>
      </c>
      <c r="K14" s="263"/>
      <c r="L14" s="264"/>
      <c r="M14" s="268">
        <f>_xlfn.IFNA(VLOOKUP(B14, 현재가테이블!$B$2:$D$200, 3, FALSE), "-")</f>
        <v>-3.68275993E-2</v>
      </c>
      <c r="N14" s="269"/>
      <c r="O14" s="270"/>
      <c r="Q14" s="261"/>
      <c r="R14" s="261"/>
      <c r="S14" s="261"/>
    </row>
    <row r="15" spans="1:19" ht="17.25" customHeight="1" thickBot="1">
      <c r="A15" s="299" t="s">
        <v>39</v>
      </c>
      <c r="B15" s="300" t="str">
        <f>TEXT($G$1, "[$-ko-KR]yyyy-mm-dd(ddd) ") &amp; "오전 00:00"</f>
        <v>2021-06-05(토) 오전 00:00</v>
      </c>
      <c r="C15" s="301"/>
      <c r="D15" s="275" t="str">
        <f>TEXT($G$1, "[$-ko-KR]yyyy-mm-dd(ddd) ") &amp; "오후 14:00"</f>
        <v>2021-06-05(토) 오후 14:00</v>
      </c>
      <c r="E15" s="276"/>
      <c r="F15" s="277"/>
      <c r="G15" s="275" t="str">
        <f>TEXT($G$1, "[$-ko-KR]yyyy-mm-dd(ddd) ") &amp; "오후 19:00"</f>
        <v>2021-06-05(토) 오후 19:00</v>
      </c>
      <c r="H15" s="276"/>
      <c r="I15" s="277"/>
      <c r="J15" s="275" t="str">
        <f>TEXT($G$1, "[$-ko-KR]yyyy-mm-dd(ddd) ") &amp; "오후 21:00"</f>
        <v>2021-06-05(토) 오후 21:00</v>
      </c>
      <c r="K15" s="276"/>
      <c r="L15" s="277"/>
      <c r="M15" s="275" t="str">
        <f>TEXT($G$1+1, "[$-ko-KR]yyyy-mm-dd(ddd) ") &amp; "오전 00:00"</f>
        <v>2021-06-06(일) 오전 00:00</v>
      </c>
      <c r="N15" s="276"/>
      <c r="O15" s="277"/>
      <c r="Q15" s="261"/>
      <c r="R15" s="261"/>
      <c r="S15" s="261"/>
    </row>
    <row r="16" spans="1:19" ht="17.25" customHeight="1" thickBot="1">
      <c r="A16" s="29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61"/>
      <c r="R17" s="261"/>
      <c r="S17" s="26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61"/>
      <c r="R18" s="261"/>
      <c r="S18" s="261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51"/>
      <c r="R19" s="251"/>
      <c r="S19" s="251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51"/>
      <c r="R20" s="251"/>
      <c r="S20" s="251"/>
    </row>
    <row r="21" spans="1:19" ht="17.25" customHeight="1" thickBot="1">
      <c r="A21" s="163" t="s">
        <v>242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51"/>
      <c r="R21" s="251"/>
      <c r="S21" s="25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304">
        <v>100000</v>
      </c>
      <c r="C37" s="305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262" t="s">
        <v>44</v>
      </c>
      <c r="B40" s="263"/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4"/>
      <c r="Q40" s="261"/>
      <c r="R40" s="261"/>
      <c r="S40" s="261"/>
    </row>
    <row r="41" spans="1:19" ht="17.25" customHeight="1" thickBot="1">
      <c r="A41" s="176" t="s">
        <v>292</v>
      </c>
      <c r="B41" s="262" t="s">
        <v>49</v>
      </c>
      <c r="C41" s="264"/>
      <c r="D41" s="262" t="s">
        <v>58</v>
      </c>
      <c r="E41" s="263"/>
      <c r="F41" s="264"/>
      <c r="G41" s="265">
        <f>_xlfn.IFNA(VLOOKUP(B41, 현재가테이블!$B$2:$D$200, 2, FALSE), "-")</f>
        <v>40538000</v>
      </c>
      <c r="H41" s="266"/>
      <c r="I41" s="267"/>
      <c r="J41" s="262" t="s">
        <v>59</v>
      </c>
      <c r="K41" s="263"/>
      <c r="L41" s="264"/>
      <c r="M41" s="268">
        <f>_xlfn.IFNA(VLOOKUP(B41, 현재가테이블!$B$2:$D$200, 3, FALSE), "-")</f>
        <v>-3.68275993E-2</v>
      </c>
      <c r="N41" s="269"/>
      <c r="O41" s="270"/>
      <c r="Q41" s="261"/>
      <c r="R41" s="261"/>
      <c r="S41" s="261"/>
    </row>
    <row r="42" spans="1:19" ht="17.25" customHeight="1" thickBot="1">
      <c r="A42" s="306" t="s">
        <v>55</v>
      </c>
      <c r="B42" s="302" t="str">
        <f>TEXT($G$1, "[$-ko-KR]yyyy-mm-dd(ddd) ") &amp; "오전 00:00"</f>
        <v>2021-06-05(토) 오전 00:00</v>
      </c>
      <c r="C42" s="303"/>
      <c r="D42" s="275" t="str">
        <f>TEXT($G$1, "[$-ko-KR]yyyy-mm-dd(ddd) ") &amp; "오후 14:00"</f>
        <v>2021-06-05(토) 오후 14:00</v>
      </c>
      <c r="E42" s="276"/>
      <c r="F42" s="277"/>
      <c r="G42" s="275" t="str">
        <f>TEXT($G$1, "[$-ko-KR]yyyy-mm-dd(ddd) ") &amp; "오후 19:00"</f>
        <v>2021-06-05(토) 오후 19:00</v>
      </c>
      <c r="H42" s="276"/>
      <c r="I42" s="277"/>
      <c r="J42" s="275" t="str">
        <f>TEXT($G$1, "[$-ko-KR]yyyy-mm-dd(ddd) ") &amp; "오후 21:00"</f>
        <v>2021-06-05(토) 오후 21:00</v>
      </c>
      <c r="K42" s="276"/>
      <c r="L42" s="277"/>
      <c r="M42" s="275" t="str">
        <f>TEXT($G$1+1, "[$-ko-KR]yyyy-mm-dd(ddd) ") &amp; "오전 00:00"</f>
        <v>2021-06-06(일) 오전 00:00</v>
      </c>
      <c r="N42" s="276"/>
      <c r="O42" s="277"/>
      <c r="Q42" s="261"/>
      <c r="R42" s="261"/>
      <c r="S42" s="261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7" t="s">
        <v>58</v>
      </c>
      <c r="H43" s="178" t="s">
        <v>293</v>
      </c>
      <c r="I43" s="17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1"/>
      <c r="R43" s="251"/>
      <c r="S43" s="251"/>
    </row>
    <row r="44" spans="1:19" ht="17.25" customHeight="1" thickBot="1">
      <c r="A44" s="161" t="s">
        <v>185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61"/>
      <c r="R44" s="261"/>
      <c r="S44" s="261"/>
    </row>
    <row r="45" spans="1:19" ht="17.25" customHeight="1" thickBot="1">
      <c r="A45" s="162" t="s">
        <v>210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61"/>
      <c r="R45" s="261"/>
      <c r="S45" s="261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51"/>
      <c r="R46" s="251"/>
      <c r="S46" s="251"/>
    </row>
    <row r="47" spans="1:19" ht="17.25" customHeight="1" thickBot="1">
      <c r="A47" s="162" t="s">
        <v>197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51"/>
      <c r="R47" s="251"/>
      <c r="S47" s="251"/>
    </row>
    <row r="48" spans="1:19" ht="17.25" customHeight="1" thickBot="1">
      <c r="A48" s="163" t="s">
        <v>249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51"/>
      <c r="R48" s="251"/>
      <c r="S48" s="251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51"/>
      <c r="R49" s="251"/>
      <c r="S49" s="251"/>
    </row>
    <row r="50" spans="1:19" ht="17.25" customHeight="1" thickBot="1">
      <c r="A50" s="162" t="s">
        <v>215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51"/>
      <c r="R50" s="251"/>
      <c r="S50" s="251"/>
    </row>
    <row r="51" spans="1:19" ht="17.25" customHeight="1" thickBot="1">
      <c r="A51" s="162" t="s">
        <v>219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51"/>
      <c r="R51" s="251"/>
      <c r="S51" s="251"/>
    </row>
    <row r="52" spans="1:19" ht="17.25" customHeight="1" thickBot="1">
      <c r="A52" s="162" t="s">
        <v>273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52"/>
      <c r="R53" s="253"/>
      <c r="S53" s="254"/>
    </row>
    <row r="54" spans="1:19" ht="17.25" customHeight="1">
      <c r="A54" s="161" t="s">
        <v>255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55"/>
      <c r="R54" s="256"/>
      <c r="S54" s="257"/>
    </row>
    <row r="55" spans="1:19" ht="17.25" customHeight="1" thickBot="1">
      <c r="A55" s="162" t="s">
        <v>195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58"/>
      <c r="R55" s="259"/>
      <c r="S55" s="260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51"/>
      <c r="R56" s="251"/>
      <c r="S56" s="251"/>
    </row>
    <row r="57" spans="1:19" ht="17.25" customHeight="1" thickBot="1">
      <c r="A57" s="162" t="s">
        <v>225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61"/>
      <c r="R57" s="261"/>
      <c r="S57" s="261"/>
    </row>
    <row r="58" spans="1:19" ht="17.25" customHeight="1" thickBot="1">
      <c r="A58" s="163" t="s">
        <v>233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61"/>
      <c r="R58" s="261"/>
      <c r="S58" s="261"/>
    </row>
    <row r="59" spans="1:19" ht="17.25" customHeight="1" thickBot="1">
      <c r="A59" s="162" t="s">
        <v>261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51"/>
      <c r="R59" s="251"/>
      <c r="S59" s="251"/>
    </row>
    <row r="60" spans="1:19" ht="17.25" customHeight="1" thickBot="1">
      <c r="A60" s="162" t="s">
        <v>212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51"/>
      <c r="R60" s="251"/>
      <c r="S60" s="251"/>
    </row>
    <row r="61" spans="1:19" ht="17.25" customHeight="1" thickBot="1">
      <c r="A61" s="162" t="s">
        <v>263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51"/>
      <c r="R61" s="251"/>
      <c r="S61" s="251"/>
    </row>
    <row r="62" spans="1:19" ht="17.25" customHeight="1">
      <c r="A62" s="162" t="s">
        <v>171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40"/>
      <c r="R62" s="241"/>
      <c r="S62" s="242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43"/>
      <c r="R63" s="244"/>
      <c r="S63" s="245"/>
    </row>
    <row r="64" spans="1:19" ht="17.25" customHeight="1" thickBot="1">
      <c r="A64" s="132" t="s">
        <v>295</v>
      </c>
      <c r="B64" s="304">
        <f>$B$37</f>
        <v>100000</v>
      </c>
      <c r="C64" s="305"/>
      <c r="D64" s="26" t="s">
        <v>296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296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296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296</v>
      </c>
      <c r="N64" s="27">
        <f>IF(COUNT(N44:N63), SUM(N44:N63) / COUNT(N44:N63), 0)</f>
        <v>4.4462646748117179E-3</v>
      </c>
      <c r="O64" s="28">
        <f>SUM(O44:O63)</f>
        <v>8892.529349623439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262" t="s">
        <v>45</v>
      </c>
      <c r="B67" s="263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4"/>
      <c r="Q67" s="261"/>
      <c r="R67" s="261"/>
      <c r="S67" s="261"/>
    </row>
    <row r="68" spans="1:19" ht="17.25" thickBot="1">
      <c r="A68" s="176" t="s">
        <v>292</v>
      </c>
      <c r="B68" s="262" t="s">
        <v>49</v>
      </c>
      <c r="C68" s="264"/>
      <c r="D68" s="262" t="s">
        <v>58</v>
      </c>
      <c r="E68" s="263"/>
      <c r="F68" s="264"/>
      <c r="G68" s="265">
        <f>_xlfn.IFNA(VLOOKUP(B68, 현재가테이블!$B$2:$D$200, 2, FALSE), "-")</f>
        <v>40538000</v>
      </c>
      <c r="H68" s="266"/>
      <c r="I68" s="267"/>
      <c r="J68" s="262" t="s">
        <v>59</v>
      </c>
      <c r="K68" s="263"/>
      <c r="L68" s="264"/>
      <c r="M68" s="268">
        <f>_xlfn.IFNA(VLOOKUP(B68, 현재가테이블!$B$2:$D$200, 3, FALSE), "-")</f>
        <v>-3.68275993E-2</v>
      </c>
      <c r="N68" s="269"/>
      <c r="O68" s="270"/>
      <c r="Q68" s="261"/>
      <c r="R68" s="261"/>
      <c r="S68" s="261"/>
    </row>
    <row r="69" spans="1:19" ht="17.25" thickBot="1">
      <c r="A69" s="306" t="s">
        <v>55</v>
      </c>
      <c r="B69" s="302" t="str">
        <f>TEXT($G$1, "[$-ko-KR]yyyy-mm-dd(ddd) ") &amp; "오전 00:00"</f>
        <v>2021-06-05(토) 오전 00:00</v>
      </c>
      <c r="C69" s="303"/>
      <c r="D69" s="275" t="str">
        <f>TEXT($G$1, "[$-ko-KR]yyyy-mm-dd(ddd) ") &amp; "오후 14:00"</f>
        <v>2021-06-05(토) 오후 14:00</v>
      </c>
      <c r="E69" s="276"/>
      <c r="F69" s="277"/>
      <c r="G69" s="275" t="str">
        <f>TEXT($G$1, "[$-ko-KR]yyyy-mm-dd(ddd) ") &amp; "오후 19:00"</f>
        <v>2021-06-05(토) 오후 19:00</v>
      </c>
      <c r="H69" s="276"/>
      <c r="I69" s="277"/>
      <c r="J69" s="275" t="str">
        <f>TEXT($G$1, "[$-ko-KR]yyyy-mm-dd(ddd) ") &amp; "오후 21:00"</f>
        <v>2021-06-05(토) 오후 21:00</v>
      </c>
      <c r="K69" s="276"/>
      <c r="L69" s="277"/>
      <c r="M69" s="275" t="str">
        <f>TEXT($G$1+1, "[$-ko-KR]yyyy-mm-dd(ddd) ") &amp; "오전 00:00"</f>
        <v>2021-06-06(일) 오전 00:00</v>
      </c>
      <c r="N69" s="276"/>
      <c r="O69" s="277"/>
      <c r="Q69" s="261"/>
      <c r="R69" s="261"/>
      <c r="S69" s="261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7" t="s">
        <v>58</v>
      </c>
      <c r="H70" s="178" t="s">
        <v>293</v>
      </c>
      <c r="I70" s="17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1"/>
      <c r="R70" s="251"/>
      <c r="S70" s="251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61"/>
      <c r="R71" s="261"/>
      <c r="S71" s="261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61"/>
      <c r="R72" s="261"/>
      <c r="S72" s="261"/>
    </row>
    <row r="73" spans="1:19" ht="17.25" thickBot="1">
      <c r="A73" s="162" t="s">
        <v>199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51"/>
      <c r="R73" s="251"/>
      <c r="S73" s="251"/>
    </row>
    <row r="74" spans="1:19" ht="17.25" thickBot="1">
      <c r="A74" s="162" t="s">
        <v>248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51"/>
      <c r="R74" s="251"/>
      <c r="S74" s="251"/>
    </row>
    <row r="75" spans="1:19" ht="17.25" thickBot="1">
      <c r="A75" s="163" t="s">
        <v>223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51"/>
      <c r="R75" s="251"/>
      <c r="S75" s="251"/>
    </row>
    <row r="76" spans="1:19" ht="17.25" thickBot="1">
      <c r="A76" s="162" t="s">
        <v>242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51"/>
      <c r="R76" s="251"/>
      <c r="S76" s="251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51"/>
      <c r="R77" s="251"/>
      <c r="S77" s="251"/>
    </row>
    <row r="78" spans="1:19" ht="17.25" thickBot="1">
      <c r="A78" s="162" t="s">
        <v>173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51"/>
      <c r="R78" s="251"/>
      <c r="S78" s="251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277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52"/>
      <c r="R80" s="253"/>
      <c r="S80" s="254"/>
    </row>
    <row r="81" spans="1:19">
      <c r="A81" s="161" t="s">
        <v>251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55"/>
      <c r="R81" s="256"/>
      <c r="S81" s="257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58"/>
      <c r="R82" s="259"/>
      <c r="S82" s="260"/>
    </row>
    <row r="83" spans="1:19" ht="17.25" thickBot="1">
      <c r="A83" s="162" t="s">
        <v>253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51"/>
      <c r="R83" s="251"/>
      <c r="S83" s="251"/>
    </row>
    <row r="84" spans="1:19" ht="17.25" thickBot="1">
      <c r="A84" s="162" t="s">
        <v>227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61"/>
      <c r="R84" s="261"/>
      <c r="S84" s="261"/>
    </row>
    <row r="85" spans="1:19" ht="17.25" thickBot="1">
      <c r="A85" s="163" t="s">
        <v>201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61"/>
      <c r="R85" s="261"/>
      <c r="S85" s="261"/>
    </row>
    <row r="86" spans="1:19" ht="17.25" thickBot="1">
      <c r="A86" s="162" t="s">
        <v>169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51"/>
      <c r="R86" s="251"/>
      <c r="S86" s="251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51"/>
      <c r="R87" s="251"/>
      <c r="S87" s="251"/>
    </row>
    <row r="88" spans="1:19" ht="17.25" thickBot="1">
      <c r="A88" s="162" t="s">
        <v>265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51"/>
      <c r="R88" s="251"/>
      <c r="S88" s="251"/>
    </row>
    <row r="89" spans="1:19">
      <c r="A89" s="162" t="s">
        <v>236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40"/>
      <c r="R89" s="241"/>
      <c r="S89" s="242"/>
    </row>
    <row r="90" spans="1:19" ht="17.25" thickBot="1">
      <c r="A90" s="130" t="s">
        <v>291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43"/>
      <c r="R90" s="244"/>
      <c r="S90" s="245"/>
    </row>
    <row r="91" spans="1:19" ht="17.25" thickBot="1">
      <c r="A91" s="132" t="s">
        <v>295</v>
      </c>
      <c r="B91" s="304">
        <f>$B$37</f>
        <v>100000</v>
      </c>
      <c r="C91" s="305"/>
      <c r="D91" s="26" t="s">
        <v>296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296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296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296</v>
      </c>
      <c r="N91" s="27">
        <f>IF(COUNT(N71:N90), SUM(N71:N90) / COUNT(N71:N90), 0)</f>
        <v>-6.0278629650571923E-3</v>
      </c>
      <c r="O91" s="28">
        <f>SUM(O71:O90)</f>
        <v>-12055.725930114386</v>
      </c>
      <c r="Q91" s="246"/>
      <c r="R91" s="247"/>
      <c r="S91" s="248"/>
    </row>
    <row r="93" spans="1:19" ht="17.25" thickBot="1"/>
    <row r="94" spans="1:19" ht="17.25" thickBot="1">
      <c r="A94" s="262" t="s">
        <v>46</v>
      </c>
      <c r="B94" s="263"/>
      <c r="C94" s="263"/>
      <c r="D94" s="263"/>
      <c r="E94" s="263"/>
      <c r="F94" s="263"/>
      <c r="G94" s="263"/>
      <c r="H94" s="263"/>
      <c r="I94" s="263"/>
      <c r="J94" s="263"/>
      <c r="K94" s="263"/>
      <c r="L94" s="263"/>
      <c r="M94" s="263"/>
      <c r="N94" s="263"/>
      <c r="O94" s="264"/>
      <c r="Q94" s="261"/>
      <c r="R94" s="261"/>
      <c r="S94" s="261"/>
    </row>
    <row r="95" spans="1:19" ht="17.25" thickBot="1">
      <c r="A95" s="176" t="s">
        <v>292</v>
      </c>
      <c r="B95" s="262" t="s">
        <v>49</v>
      </c>
      <c r="C95" s="264"/>
      <c r="D95" s="262" t="s">
        <v>58</v>
      </c>
      <c r="E95" s="263"/>
      <c r="F95" s="264"/>
      <c r="G95" s="265">
        <f>_xlfn.IFNA(VLOOKUP(B95, 현재가테이블!$B$2:$D$200, 2, FALSE), "-")</f>
        <v>40538000</v>
      </c>
      <c r="H95" s="266"/>
      <c r="I95" s="267"/>
      <c r="J95" s="262" t="s">
        <v>59</v>
      </c>
      <c r="K95" s="263"/>
      <c r="L95" s="264"/>
      <c r="M95" s="268">
        <f>_xlfn.IFNA(VLOOKUP(B95, 현재가테이블!$B$2:$D$200, 3, FALSE), "-")</f>
        <v>-3.68275993E-2</v>
      </c>
      <c r="N95" s="269"/>
      <c r="O95" s="270"/>
      <c r="Q95" s="261"/>
      <c r="R95" s="261"/>
      <c r="S95" s="261"/>
    </row>
    <row r="96" spans="1:19" ht="17.25" thickBot="1">
      <c r="A96" s="306" t="s">
        <v>55</v>
      </c>
      <c r="B96" s="302" t="str">
        <f>TEXT($G$1, "[$-ko-KR]yyyy-mm-dd(ddd) ") &amp; "오전 00:00"</f>
        <v>2021-06-05(토) 오전 00:00</v>
      </c>
      <c r="C96" s="303"/>
      <c r="D96" s="275" t="str">
        <f>TEXT($G$1, "[$-ko-KR]yyyy-mm-dd(ddd) ") &amp; "오후 14:00"</f>
        <v>2021-06-05(토) 오후 14:00</v>
      </c>
      <c r="E96" s="276"/>
      <c r="F96" s="277"/>
      <c r="G96" s="275" t="str">
        <f>TEXT($G$1, "[$-ko-KR]yyyy-mm-dd(ddd) ") &amp; "오후 19:00"</f>
        <v>2021-06-05(토) 오후 19:00</v>
      </c>
      <c r="H96" s="276"/>
      <c r="I96" s="277"/>
      <c r="J96" s="275" t="str">
        <f>TEXT($G$1, "[$-ko-KR]yyyy-mm-dd(ddd) ") &amp; "오후 21:00"</f>
        <v>2021-06-05(토) 오후 21:00</v>
      </c>
      <c r="K96" s="276"/>
      <c r="L96" s="277"/>
      <c r="M96" s="275" t="str">
        <f>TEXT($G$1+1, "[$-ko-KR]yyyy-mm-dd(ddd) ") &amp; "오전 00:00"</f>
        <v>2021-06-06(일) 오전 00:00</v>
      </c>
      <c r="N96" s="276"/>
      <c r="O96" s="277"/>
      <c r="Q96" s="261"/>
      <c r="R96" s="261"/>
      <c r="S96" s="261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7" t="s">
        <v>58</v>
      </c>
      <c r="H97" s="178" t="s">
        <v>293</v>
      </c>
      <c r="I97" s="17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1"/>
      <c r="R97" s="251"/>
      <c r="S97" s="251"/>
    </row>
    <row r="98" spans="1:19" ht="17.25" thickBot="1">
      <c r="A98" s="161" t="s">
        <v>185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61"/>
      <c r="R98" s="261"/>
      <c r="S98" s="261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61"/>
      <c r="R99" s="261"/>
      <c r="S99" s="261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51"/>
      <c r="R100" s="251"/>
      <c r="S100" s="251"/>
    </row>
    <row r="101" spans="1:19" ht="17.25" thickBot="1">
      <c r="A101" s="162" t="s">
        <v>205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51"/>
      <c r="R101" s="251"/>
      <c r="S101" s="251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51"/>
      <c r="R102" s="251"/>
      <c r="S102" s="251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51"/>
      <c r="R103" s="251"/>
      <c r="S103" s="251"/>
    </row>
    <row r="104" spans="1:19" ht="17.25" thickBot="1">
      <c r="A104" s="162" t="s">
        <v>199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51"/>
      <c r="R104" s="251"/>
      <c r="S104" s="251"/>
    </row>
    <row r="105" spans="1:19" ht="17.25" thickBot="1">
      <c r="A105" s="162" t="s">
        <v>210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51"/>
      <c r="R105" s="251"/>
      <c r="S105" s="251"/>
    </row>
    <row r="106" spans="1:19" ht="17.25" thickBot="1">
      <c r="A106" s="162" t="s">
        <v>175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248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52"/>
      <c r="R107" s="253"/>
      <c r="S107" s="254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55"/>
      <c r="R108" s="256"/>
      <c r="S108" s="257"/>
    </row>
    <row r="109" spans="1:19" ht="17.25" thickBot="1">
      <c r="A109" s="162" t="s">
        <v>223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58"/>
      <c r="R109" s="259"/>
      <c r="S109" s="260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51"/>
      <c r="R110" s="251"/>
      <c r="S110" s="251"/>
    </row>
    <row r="111" spans="1:19" ht="17.25" thickBot="1">
      <c r="A111" s="162" t="s">
        <v>242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61"/>
      <c r="R111" s="261"/>
      <c r="S111" s="261"/>
    </row>
    <row r="112" spans="1:19" ht="17.25" thickBot="1">
      <c r="A112" s="163" t="s">
        <v>197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61"/>
      <c r="R112" s="261"/>
      <c r="S112" s="261"/>
    </row>
    <row r="113" spans="1:19" ht="17.25" thickBot="1">
      <c r="A113" s="162" t="s">
        <v>249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51"/>
      <c r="R113" s="251"/>
      <c r="S113" s="251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51"/>
      <c r="R114" s="251"/>
      <c r="S114" s="251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51"/>
      <c r="R115" s="251"/>
      <c r="S115" s="251"/>
    </row>
    <row r="116" spans="1:19">
      <c r="A116" s="162" t="s">
        <v>173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40"/>
      <c r="R116" s="241"/>
      <c r="S116" s="242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43"/>
      <c r="R117" s="244"/>
      <c r="S117" s="245"/>
    </row>
    <row r="118" spans="1:19" ht="17.25" thickBot="1">
      <c r="A118" s="132" t="s">
        <v>295</v>
      </c>
      <c r="B118" s="304">
        <f>$B$37</f>
        <v>100000</v>
      </c>
      <c r="C118" s="305"/>
      <c r="D118" s="26" t="s">
        <v>296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296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296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296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46"/>
      <c r="R118" s="247"/>
      <c r="S118" s="248"/>
    </row>
    <row r="120" spans="1:19" ht="17.25" thickBot="1"/>
    <row r="121" spans="1:19" ht="17.25" thickBot="1">
      <c r="A121" s="262" t="s">
        <v>283</v>
      </c>
      <c r="B121" s="263"/>
      <c r="C121" s="263"/>
      <c r="D121" s="263"/>
      <c r="E121" s="263"/>
      <c r="F121" s="263"/>
      <c r="G121" s="263"/>
      <c r="H121" s="263"/>
      <c r="I121" s="263"/>
      <c r="J121" s="263"/>
      <c r="K121" s="263"/>
      <c r="L121" s="263"/>
      <c r="M121" s="263"/>
      <c r="N121" s="263"/>
      <c r="O121" s="264"/>
      <c r="Q121" s="261"/>
      <c r="R121" s="261"/>
      <c r="S121" s="261"/>
    </row>
    <row r="122" spans="1:19" ht="17.25" thickBot="1">
      <c r="A122" s="176" t="s">
        <v>292</v>
      </c>
      <c r="B122" s="262" t="s">
        <v>49</v>
      </c>
      <c r="C122" s="264"/>
      <c r="D122" s="262" t="s">
        <v>58</v>
      </c>
      <c r="E122" s="263"/>
      <c r="F122" s="264"/>
      <c r="G122" s="265">
        <f>_xlfn.IFNA(VLOOKUP(B122, 현재가테이블!$B$2:$D$200, 2, FALSE), "-")</f>
        <v>40538000</v>
      </c>
      <c r="H122" s="266"/>
      <c r="I122" s="267"/>
      <c r="J122" s="262" t="s">
        <v>59</v>
      </c>
      <c r="K122" s="263"/>
      <c r="L122" s="264"/>
      <c r="M122" s="268">
        <f>_xlfn.IFNA(VLOOKUP(B122, 현재가테이블!$B$2:$D$200, 3, FALSE), "-")</f>
        <v>-3.68275993E-2</v>
      </c>
      <c r="N122" s="269"/>
      <c r="O122" s="270"/>
      <c r="Q122" s="261"/>
      <c r="R122" s="261"/>
      <c r="S122" s="261"/>
    </row>
    <row r="123" spans="1:19" ht="17.25" thickBot="1">
      <c r="A123" s="306" t="s">
        <v>55</v>
      </c>
      <c r="B123" s="302" t="str">
        <f>TEXT($G$1, "[$-ko-KR]yyyy-mm-dd(ddd) ") &amp; "오전 00:00"</f>
        <v>2021-06-05(토) 오전 00:00</v>
      </c>
      <c r="C123" s="303"/>
      <c r="D123" s="275" t="str">
        <f>TEXT($G$1, "[$-ko-KR]yyyy-mm-dd(ddd) ") &amp; "오후 14:00"</f>
        <v>2021-06-05(토) 오후 14:00</v>
      </c>
      <c r="E123" s="276"/>
      <c r="F123" s="277"/>
      <c r="G123" s="275" t="str">
        <f>TEXT($G$1, "[$-ko-KR]yyyy-mm-dd(ddd) ") &amp; "오후 19:00"</f>
        <v>2021-06-05(토) 오후 19:00</v>
      </c>
      <c r="H123" s="276"/>
      <c r="I123" s="277"/>
      <c r="J123" s="275" t="str">
        <f>TEXT($G$1, "[$-ko-KR]yyyy-mm-dd(ddd) ") &amp; "오후 21:00"</f>
        <v>2021-06-05(토) 오후 21:00</v>
      </c>
      <c r="K123" s="276"/>
      <c r="L123" s="277"/>
      <c r="M123" s="275" t="str">
        <f>TEXT($G$1+1, "[$-ko-KR]yyyy-mm-dd(ddd) ") &amp; "오전 00:00"</f>
        <v>2021-06-06(일) 오전 00:00</v>
      </c>
      <c r="N123" s="276"/>
      <c r="O123" s="277"/>
      <c r="Q123" s="261"/>
      <c r="R123" s="261"/>
      <c r="S123" s="261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7" t="s">
        <v>58</v>
      </c>
      <c r="H124" s="178" t="s">
        <v>293</v>
      </c>
      <c r="I124" s="17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1"/>
      <c r="R124" s="251"/>
      <c r="S124" s="251"/>
    </row>
    <row r="125" spans="1:19" ht="17.25" thickBot="1">
      <c r="A125" s="161" t="s">
        <v>215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61"/>
      <c r="R125" s="261"/>
      <c r="S125" s="261"/>
    </row>
    <row r="126" spans="1:19" ht="17.25" thickBot="1">
      <c r="A126" s="162" t="s">
        <v>219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61"/>
      <c r="R126" s="261"/>
      <c r="S126" s="261"/>
    </row>
    <row r="127" spans="1:19" ht="17.25" thickBot="1">
      <c r="A127" s="162" t="s">
        <v>273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51"/>
      <c r="R127" s="251"/>
      <c r="S127" s="251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51"/>
      <c r="R128" s="251"/>
      <c r="S128" s="251"/>
    </row>
    <row r="129" spans="1:19" ht="17.25" thickBot="1">
      <c r="A129" s="163" t="s">
        <v>255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51"/>
      <c r="R129" s="251"/>
      <c r="S129" s="251"/>
    </row>
    <row r="130" spans="1:19" ht="17.25" thickBot="1">
      <c r="A130" s="162" t="s">
        <v>195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51"/>
      <c r="R130" s="251"/>
      <c r="S130" s="251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51"/>
      <c r="R131" s="251"/>
      <c r="S131" s="251"/>
    </row>
    <row r="132" spans="1:19" ht="17.25" thickBot="1">
      <c r="A132" s="162" t="s">
        <v>225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51"/>
      <c r="R132" s="251"/>
      <c r="S132" s="251"/>
    </row>
    <row r="133" spans="1:19" ht="17.25" thickBot="1">
      <c r="A133" s="162" t="s">
        <v>233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261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52"/>
      <c r="R134" s="253"/>
      <c r="S134" s="254"/>
    </row>
    <row r="135" spans="1:19">
      <c r="A135" s="161" t="s">
        <v>212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55"/>
      <c r="R135" s="256"/>
      <c r="S135" s="257"/>
    </row>
    <row r="136" spans="1:19" ht="17.25" thickBot="1">
      <c r="A136" s="162" t="s">
        <v>263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58"/>
      <c r="R136" s="259"/>
      <c r="S136" s="260"/>
    </row>
    <row r="137" spans="1:19" ht="17.25" thickBot="1">
      <c r="A137" s="162" t="s">
        <v>171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51"/>
      <c r="R137" s="251"/>
      <c r="S137" s="251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61"/>
      <c r="R138" s="261"/>
      <c r="S138" s="261"/>
    </row>
    <row r="139" spans="1:19" ht="17.25" thickBot="1">
      <c r="A139" s="163" t="s">
        <v>217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61"/>
      <c r="R139" s="261"/>
      <c r="S139" s="261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51"/>
      <c r="R140" s="251"/>
      <c r="S140" s="251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51"/>
      <c r="R141" s="251"/>
      <c r="S141" s="251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51"/>
      <c r="R142" s="251"/>
      <c r="S142" s="251"/>
    </row>
    <row r="143" spans="1:19">
      <c r="A143" s="162" t="s">
        <v>259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40"/>
      <c r="R143" s="241"/>
      <c r="S143" s="242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43"/>
      <c r="R144" s="244"/>
      <c r="S144" s="245"/>
    </row>
    <row r="145" spans="1:19" ht="17.25" thickBot="1">
      <c r="A145" s="132" t="s">
        <v>295</v>
      </c>
      <c r="B145" s="304">
        <f>$B$37</f>
        <v>100000</v>
      </c>
      <c r="C145" s="305"/>
      <c r="D145" s="26" t="s">
        <v>296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296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296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296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46"/>
      <c r="R145" s="247"/>
      <c r="S145" s="248"/>
    </row>
    <row r="147" spans="1:19" ht="17.25" thickBot="1"/>
    <row r="148" spans="1:19" ht="17.25" thickBot="1">
      <c r="A148" s="262" t="s">
        <v>284</v>
      </c>
      <c r="B148" s="263"/>
      <c r="C148" s="263"/>
      <c r="D148" s="263"/>
      <c r="E148" s="263"/>
      <c r="F148" s="263"/>
      <c r="G148" s="263"/>
      <c r="H148" s="263"/>
      <c r="I148" s="263"/>
      <c r="J148" s="263"/>
      <c r="K148" s="263"/>
      <c r="L148" s="263"/>
      <c r="M148" s="263"/>
      <c r="N148" s="263"/>
      <c r="O148" s="264"/>
      <c r="Q148" s="261"/>
      <c r="R148" s="261"/>
      <c r="S148" s="261"/>
    </row>
    <row r="149" spans="1:19" ht="17.25" thickBot="1">
      <c r="A149" s="176" t="s">
        <v>292</v>
      </c>
      <c r="B149" s="262" t="s">
        <v>49</v>
      </c>
      <c r="C149" s="264"/>
      <c r="D149" s="262" t="s">
        <v>58</v>
      </c>
      <c r="E149" s="263"/>
      <c r="F149" s="264"/>
      <c r="G149" s="265">
        <f>_xlfn.IFNA(VLOOKUP(B149, 현재가테이블!$B$2:$D$200, 2, FALSE), "-")</f>
        <v>40538000</v>
      </c>
      <c r="H149" s="266"/>
      <c r="I149" s="267"/>
      <c r="J149" s="262" t="s">
        <v>59</v>
      </c>
      <c r="K149" s="263"/>
      <c r="L149" s="264"/>
      <c r="M149" s="268">
        <f>_xlfn.IFNA(VLOOKUP(B149, 현재가테이블!$B$2:$D$200, 3, FALSE), "-")</f>
        <v>-3.68275993E-2</v>
      </c>
      <c r="N149" s="269"/>
      <c r="O149" s="270"/>
      <c r="Q149" s="261"/>
      <c r="R149" s="261"/>
      <c r="S149" s="261"/>
    </row>
    <row r="150" spans="1:19" ht="17.25" thickBot="1">
      <c r="A150" s="306" t="s">
        <v>55</v>
      </c>
      <c r="B150" s="302" t="str">
        <f>TEXT($G$1, "[$-ko-KR]yyyy-mm-dd(ddd) ") &amp; "오전 00:00"</f>
        <v>2021-06-05(토) 오전 00:00</v>
      </c>
      <c r="C150" s="303"/>
      <c r="D150" s="275" t="str">
        <f>TEXT($G$1, "[$-ko-KR]yyyy-mm-dd(ddd) ") &amp; "오후 14:00"</f>
        <v>2021-06-05(토) 오후 14:00</v>
      </c>
      <c r="E150" s="276"/>
      <c r="F150" s="277"/>
      <c r="G150" s="275" t="str">
        <f>TEXT($G$1, "[$-ko-KR]yyyy-mm-dd(ddd) ") &amp; "오후 19:00"</f>
        <v>2021-06-05(토) 오후 19:00</v>
      </c>
      <c r="H150" s="276"/>
      <c r="I150" s="277"/>
      <c r="J150" s="275" t="str">
        <f>TEXT($G$1, "[$-ko-KR]yyyy-mm-dd(ddd) ") &amp; "오후 21:00"</f>
        <v>2021-06-05(토) 오후 21:00</v>
      </c>
      <c r="K150" s="276"/>
      <c r="L150" s="277"/>
      <c r="M150" s="275" t="str">
        <f>TEXT($G$1+1, "[$-ko-KR]yyyy-mm-dd(ddd) ") &amp; "오전 00:00"</f>
        <v>2021-06-06(일) 오전 00:00</v>
      </c>
      <c r="N150" s="276"/>
      <c r="O150" s="277"/>
      <c r="Q150" s="261"/>
      <c r="R150" s="261"/>
      <c r="S150" s="261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7" t="s">
        <v>58</v>
      </c>
      <c r="H151" s="178" t="s">
        <v>293</v>
      </c>
      <c r="I151" s="17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1"/>
      <c r="R151" s="251"/>
      <c r="S151" s="251"/>
    </row>
    <row r="152" spans="1:19" ht="17.25" thickBot="1">
      <c r="A152" s="161" t="s">
        <v>291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61"/>
      <c r="R152" s="261"/>
      <c r="S152" s="261"/>
    </row>
    <row r="153" spans="1:19" ht="17.25" thickBot="1">
      <c r="A153" s="162" t="s">
        <v>181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61"/>
      <c r="R153" s="261"/>
      <c r="S153" s="261"/>
    </row>
    <row r="154" spans="1:19" ht="17.25" thickBot="1">
      <c r="A154" s="162" t="s">
        <v>234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51"/>
      <c r="R154" s="251"/>
      <c r="S154" s="251"/>
    </row>
    <row r="155" spans="1:19" ht="17.25" thickBot="1">
      <c r="A155" s="162" t="s">
        <v>246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51"/>
      <c r="R155" s="251"/>
      <c r="S155" s="251"/>
    </row>
    <row r="156" spans="1:19" ht="17.25" thickBot="1">
      <c r="A156" s="163" t="s">
        <v>214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51"/>
      <c r="R156" s="251"/>
      <c r="S156" s="251"/>
    </row>
    <row r="157" spans="1:19" ht="17.25" thickBot="1">
      <c r="A157" s="162" t="s">
        <v>231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51"/>
      <c r="R157" s="251"/>
      <c r="S157" s="251"/>
    </row>
    <row r="158" spans="1:19" ht="17.25" thickBot="1">
      <c r="A158" s="162" t="s">
        <v>279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51"/>
      <c r="R158" s="251"/>
      <c r="S158" s="251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51"/>
      <c r="R159" s="251"/>
      <c r="S159" s="251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52"/>
      <c r="R161" s="253"/>
      <c r="S161" s="254"/>
    </row>
    <row r="162" spans="1:19">
      <c r="A162" s="161" t="s">
        <v>229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55"/>
      <c r="R162" s="256"/>
      <c r="S162" s="257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58"/>
      <c r="R163" s="259"/>
      <c r="S163" s="260"/>
    </row>
    <row r="164" spans="1:19" ht="17.25" thickBot="1">
      <c r="A164" s="162" t="s">
        <v>167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51"/>
      <c r="R164" s="251"/>
      <c r="S164" s="251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61"/>
      <c r="R165" s="261"/>
      <c r="S165" s="261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61"/>
      <c r="R166" s="261"/>
      <c r="S166" s="261"/>
    </row>
    <row r="167" spans="1:19" ht="17.25" thickBot="1">
      <c r="A167" s="162" t="s">
        <v>257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51"/>
      <c r="R167" s="251"/>
      <c r="S167" s="251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51"/>
      <c r="R168" s="251"/>
      <c r="S168" s="251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51"/>
      <c r="R169" s="251"/>
      <c r="S169" s="251"/>
    </row>
    <row r="170" spans="1:19">
      <c r="A170" s="162" t="s">
        <v>206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40"/>
      <c r="R170" s="241"/>
      <c r="S170" s="242"/>
    </row>
    <row r="171" spans="1:19" ht="17.25" thickBot="1">
      <c r="A171" s="130" t="s">
        <v>208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43"/>
      <c r="R171" s="244"/>
      <c r="S171" s="245"/>
    </row>
    <row r="172" spans="1:19" ht="17.25" thickBot="1">
      <c r="A172" s="132" t="s">
        <v>295</v>
      </c>
      <c r="B172" s="304">
        <f>$B$37</f>
        <v>100000</v>
      </c>
      <c r="C172" s="305"/>
      <c r="D172" s="26" t="s">
        <v>296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296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296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296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46"/>
      <c r="R172" s="247"/>
      <c r="S172" s="248"/>
    </row>
    <row r="174" spans="1:19" ht="17.25" thickBot="1"/>
    <row r="175" spans="1:19" ht="17.25" thickBot="1">
      <c r="A175" s="262" t="s">
        <v>280</v>
      </c>
      <c r="B175" s="263"/>
      <c r="C175" s="263"/>
      <c r="D175" s="263"/>
      <c r="E175" s="263"/>
      <c r="F175" s="263"/>
      <c r="G175" s="263"/>
      <c r="H175" s="263"/>
      <c r="I175" s="263"/>
      <c r="J175" s="263"/>
      <c r="K175" s="263"/>
      <c r="L175" s="263"/>
      <c r="M175" s="263"/>
      <c r="N175" s="263"/>
      <c r="O175" s="264"/>
      <c r="Q175" s="261"/>
      <c r="R175" s="261"/>
      <c r="S175" s="261"/>
    </row>
    <row r="176" spans="1:19" ht="17.25" thickBot="1">
      <c r="A176" s="176" t="s">
        <v>292</v>
      </c>
      <c r="B176" s="262" t="s">
        <v>49</v>
      </c>
      <c r="C176" s="264"/>
      <c r="D176" s="262" t="s">
        <v>58</v>
      </c>
      <c r="E176" s="263"/>
      <c r="F176" s="264"/>
      <c r="G176" s="265">
        <f>_xlfn.IFNA(VLOOKUP(B176, 현재가테이블!$B$2:$D$200, 2, FALSE), "-")</f>
        <v>40538000</v>
      </c>
      <c r="H176" s="266"/>
      <c r="I176" s="267"/>
      <c r="J176" s="262" t="s">
        <v>59</v>
      </c>
      <c r="K176" s="263"/>
      <c r="L176" s="264"/>
      <c r="M176" s="268">
        <f>_xlfn.IFNA(VLOOKUP(B176, 현재가테이블!$B$2:$D$200, 3, FALSE), "-")</f>
        <v>-3.68275993E-2</v>
      </c>
      <c r="N176" s="269"/>
      <c r="O176" s="270"/>
      <c r="Q176" s="261"/>
      <c r="R176" s="261"/>
      <c r="S176" s="261"/>
    </row>
    <row r="177" spans="1:19" ht="17.25" thickBot="1">
      <c r="A177" s="306" t="s">
        <v>55</v>
      </c>
      <c r="B177" s="302" t="str">
        <f>TEXT($G$1, "[$-ko-KR]yyyy-mm-dd(ddd) ") &amp; "오전 00:00"</f>
        <v>2021-06-05(토) 오전 00:00</v>
      </c>
      <c r="C177" s="303"/>
      <c r="D177" s="275" t="str">
        <f>TEXT($G$1, "[$-ko-KR]yyyy-mm-dd(ddd) ") &amp; "오후 14:00"</f>
        <v>2021-06-05(토) 오후 14:00</v>
      </c>
      <c r="E177" s="276"/>
      <c r="F177" s="277"/>
      <c r="G177" s="275" t="str">
        <f>TEXT($G$1, "[$-ko-KR]yyyy-mm-dd(ddd) ") &amp; "오후 19:00"</f>
        <v>2021-06-05(토) 오후 19:00</v>
      </c>
      <c r="H177" s="276"/>
      <c r="I177" s="277"/>
      <c r="J177" s="275" t="str">
        <f>TEXT($G$1, "[$-ko-KR]yyyy-mm-dd(ddd) ") &amp; "오후 21:00"</f>
        <v>2021-06-05(토) 오후 21:00</v>
      </c>
      <c r="K177" s="276"/>
      <c r="L177" s="277"/>
      <c r="M177" s="275" t="str">
        <f>TEXT($G$1+1, "[$-ko-KR]yyyy-mm-dd(ddd) ") &amp; "오전 00:00"</f>
        <v>2021-06-06(일) 오전 00:00</v>
      </c>
      <c r="N177" s="276"/>
      <c r="O177" s="277"/>
      <c r="Q177" s="261"/>
      <c r="R177" s="261"/>
      <c r="S177" s="261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7" t="s">
        <v>58</v>
      </c>
      <c r="H178" s="178" t="s">
        <v>293</v>
      </c>
      <c r="I178" s="17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1"/>
      <c r="R178" s="251"/>
      <c r="S178" s="251"/>
    </row>
    <row r="179" spans="1:19" ht="17.25" thickBot="1">
      <c r="A179" s="161" t="s">
        <v>259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61"/>
      <c r="R179" s="261"/>
      <c r="S179" s="261"/>
    </row>
    <row r="180" spans="1:19" ht="17.25" thickBot="1">
      <c r="A180" s="162" t="s">
        <v>167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61"/>
      <c r="R180" s="261"/>
      <c r="S180" s="261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51"/>
      <c r="R181" s="251"/>
      <c r="S181" s="251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51"/>
      <c r="R182" s="251"/>
      <c r="S182" s="251"/>
    </row>
    <row r="183" spans="1:19" ht="17.25" thickBot="1">
      <c r="A183" s="163" t="s">
        <v>257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51"/>
      <c r="R183" s="251"/>
      <c r="S183" s="251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51"/>
      <c r="R184" s="251"/>
      <c r="S184" s="251"/>
    </row>
    <row r="185" spans="1:19" ht="17.25" thickBot="1">
      <c r="A185" s="162" t="s">
        <v>269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51"/>
      <c r="R185" s="251"/>
      <c r="S185" s="251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51"/>
      <c r="R186" s="251"/>
      <c r="S186" s="251"/>
    </row>
    <row r="187" spans="1:19" ht="17.25" thickBot="1">
      <c r="A187" s="162" t="s">
        <v>206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52"/>
      <c r="R188" s="253"/>
      <c r="S188" s="254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55"/>
      <c r="R189" s="256"/>
      <c r="S189" s="257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58"/>
      <c r="R190" s="259"/>
      <c r="S190" s="260"/>
    </row>
    <row r="191" spans="1:19" ht="17.25" thickBot="1">
      <c r="A191" s="162" t="s">
        <v>244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51"/>
      <c r="R191" s="251"/>
      <c r="S191" s="251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61"/>
      <c r="R192" s="261"/>
      <c r="S192" s="261"/>
    </row>
    <row r="193" spans="1:19" ht="17.25" thickBot="1">
      <c r="A193" s="163" t="s">
        <v>163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61"/>
      <c r="R193" s="261"/>
      <c r="S193" s="261"/>
    </row>
    <row r="194" spans="1:19" ht="17.25" thickBot="1">
      <c r="A194" s="162" t="s">
        <v>208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51"/>
      <c r="R194" s="251"/>
      <c r="S194" s="251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51"/>
      <c r="R195" s="251"/>
      <c r="S195" s="251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51"/>
      <c r="R196" s="251"/>
      <c r="S196" s="251"/>
    </row>
    <row r="197" spans="1:19">
      <c r="A197" s="162" t="s">
        <v>191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40"/>
      <c r="R197" s="241"/>
      <c r="S197" s="242"/>
    </row>
    <row r="198" spans="1:19" ht="17.25" thickBot="1">
      <c r="A198" s="130" t="s">
        <v>238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43"/>
      <c r="R198" s="244"/>
      <c r="S198" s="245"/>
    </row>
    <row r="199" spans="1:19" ht="17.25" thickBot="1">
      <c r="A199" s="132" t="s">
        <v>295</v>
      </c>
      <c r="B199" s="304">
        <f>$B$37</f>
        <v>100000</v>
      </c>
      <c r="C199" s="305"/>
      <c r="D199" s="26" t="s">
        <v>296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296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296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296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46"/>
      <c r="R199" s="247"/>
      <c r="S199" s="24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49" priority="157">
      <formula>AND($N17 &gt; 0, ISNUMBER($N17))</formula>
    </cfRule>
    <cfRule type="expression" dxfId="2848" priority="158">
      <formula>AND($N17 = 0 * ISNUMBER($N17))</formula>
    </cfRule>
    <cfRule type="expression" dxfId="2847" priority="159">
      <formula>AND($N17 &lt; 0, ISNUMBER($N17))</formula>
    </cfRule>
  </conditionalFormatting>
  <conditionalFormatting sqref="A17:F36">
    <cfRule type="expression" dxfId="2846" priority="166">
      <formula>AND($E17 &gt; 0, ISNUMBER($E17))</formula>
    </cfRule>
    <cfRule type="expression" dxfId="2845" priority="167">
      <formula>AND($E17 = 0 * ISNUMBER($E17))</formula>
    </cfRule>
    <cfRule type="expression" dxfId="2844" priority="168">
      <formula>AND($E17 &lt; 0, ISNUMBER($E17))</formula>
    </cfRule>
  </conditionalFormatting>
  <conditionalFormatting sqref="A17:C36 G17:I36">
    <cfRule type="expression" dxfId="2843" priority="163">
      <formula>AND($H17 &gt; 0, ISNUMBER($H17))</formula>
    </cfRule>
    <cfRule type="expression" dxfId="2842" priority="164">
      <formula>AND($H17 = 0 * ISNUMBER($H17))</formula>
    </cfRule>
    <cfRule type="expression" dxfId="2841" priority="165">
      <formula>AND($H17 &lt; 0, ISNUMBER($H17))</formula>
    </cfRule>
  </conditionalFormatting>
  <conditionalFormatting sqref="A17:C36 J17:L36">
    <cfRule type="expression" dxfId="2840" priority="160">
      <formula>AND($K17 &gt; 0, ISNUMBER($K17))</formula>
    </cfRule>
    <cfRule type="expression" dxfId="2839" priority="161">
      <formula>AND($K17 = 0 * ISNUMBER($K17))</formula>
    </cfRule>
    <cfRule type="expression" dxfId="2838" priority="162">
      <formula>AND($K17 &lt; 0, ISNUMBER($K17))</formula>
    </cfRule>
  </conditionalFormatting>
  <conditionalFormatting sqref="D15:F16 E37:F37">
    <cfRule type="expression" dxfId="2837" priority="154">
      <formula>$E$37 &gt; 0</formula>
    </cfRule>
    <cfRule type="expression" dxfId="2836" priority="155">
      <formula>$E$37 = 0</formula>
    </cfRule>
    <cfRule type="expression" dxfId="2835" priority="156">
      <formula>$E$37 &lt; 0</formula>
    </cfRule>
  </conditionalFormatting>
  <conditionalFormatting sqref="G15:I16 H37:I37">
    <cfRule type="expression" dxfId="2834" priority="151">
      <formula>$H$37 &gt; 0</formula>
    </cfRule>
    <cfRule type="expression" dxfId="2833" priority="152">
      <formula>$H$37 = 0</formula>
    </cfRule>
    <cfRule type="expression" dxfId="2832" priority="153">
      <formula>$H$37 &lt; 0</formula>
    </cfRule>
  </conditionalFormatting>
  <conditionalFormatting sqref="J15:L16 K37:L37">
    <cfRule type="expression" dxfId="2831" priority="148">
      <formula>$K$37 &gt; 0</formula>
    </cfRule>
    <cfRule type="expression" dxfId="2830" priority="149">
      <formula>$K$37 = 0</formula>
    </cfRule>
    <cfRule type="expression" dxfId="2829" priority="150">
      <formula>$K$37 &lt; 0</formula>
    </cfRule>
  </conditionalFormatting>
  <conditionalFormatting sqref="M15:O16 N37:O37">
    <cfRule type="expression" dxfId="2828" priority="145">
      <formula>$N$37 &gt; 0</formula>
    </cfRule>
    <cfRule type="expression" dxfId="2827" priority="146">
      <formula>$N$37 = 0</formula>
    </cfRule>
    <cfRule type="expression" dxfId="2826" priority="147">
      <formula>$N$37 &lt; 0</formula>
    </cfRule>
  </conditionalFormatting>
  <conditionalFormatting sqref="A44:C63 M44:O63">
    <cfRule type="expression" dxfId="2825" priority="133">
      <formula>AND($N44 &gt; 0, ISNUMBER($N44))</formula>
    </cfRule>
    <cfRule type="expression" dxfId="2824" priority="134">
      <formula>AND($N44 = 0 * ISNUMBER($N44))</formula>
    </cfRule>
    <cfRule type="expression" dxfId="2823" priority="135">
      <formula>AND($N44 &lt; 0, ISNUMBER($N44))</formula>
    </cfRule>
  </conditionalFormatting>
  <conditionalFormatting sqref="A44:F63">
    <cfRule type="expression" dxfId="2822" priority="142">
      <formula>AND($E44 &gt; 0, ISNUMBER($E44))</formula>
    </cfRule>
    <cfRule type="expression" dxfId="2821" priority="143">
      <formula>AND($E44 = 0 * ISNUMBER($E44))</formula>
    </cfRule>
    <cfRule type="expression" dxfId="2820" priority="144">
      <formula>AND($E44 &lt; 0, ISNUMBER($E44))</formula>
    </cfRule>
  </conditionalFormatting>
  <conditionalFormatting sqref="A44:C63 G44:I63">
    <cfRule type="expression" dxfId="2819" priority="139">
      <formula>AND($H44 &gt; 0, ISNUMBER($H44))</formula>
    </cfRule>
    <cfRule type="expression" dxfId="2818" priority="140">
      <formula>AND($H44 = 0 * ISNUMBER($H44))</formula>
    </cfRule>
    <cfRule type="expression" dxfId="2817" priority="141">
      <formula>AND($H44 &lt; 0, ISNUMBER($H44))</formula>
    </cfRule>
  </conditionalFormatting>
  <conditionalFormatting sqref="A44:C63 J44:L63">
    <cfRule type="expression" dxfId="2816" priority="136">
      <formula>AND($K44 &gt; 0, ISNUMBER($K44))</formula>
    </cfRule>
    <cfRule type="expression" dxfId="2815" priority="137">
      <formula>AND($K44 = 0 * ISNUMBER($K44))</formula>
    </cfRule>
    <cfRule type="expression" dxfId="2814" priority="138">
      <formula>AND($K44 &lt; 0, ISNUMBER($K44))</formula>
    </cfRule>
  </conditionalFormatting>
  <conditionalFormatting sqref="D42:F43 E64:F64">
    <cfRule type="expression" dxfId="2813" priority="130">
      <formula>$E$64 &gt; 0</formula>
    </cfRule>
    <cfRule type="expression" dxfId="2812" priority="131">
      <formula>$E$64 = 0</formula>
    </cfRule>
    <cfRule type="expression" dxfId="2811" priority="132">
      <formula>$E$64 &lt; 0</formula>
    </cfRule>
  </conditionalFormatting>
  <conditionalFormatting sqref="G42:I43 H64:I64">
    <cfRule type="expression" dxfId="2810" priority="127">
      <formula>$H$64 &gt; 0</formula>
    </cfRule>
    <cfRule type="expression" dxfId="2809" priority="128">
      <formula>$H$64 = 0</formula>
    </cfRule>
    <cfRule type="expression" dxfId="2808" priority="129">
      <formula>$H$64 &lt; 0</formula>
    </cfRule>
  </conditionalFormatting>
  <conditionalFormatting sqref="J42:L43 K64:L64">
    <cfRule type="expression" dxfId="2807" priority="124">
      <formula>$K$64 &gt; 0</formula>
    </cfRule>
    <cfRule type="expression" dxfId="2806" priority="125">
      <formula>$K$64 = 0</formula>
    </cfRule>
    <cfRule type="expression" dxfId="2805" priority="126">
      <formula>$K$64 &lt; 0</formula>
    </cfRule>
  </conditionalFormatting>
  <conditionalFormatting sqref="M42:O43 N64:O64">
    <cfRule type="expression" dxfId="2804" priority="121">
      <formula>$N$64 &gt; 0</formula>
    </cfRule>
    <cfRule type="expression" dxfId="2803" priority="122">
      <formula>$N$64 = 0</formula>
    </cfRule>
    <cfRule type="expression" dxfId="2802" priority="123">
      <formula>$N$64 &lt; 0</formula>
    </cfRule>
  </conditionalFormatting>
  <conditionalFormatting sqref="A71:C90 M71:O90">
    <cfRule type="expression" dxfId="2801" priority="109">
      <formula>AND($N71 &gt; 0, ISNUMBER($N71))</formula>
    </cfRule>
    <cfRule type="expression" dxfId="2800" priority="110">
      <formula>AND($N71 = 0 * ISNUMBER($N71))</formula>
    </cfRule>
    <cfRule type="expression" dxfId="2799" priority="111">
      <formula>AND($N71 &lt; 0, ISNUMBER($N71))</formula>
    </cfRule>
  </conditionalFormatting>
  <conditionalFormatting sqref="A71:F90">
    <cfRule type="expression" dxfId="2798" priority="118">
      <formula>AND($E71 &gt; 0, ISNUMBER($E71))</formula>
    </cfRule>
    <cfRule type="expression" dxfId="2797" priority="119">
      <formula>AND($E71 = 0 * ISNUMBER($E71))</formula>
    </cfRule>
    <cfRule type="expression" dxfId="2796" priority="120">
      <formula>AND($E71 &lt; 0, ISNUMBER($E71))</formula>
    </cfRule>
  </conditionalFormatting>
  <conditionalFormatting sqref="A71:C90 G71:I90">
    <cfRule type="expression" dxfId="2795" priority="115">
      <formula>AND($H71 &gt; 0, ISNUMBER($H71))</formula>
    </cfRule>
    <cfRule type="expression" dxfId="2794" priority="116">
      <formula>AND($H71 = 0 * ISNUMBER($H71))</formula>
    </cfRule>
    <cfRule type="expression" dxfId="2793" priority="117">
      <formula>AND($H71 &lt; 0, ISNUMBER($H71))</formula>
    </cfRule>
  </conditionalFormatting>
  <conditionalFormatting sqref="A71:C90 J71:L90">
    <cfRule type="expression" dxfId="2792" priority="112">
      <formula>AND($K71 &gt; 0, ISNUMBER($K71))</formula>
    </cfRule>
    <cfRule type="expression" dxfId="2791" priority="113">
      <formula>AND($K71 = 0 * ISNUMBER($K71))</formula>
    </cfRule>
    <cfRule type="expression" dxfId="2790" priority="114">
      <formula>AND($K71 &lt; 0, ISNUMBER($K71))</formula>
    </cfRule>
  </conditionalFormatting>
  <conditionalFormatting sqref="D69:F70 E91:F91">
    <cfRule type="expression" dxfId="2789" priority="106">
      <formula>$E$91 &gt; 0</formula>
    </cfRule>
    <cfRule type="expression" dxfId="2788" priority="107">
      <formula>$E$91 = 0</formula>
    </cfRule>
    <cfRule type="expression" dxfId="2787" priority="108">
      <formula>$E$91 &lt; 0</formula>
    </cfRule>
  </conditionalFormatting>
  <conditionalFormatting sqref="G69:I70 H91:I91">
    <cfRule type="expression" dxfId="2786" priority="103">
      <formula>$H$91 &gt; 0</formula>
    </cfRule>
    <cfRule type="expression" dxfId="2785" priority="104">
      <formula>$H$91 = 0</formula>
    </cfRule>
    <cfRule type="expression" dxfId="2784" priority="105">
      <formula>$H$91 &lt; 0</formula>
    </cfRule>
  </conditionalFormatting>
  <conditionalFormatting sqref="J69:L70 K91:L91">
    <cfRule type="expression" dxfId="2783" priority="100">
      <formula>$K$91 &gt; 0</formula>
    </cfRule>
    <cfRule type="expression" dxfId="2782" priority="101">
      <formula>$K$91 = 0</formula>
    </cfRule>
    <cfRule type="expression" dxfId="2781" priority="102">
      <formula>$K$91 &lt; 0</formula>
    </cfRule>
  </conditionalFormatting>
  <conditionalFormatting sqref="M69:O70 N91:O91">
    <cfRule type="expression" dxfId="2780" priority="97">
      <formula>$N$91 &gt; 0</formula>
    </cfRule>
    <cfRule type="expression" dxfId="2779" priority="98">
      <formula>$N$91 = 0</formula>
    </cfRule>
    <cfRule type="expression" dxfId="2778" priority="99">
      <formula>$N$91 &lt; 0</formula>
    </cfRule>
  </conditionalFormatting>
  <conditionalFormatting sqref="A98:C117 M98:O117">
    <cfRule type="expression" dxfId="2777" priority="85">
      <formula>AND($N98 &gt; 0, ISNUMBER($N98))</formula>
    </cfRule>
    <cfRule type="expression" dxfId="2776" priority="86">
      <formula>AND($N98 = 0 * ISNUMBER($N98))</formula>
    </cfRule>
    <cfRule type="expression" dxfId="2775" priority="87">
      <formula>AND($N98 &lt; 0, ISNUMBER($N98))</formula>
    </cfRule>
  </conditionalFormatting>
  <conditionalFormatting sqref="A98:F117">
    <cfRule type="expression" dxfId="2774" priority="94">
      <formula>AND($E98 &gt; 0, ISNUMBER($E98))</formula>
    </cfRule>
    <cfRule type="expression" dxfId="2773" priority="95">
      <formula>AND($E98 = 0 * ISNUMBER($E98))</formula>
    </cfRule>
    <cfRule type="expression" dxfId="2772" priority="96">
      <formula>AND($E98 &lt; 0, ISNUMBER($E98))</formula>
    </cfRule>
  </conditionalFormatting>
  <conditionalFormatting sqref="A98:C117 G98:I117">
    <cfRule type="expression" dxfId="2771" priority="91">
      <formula>AND($H98 &gt; 0, ISNUMBER($H98))</formula>
    </cfRule>
    <cfRule type="expression" dxfId="2770" priority="92">
      <formula>AND($H98 = 0 * ISNUMBER($H98))</formula>
    </cfRule>
    <cfRule type="expression" dxfId="2769" priority="93">
      <formula>AND($H98 &lt; 0, ISNUMBER($H98))</formula>
    </cfRule>
  </conditionalFormatting>
  <conditionalFormatting sqref="A98:C117 J98:L117">
    <cfRule type="expression" dxfId="2768" priority="88">
      <formula>AND($K98 &gt; 0, ISNUMBER($K98))</formula>
    </cfRule>
    <cfRule type="expression" dxfId="2767" priority="89">
      <formula>AND($K98 = 0 * ISNUMBER($K98))</formula>
    </cfRule>
    <cfRule type="expression" dxfId="2766" priority="90">
      <formula>AND($K98 &lt; 0, ISNUMBER($K98))</formula>
    </cfRule>
  </conditionalFormatting>
  <conditionalFormatting sqref="D96:F97 E118:F118">
    <cfRule type="expression" dxfId="2765" priority="82">
      <formula>$E$118 &gt; 0</formula>
    </cfRule>
    <cfRule type="expression" dxfId="2764" priority="83">
      <formula>$E$118 = 0</formula>
    </cfRule>
    <cfRule type="expression" dxfId="2763" priority="84">
      <formula>$E$118 &lt; 0</formula>
    </cfRule>
  </conditionalFormatting>
  <conditionalFormatting sqref="G96:I97 H118:I118">
    <cfRule type="expression" dxfId="2762" priority="79">
      <formula>$H$118 &gt; 0</formula>
    </cfRule>
    <cfRule type="expression" dxfId="2761" priority="80">
      <formula>$H$118 = 0</formula>
    </cfRule>
    <cfRule type="expression" dxfId="2760" priority="81">
      <formula>$H$118 &lt; 0</formula>
    </cfRule>
  </conditionalFormatting>
  <conditionalFormatting sqref="J96:L97 K118:L118">
    <cfRule type="expression" dxfId="2759" priority="76">
      <formula>$K$118 &gt; 0</formula>
    </cfRule>
    <cfRule type="expression" dxfId="2758" priority="77">
      <formula>$K$118 = 0</formula>
    </cfRule>
    <cfRule type="expression" dxfId="2757" priority="78">
      <formula>$K$118 &lt; 0</formula>
    </cfRule>
  </conditionalFormatting>
  <conditionalFormatting sqref="M96:O97 N118:O118">
    <cfRule type="expression" dxfId="2756" priority="73">
      <formula>$N$118 &gt; 0</formula>
    </cfRule>
    <cfRule type="expression" dxfId="2755" priority="74">
      <formula>$N$118 = 0</formula>
    </cfRule>
    <cfRule type="expression" dxfId="2754" priority="75">
      <formula>$N$118 &lt; 0</formula>
    </cfRule>
  </conditionalFormatting>
  <conditionalFormatting sqref="A125:C144 M125:O144">
    <cfRule type="expression" dxfId="2753" priority="61">
      <formula>AND($N125 &gt; 0, ISNUMBER($N125))</formula>
    </cfRule>
    <cfRule type="expression" dxfId="2752" priority="62">
      <formula>AND($N125 = 0 * ISNUMBER($N125))</formula>
    </cfRule>
    <cfRule type="expression" dxfId="2751" priority="63">
      <formula>AND($N125 &lt; 0, ISNUMBER($N125))</formula>
    </cfRule>
  </conditionalFormatting>
  <conditionalFormatting sqref="A125:F144">
    <cfRule type="expression" dxfId="2750" priority="70">
      <formula>AND($E125 &gt; 0, ISNUMBER($E125))</formula>
    </cfRule>
    <cfRule type="expression" dxfId="2749" priority="71">
      <formula>AND($E125 = 0 * ISNUMBER($E125))</formula>
    </cfRule>
    <cfRule type="expression" dxfId="2748" priority="72">
      <formula>AND($E125 &lt; 0, ISNUMBER($E125))</formula>
    </cfRule>
  </conditionalFormatting>
  <conditionalFormatting sqref="A125:C144 G125:I144">
    <cfRule type="expression" dxfId="2747" priority="67">
      <formula>AND($H125 &gt; 0, ISNUMBER($H125))</formula>
    </cfRule>
    <cfRule type="expression" dxfId="2746" priority="68">
      <formula>AND($H125 = 0 * ISNUMBER($H125))</formula>
    </cfRule>
    <cfRule type="expression" dxfId="2745" priority="69">
      <formula>AND($H125 &lt; 0, ISNUMBER($H125))</formula>
    </cfRule>
  </conditionalFormatting>
  <conditionalFormatting sqref="A125:C144 J125:L144">
    <cfRule type="expression" dxfId="2744" priority="64">
      <formula>AND($K125 &gt; 0, ISNUMBER($K125))</formula>
    </cfRule>
    <cfRule type="expression" dxfId="2743" priority="65">
      <formula>AND($K125 = 0 * ISNUMBER($K125))</formula>
    </cfRule>
    <cfRule type="expression" dxfId="2742" priority="66">
      <formula>AND($K125 &lt; 0, ISNUMBER($K125))</formula>
    </cfRule>
  </conditionalFormatting>
  <conditionalFormatting sqref="D123:F124 E145:F145">
    <cfRule type="expression" dxfId="2741" priority="58">
      <formula>$E$145 &gt; 0</formula>
    </cfRule>
    <cfRule type="expression" dxfId="2740" priority="59">
      <formula>$E$145 = 0</formula>
    </cfRule>
    <cfRule type="expression" dxfId="2739" priority="60">
      <formula>$E$145 &lt; 0</formula>
    </cfRule>
  </conditionalFormatting>
  <conditionalFormatting sqref="G123:I124 H145:I145">
    <cfRule type="expression" dxfId="2738" priority="55">
      <formula>$H$145 &gt; 0</formula>
    </cfRule>
    <cfRule type="expression" dxfId="2737" priority="56">
      <formula>$H$145 = 0</formula>
    </cfRule>
    <cfRule type="expression" dxfId="2736" priority="57">
      <formula>$H$145 &lt; 0</formula>
    </cfRule>
  </conditionalFormatting>
  <conditionalFormatting sqref="J123:L124 K145:L145">
    <cfRule type="expression" dxfId="2735" priority="52">
      <formula>$K$145 &gt; 0</formula>
    </cfRule>
    <cfRule type="expression" dxfId="2734" priority="53">
      <formula>$K$145 = 0</formula>
    </cfRule>
    <cfRule type="expression" dxfId="2733" priority="54">
      <formula>$K$145 &lt; 0</formula>
    </cfRule>
  </conditionalFormatting>
  <conditionalFormatting sqref="M123:O124 N145:O145">
    <cfRule type="expression" dxfId="2732" priority="49">
      <formula>$N$145 &gt; 0</formula>
    </cfRule>
    <cfRule type="expression" dxfId="2731" priority="50">
      <formula>$N$145 = 0</formula>
    </cfRule>
    <cfRule type="expression" dxfId="2730" priority="51">
      <formula>$N$145 &lt; 0</formula>
    </cfRule>
  </conditionalFormatting>
  <conditionalFormatting sqref="A152:C171 M152:O171">
    <cfRule type="expression" dxfId="2729" priority="37">
      <formula>AND($N152 &gt; 0, ISNUMBER($N152))</formula>
    </cfRule>
    <cfRule type="expression" dxfId="2728" priority="38">
      <formula>AND($N152 = 0 * ISNUMBER($N152))</formula>
    </cfRule>
    <cfRule type="expression" dxfId="2727" priority="39">
      <formula>AND($N152 &lt; 0, ISNUMBER($N152))</formula>
    </cfRule>
  </conditionalFormatting>
  <conditionalFormatting sqref="A152:F171">
    <cfRule type="expression" dxfId="2726" priority="46">
      <formula>AND($E152 &gt; 0, ISNUMBER($E152))</formula>
    </cfRule>
    <cfRule type="expression" dxfId="2725" priority="47">
      <formula>AND($E152 = 0 * ISNUMBER($E152))</formula>
    </cfRule>
    <cfRule type="expression" dxfId="2724" priority="48">
      <formula>AND($E152 &lt; 0, ISNUMBER($E152))</formula>
    </cfRule>
  </conditionalFormatting>
  <conditionalFormatting sqref="A152:C171 G152:I171">
    <cfRule type="expression" dxfId="2723" priority="43">
      <formula>AND($H152 &gt; 0, ISNUMBER($H152))</formula>
    </cfRule>
    <cfRule type="expression" dxfId="2722" priority="44">
      <formula>AND($H152 = 0 * ISNUMBER($H152))</formula>
    </cfRule>
    <cfRule type="expression" dxfId="2721" priority="45">
      <formula>AND($H152 &lt; 0, ISNUMBER($H152))</formula>
    </cfRule>
  </conditionalFormatting>
  <conditionalFormatting sqref="A152:C171 J152:L171">
    <cfRule type="expression" dxfId="2720" priority="40">
      <formula>AND($K152 &gt; 0, ISNUMBER($K152))</formula>
    </cfRule>
    <cfRule type="expression" dxfId="2719" priority="41">
      <formula>AND($K152 = 0 * ISNUMBER($K152))</formula>
    </cfRule>
    <cfRule type="expression" dxfId="2718" priority="42">
      <formula>AND($K152 &lt; 0, ISNUMBER($K152))</formula>
    </cfRule>
  </conditionalFormatting>
  <conditionalFormatting sqref="D150:F151 E172:F172">
    <cfRule type="expression" dxfId="2717" priority="34">
      <formula>$E$172 &gt; 0</formula>
    </cfRule>
    <cfRule type="expression" dxfId="2716" priority="35">
      <formula>$E$172 = 0</formula>
    </cfRule>
    <cfRule type="expression" dxfId="2715" priority="36">
      <formula>$E$172 &lt; 0</formula>
    </cfRule>
  </conditionalFormatting>
  <conditionalFormatting sqref="G150:I151 H172:I172">
    <cfRule type="expression" dxfId="2714" priority="31">
      <formula>$H$172 &gt; 0</formula>
    </cfRule>
    <cfRule type="expression" dxfId="2713" priority="32">
      <formula>$H$172 = 0</formula>
    </cfRule>
    <cfRule type="expression" dxfId="2712" priority="33">
      <formula>$H$172 &lt; 0</formula>
    </cfRule>
  </conditionalFormatting>
  <conditionalFormatting sqref="J150:L151 K172:L172">
    <cfRule type="expression" dxfId="2711" priority="28">
      <formula>$K$172 &gt; 0</formula>
    </cfRule>
    <cfRule type="expression" dxfId="2710" priority="29">
      <formula>$K$172 = 0</formula>
    </cfRule>
    <cfRule type="expression" dxfId="2709" priority="30">
      <formula>$K$172 &lt; 0</formula>
    </cfRule>
  </conditionalFormatting>
  <conditionalFormatting sqref="M150:O151 N172:O172">
    <cfRule type="expression" dxfId="2708" priority="25">
      <formula>$N$172 &gt; 0</formula>
    </cfRule>
    <cfRule type="expression" dxfId="2707" priority="26">
      <formula>$N$172 = 0</formula>
    </cfRule>
    <cfRule type="expression" dxfId="2706" priority="27">
      <formula>$N$172 &lt; 0</formula>
    </cfRule>
  </conditionalFormatting>
  <conditionalFormatting sqref="A179:C198 M179:O198">
    <cfRule type="expression" dxfId="2705" priority="13">
      <formula>AND($N179 &gt; 0, ISNUMBER($N179))</formula>
    </cfRule>
    <cfRule type="expression" dxfId="2704" priority="14">
      <formula>AND($N179 = 0 * ISNUMBER($N179))</formula>
    </cfRule>
    <cfRule type="expression" dxfId="2703" priority="15">
      <formula>AND($N179 &lt; 0, ISNUMBER($N179))</formula>
    </cfRule>
  </conditionalFormatting>
  <conditionalFormatting sqref="A179:F198">
    <cfRule type="expression" dxfId="2702" priority="22">
      <formula>AND($E179 &gt; 0, ISNUMBER($E179))</formula>
    </cfRule>
    <cfRule type="expression" dxfId="2701" priority="23">
      <formula>AND($E179 = 0 * ISNUMBER($E179))</formula>
    </cfRule>
    <cfRule type="expression" dxfId="2700" priority="24">
      <formula>AND($E179 &lt; 0, ISNUMBER($E179))</formula>
    </cfRule>
  </conditionalFormatting>
  <conditionalFormatting sqref="A179:C198 G179:I198">
    <cfRule type="expression" dxfId="2699" priority="19">
      <formula>AND($H179 &gt; 0, ISNUMBER($H179))</formula>
    </cfRule>
    <cfRule type="expression" dxfId="2698" priority="20">
      <formula>AND($H179 = 0 * ISNUMBER($H179))</formula>
    </cfRule>
    <cfRule type="expression" dxfId="2697" priority="21">
      <formula>AND($H179 &lt; 0, ISNUMBER($H179))</formula>
    </cfRule>
  </conditionalFormatting>
  <conditionalFormatting sqref="A179:C198 J179:L198">
    <cfRule type="expression" dxfId="2696" priority="16">
      <formula>AND($K179 &gt; 0, ISNUMBER($K179))</formula>
    </cfRule>
    <cfRule type="expression" dxfId="2695" priority="17">
      <formula>AND($K179 = 0 * ISNUMBER($K179))</formula>
    </cfRule>
    <cfRule type="expression" dxfId="2694" priority="18">
      <formula>AND($K179 &lt; 0, ISNUMBER($K179))</formula>
    </cfRule>
  </conditionalFormatting>
  <conditionalFormatting sqref="D177:F178 E199:F199">
    <cfRule type="expression" dxfId="2693" priority="10">
      <formula>$E$199 &gt; 0</formula>
    </cfRule>
    <cfRule type="expression" dxfId="2692" priority="11">
      <formula>$E$199 = 0</formula>
    </cfRule>
    <cfRule type="expression" dxfId="2691" priority="12">
      <formula>$E$199 &lt; 0</formula>
    </cfRule>
  </conditionalFormatting>
  <conditionalFormatting sqref="G177:I178 H199:I199">
    <cfRule type="expression" dxfId="2690" priority="7">
      <formula>$H$199 &gt; 0</formula>
    </cfRule>
    <cfRule type="expression" dxfId="2689" priority="8">
      <formula>$H$199 = 0</formula>
    </cfRule>
    <cfRule type="expression" dxfId="2688" priority="9">
      <formula>$H$199 &lt; 0</formula>
    </cfRule>
  </conditionalFormatting>
  <conditionalFormatting sqref="J177:L178 K199:L199">
    <cfRule type="expression" dxfId="2687" priority="4">
      <formula>$K$199 &gt; 0</formula>
    </cfRule>
    <cfRule type="expression" dxfId="2686" priority="5">
      <formula>$K$199 = 0</formula>
    </cfRule>
    <cfRule type="expression" dxfId="2685" priority="6">
      <formula>$K$199 &lt; 0</formula>
    </cfRule>
  </conditionalFormatting>
  <conditionalFormatting sqref="M177:O178 N199:O199">
    <cfRule type="expression" dxfId="2684" priority="1">
      <formula>$N$199 &gt; 0</formula>
    </cfRule>
    <cfRule type="expression" dxfId="2683" priority="2">
      <formula>$N$199 = 0</formula>
    </cfRule>
    <cfRule type="expression" dxfId="26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2" t="s">
        <v>0</v>
      </c>
      <c r="B1" s="263"/>
      <c r="C1" s="263"/>
      <c r="D1" s="263"/>
      <c r="E1" s="263"/>
      <c r="F1" s="264"/>
      <c r="G1" s="293">
        <v>44353</v>
      </c>
      <c r="H1" s="294"/>
      <c r="I1" s="295"/>
      <c r="J1" s="262" t="s">
        <v>1</v>
      </c>
      <c r="K1" s="263"/>
      <c r="L1" s="263"/>
      <c r="M1" s="263"/>
      <c r="N1" s="263"/>
      <c r="O1" s="264"/>
      <c r="Q1" s="262" t="s">
        <v>2</v>
      </c>
      <c r="R1" s="264"/>
    </row>
    <row r="2" spans="1:19" ht="17.25" customHeight="1">
      <c r="A2" s="117" t="s">
        <v>3</v>
      </c>
      <c r="B2" s="296" t="s">
        <v>8</v>
      </c>
      <c r="C2" s="297"/>
      <c r="D2" s="297"/>
      <c r="E2" s="297"/>
      <c r="F2" s="298"/>
      <c r="G2" s="290" t="s">
        <v>46</v>
      </c>
      <c r="H2" s="291"/>
      <c r="I2" s="292"/>
      <c r="J2" s="1" t="s">
        <v>3</v>
      </c>
      <c r="K2" s="296" t="s">
        <v>345</v>
      </c>
      <c r="L2" s="297"/>
      <c r="M2" s="297"/>
      <c r="N2" s="297"/>
      <c r="O2" s="298"/>
      <c r="Q2" s="2" t="s">
        <v>6</v>
      </c>
      <c r="R2" s="3">
        <v>0.375</v>
      </c>
    </row>
    <row r="3" spans="1:19" ht="17.25" customHeight="1" thickBot="1">
      <c r="A3" s="118" t="s">
        <v>7</v>
      </c>
      <c r="B3" s="287" t="s">
        <v>353</v>
      </c>
      <c r="C3" s="288"/>
      <c r="D3" s="288"/>
      <c r="E3" s="288"/>
      <c r="F3" s="289"/>
      <c r="G3" s="28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84"/>
      <c r="I3" s="285"/>
      <c r="J3" s="4" t="s">
        <v>7</v>
      </c>
      <c r="K3" s="287" t="s">
        <v>346</v>
      </c>
      <c r="L3" s="288"/>
      <c r="M3" s="288"/>
      <c r="N3" s="288"/>
      <c r="O3" s="28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7" t="s">
        <v>16</v>
      </c>
      <c r="C4" s="288"/>
      <c r="D4" s="288"/>
      <c r="E4" s="288"/>
      <c r="F4" s="289"/>
      <c r="G4" s="290" t="s">
        <v>44</v>
      </c>
      <c r="H4" s="291"/>
      <c r="I4" s="292"/>
      <c r="J4" s="4" t="s">
        <v>11</v>
      </c>
      <c r="K4" s="287" t="s">
        <v>347</v>
      </c>
      <c r="L4" s="288"/>
      <c r="M4" s="288"/>
      <c r="N4" s="288"/>
      <c r="O4" s="28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7" t="s">
        <v>344</v>
      </c>
      <c r="C5" s="288"/>
      <c r="D5" s="288"/>
      <c r="E5" s="288"/>
      <c r="F5" s="289"/>
      <c r="G5" s="28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84"/>
      <c r="I5" s="285"/>
      <c r="J5" s="4" t="s">
        <v>15</v>
      </c>
      <c r="K5" s="287" t="s">
        <v>348</v>
      </c>
      <c r="L5" s="288"/>
      <c r="M5" s="288"/>
      <c r="N5" s="288"/>
      <c r="O5" s="289"/>
    </row>
    <row r="6" spans="1:19">
      <c r="A6" s="118" t="s">
        <v>18</v>
      </c>
      <c r="B6" s="287"/>
      <c r="C6" s="288"/>
      <c r="D6" s="288"/>
      <c r="E6" s="288"/>
      <c r="F6" s="289"/>
      <c r="G6" s="290" t="s">
        <v>45</v>
      </c>
      <c r="H6" s="291"/>
      <c r="I6" s="292"/>
      <c r="J6" s="4" t="s">
        <v>18</v>
      </c>
      <c r="K6" s="287" t="s">
        <v>349</v>
      </c>
      <c r="L6" s="288"/>
      <c r="M6" s="288"/>
      <c r="N6" s="288"/>
      <c r="O6" s="289"/>
    </row>
    <row r="7" spans="1:19" ht="17.25" thickBot="1">
      <c r="A7" s="118" t="s">
        <v>21</v>
      </c>
      <c r="B7" s="287"/>
      <c r="C7" s="288"/>
      <c r="D7" s="288"/>
      <c r="E7" s="288"/>
      <c r="F7" s="289"/>
      <c r="G7" s="28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84"/>
      <c r="I7" s="285"/>
      <c r="J7" s="4" t="s">
        <v>21</v>
      </c>
      <c r="K7" s="287" t="s">
        <v>350</v>
      </c>
      <c r="L7" s="288"/>
      <c r="M7" s="288"/>
      <c r="N7" s="288"/>
      <c r="O7" s="289"/>
    </row>
    <row r="8" spans="1:19" ht="17.25" thickBot="1">
      <c r="A8" s="118" t="s">
        <v>24</v>
      </c>
      <c r="B8" s="287"/>
      <c r="C8" s="288"/>
      <c r="D8" s="288"/>
      <c r="E8" s="288"/>
      <c r="F8" s="289"/>
      <c r="G8" s="290" t="s">
        <v>280</v>
      </c>
      <c r="H8" s="291"/>
      <c r="I8" s="292"/>
      <c r="J8" s="4" t="s">
        <v>24</v>
      </c>
      <c r="K8" s="287"/>
      <c r="L8" s="288"/>
      <c r="M8" s="288"/>
      <c r="N8" s="288"/>
      <c r="O8" s="289"/>
      <c r="Q8" s="262" t="s">
        <v>27</v>
      </c>
      <c r="R8" s="264"/>
    </row>
    <row r="9" spans="1:19" ht="17.25" thickBot="1">
      <c r="A9" s="118" t="s">
        <v>28</v>
      </c>
      <c r="B9" s="287"/>
      <c r="C9" s="288"/>
      <c r="D9" s="288"/>
      <c r="E9" s="288"/>
      <c r="F9" s="289"/>
      <c r="G9" s="28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84"/>
      <c r="I9" s="285"/>
      <c r="J9" s="4" t="s">
        <v>28</v>
      </c>
      <c r="K9" s="287"/>
      <c r="L9" s="288"/>
      <c r="M9" s="288"/>
      <c r="N9" s="288"/>
      <c r="O9" s="289"/>
      <c r="Q9" s="2" t="s">
        <v>29</v>
      </c>
      <c r="R9" s="6">
        <v>10</v>
      </c>
    </row>
    <row r="10" spans="1:19">
      <c r="A10" s="118" t="s">
        <v>30</v>
      </c>
      <c r="B10" s="287"/>
      <c r="C10" s="288"/>
      <c r="D10" s="288"/>
      <c r="E10" s="288"/>
      <c r="F10" s="289"/>
      <c r="G10" s="290" t="s">
        <v>47</v>
      </c>
      <c r="H10" s="291"/>
      <c r="I10" s="292"/>
      <c r="J10" s="4" t="s">
        <v>30</v>
      </c>
      <c r="K10" s="287" t="s">
        <v>351</v>
      </c>
      <c r="L10" s="288"/>
      <c r="M10" s="288"/>
      <c r="N10" s="288"/>
      <c r="O10" s="289"/>
      <c r="Q10" s="2" t="s">
        <v>31</v>
      </c>
      <c r="R10" s="6">
        <v>100</v>
      </c>
    </row>
    <row r="11" spans="1:19" ht="17.25" thickBot="1">
      <c r="A11" s="119" t="s">
        <v>32</v>
      </c>
      <c r="B11" s="280" t="s">
        <v>352</v>
      </c>
      <c r="C11" s="281"/>
      <c r="D11" s="281"/>
      <c r="E11" s="281"/>
      <c r="F11" s="282"/>
      <c r="G11" s="28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84"/>
      <c r="I11" s="285"/>
      <c r="J11" s="7" t="s">
        <v>32</v>
      </c>
      <c r="K11" s="280" t="s">
        <v>343</v>
      </c>
      <c r="L11" s="281"/>
      <c r="M11" s="281"/>
      <c r="N11" s="281"/>
      <c r="O11" s="282"/>
      <c r="Q11" s="65" t="s">
        <v>33</v>
      </c>
      <c r="R11" s="8">
        <v>1000</v>
      </c>
    </row>
    <row r="12" spans="1:19" ht="17.25" thickBot="1"/>
    <row r="13" spans="1:19" ht="17.25" customHeight="1" thickBot="1">
      <c r="A13" s="262" t="s">
        <v>34</v>
      </c>
      <c r="B13" s="263"/>
      <c r="C13" s="263"/>
      <c r="D13" s="263"/>
      <c r="E13" s="263"/>
      <c r="F13" s="263"/>
      <c r="G13" s="263"/>
      <c r="H13" s="263"/>
      <c r="I13" s="263"/>
      <c r="J13" s="263"/>
      <c r="K13" s="263"/>
      <c r="L13" s="263"/>
      <c r="M13" s="263"/>
      <c r="N13" s="263"/>
      <c r="O13" s="264"/>
      <c r="Q13" s="261"/>
      <c r="R13" s="261"/>
      <c r="S13" s="261"/>
    </row>
    <row r="14" spans="1:19" ht="17.25" customHeight="1" thickBot="1">
      <c r="A14" s="180" t="s">
        <v>35</v>
      </c>
      <c r="B14" s="262" t="s">
        <v>36</v>
      </c>
      <c r="C14" s="264"/>
      <c r="D14" s="262" t="s">
        <v>37</v>
      </c>
      <c r="E14" s="263"/>
      <c r="F14" s="264"/>
      <c r="G14" s="265">
        <f>_xlfn.IFNA(VLOOKUP(B14, 현재가테이블!$B$2:$D$200, 2, FALSE), "-")</f>
        <v>40538000</v>
      </c>
      <c r="H14" s="266"/>
      <c r="I14" s="267"/>
      <c r="J14" s="262" t="s">
        <v>38</v>
      </c>
      <c r="K14" s="263"/>
      <c r="L14" s="264"/>
      <c r="M14" s="268">
        <f>_xlfn.IFNA(VLOOKUP(B14, 현재가테이블!$B$2:$D$200, 3, FALSE), "-")</f>
        <v>-3.68275993E-2</v>
      </c>
      <c r="N14" s="269"/>
      <c r="O14" s="270"/>
      <c r="Q14" s="261"/>
      <c r="R14" s="261"/>
      <c r="S14" s="261"/>
    </row>
    <row r="15" spans="1:19" ht="17.25" customHeight="1" thickBot="1">
      <c r="A15" s="299" t="s">
        <v>39</v>
      </c>
      <c r="B15" s="300" t="str">
        <f>TEXT($G$1, "[$-ko-KR]yyyy-mm-dd(ddd) ") &amp; "오전 00:00"</f>
        <v>2021-06-06(일) 오전 00:00</v>
      </c>
      <c r="C15" s="301"/>
      <c r="D15" s="275" t="str">
        <f>TEXT($G$1, "[$-ko-KR]yyyy-mm-dd(ddd) ") &amp; "오후 14:00"</f>
        <v>2021-06-06(일) 오후 14:00</v>
      </c>
      <c r="E15" s="276"/>
      <c r="F15" s="277"/>
      <c r="G15" s="275" t="str">
        <f>TEXT($G$1, "[$-ko-KR]yyyy-mm-dd(ddd) ") &amp; "오후 19:00"</f>
        <v>2021-06-06(일) 오후 19:00</v>
      </c>
      <c r="H15" s="276"/>
      <c r="I15" s="277"/>
      <c r="J15" s="275" t="str">
        <f>TEXT($G$1, "[$-ko-KR]yyyy-mm-dd(ddd) ") &amp; "오후 21:00"</f>
        <v>2021-06-06(일) 오후 21:00</v>
      </c>
      <c r="K15" s="276"/>
      <c r="L15" s="277"/>
      <c r="M15" s="275" t="str">
        <f>TEXT($G$1+1, "[$-ko-KR]yyyy-mm-dd(ddd) ") &amp; "오전 00:00"</f>
        <v>2021-06-07(월) 오전 00:00</v>
      </c>
      <c r="N15" s="276"/>
      <c r="O15" s="277"/>
      <c r="Q15" s="261"/>
      <c r="R15" s="261"/>
      <c r="S15" s="261"/>
    </row>
    <row r="16" spans="1:19" ht="17.25" customHeight="1" thickBot="1">
      <c r="A16" s="29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61"/>
      <c r="R17" s="261"/>
      <c r="S17" s="26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61"/>
      <c r="R18" s="261"/>
      <c r="S18" s="261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51"/>
      <c r="R19" s="251"/>
      <c r="S19" s="251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51"/>
      <c r="R20" s="251"/>
      <c r="S20" s="251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51"/>
      <c r="R21" s="251"/>
      <c r="S21" s="25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304">
        <v>100000</v>
      </c>
      <c r="C37" s="305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262" t="s">
        <v>44</v>
      </c>
      <c r="B40" s="263"/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4"/>
      <c r="Q40" s="261"/>
      <c r="R40" s="261"/>
      <c r="S40" s="261"/>
    </row>
    <row r="41" spans="1:19" ht="17.25" customHeight="1" thickBot="1">
      <c r="A41" s="180" t="s">
        <v>292</v>
      </c>
      <c r="B41" s="262" t="s">
        <v>49</v>
      </c>
      <c r="C41" s="264"/>
      <c r="D41" s="262" t="s">
        <v>58</v>
      </c>
      <c r="E41" s="263"/>
      <c r="F41" s="264"/>
      <c r="G41" s="265">
        <f>_xlfn.IFNA(VLOOKUP(B41, 현재가테이블!$B$2:$D$200, 2, FALSE), "-")</f>
        <v>40538000</v>
      </c>
      <c r="H41" s="266"/>
      <c r="I41" s="267"/>
      <c r="J41" s="262" t="s">
        <v>59</v>
      </c>
      <c r="K41" s="263"/>
      <c r="L41" s="264"/>
      <c r="M41" s="268">
        <f>_xlfn.IFNA(VLOOKUP(B41, 현재가테이블!$B$2:$D$200, 3, FALSE), "-")</f>
        <v>-3.68275993E-2</v>
      </c>
      <c r="N41" s="269"/>
      <c r="O41" s="270"/>
      <c r="Q41" s="261"/>
      <c r="R41" s="261"/>
      <c r="S41" s="261"/>
    </row>
    <row r="42" spans="1:19" ht="17.25" customHeight="1" thickBot="1">
      <c r="A42" s="306" t="s">
        <v>55</v>
      </c>
      <c r="B42" s="302" t="str">
        <f>TEXT($G$1, "[$-ko-KR]yyyy-mm-dd(ddd) ") &amp; "오전 00:00"</f>
        <v>2021-06-06(일) 오전 00:00</v>
      </c>
      <c r="C42" s="303"/>
      <c r="D42" s="275" t="str">
        <f>TEXT($G$1, "[$-ko-KR]yyyy-mm-dd(ddd) ") &amp; "오후 14:00"</f>
        <v>2021-06-06(일) 오후 14:00</v>
      </c>
      <c r="E42" s="276"/>
      <c r="F42" s="277"/>
      <c r="G42" s="275" t="str">
        <f>TEXT($G$1, "[$-ko-KR]yyyy-mm-dd(ddd) ") &amp; "오후 19:00"</f>
        <v>2021-06-06(일) 오후 19:00</v>
      </c>
      <c r="H42" s="276"/>
      <c r="I42" s="277"/>
      <c r="J42" s="275" t="str">
        <f>TEXT($G$1, "[$-ko-KR]yyyy-mm-dd(ddd) ") &amp; "오후 21:00"</f>
        <v>2021-06-06(일) 오후 21:00</v>
      </c>
      <c r="K42" s="276"/>
      <c r="L42" s="277"/>
      <c r="M42" s="275" t="str">
        <f>TEXT($G$1+1, "[$-ko-KR]yyyy-mm-dd(ddd) ") &amp; "오전 00:00"</f>
        <v>2021-06-07(월) 오전 00:00</v>
      </c>
      <c r="N42" s="276"/>
      <c r="O42" s="277"/>
      <c r="Q42" s="261"/>
      <c r="R42" s="261"/>
      <c r="S42" s="261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1" t="s">
        <v>58</v>
      </c>
      <c r="H43" s="182" t="s">
        <v>293</v>
      </c>
      <c r="I43" s="18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1"/>
      <c r="R43" s="251"/>
      <c r="S43" s="251"/>
    </row>
    <row r="44" spans="1:19" ht="17.25" customHeight="1" thickBot="1">
      <c r="A44" s="161" t="s">
        <v>185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61"/>
      <c r="R44" s="261"/>
      <c r="S44" s="261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61"/>
      <c r="R45" s="261"/>
      <c r="S45" s="261"/>
    </row>
    <row r="46" spans="1:19" ht="17.25" customHeight="1" thickBot="1">
      <c r="A46" s="162" t="s">
        <v>171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51"/>
      <c r="R46" s="251"/>
      <c r="S46" s="251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51"/>
      <c r="R47" s="251"/>
      <c r="S47" s="251"/>
    </row>
    <row r="48" spans="1:19" ht="17.25" customHeight="1" thickBot="1">
      <c r="A48" s="163" t="s">
        <v>195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51"/>
      <c r="R48" s="251"/>
      <c r="S48" s="251"/>
    </row>
    <row r="49" spans="1:19" ht="17.25" customHeight="1" thickBot="1">
      <c r="A49" s="162" t="s">
        <v>219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51"/>
      <c r="R49" s="251"/>
      <c r="S49" s="251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51"/>
      <c r="R50" s="251"/>
      <c r="S50" s="251"/>
    </row>
    <row r="51" spans="1:19" ht="17.25" customHeight="1" thickBot="1">
      <c r="A51" s="162" t="s">
        <v>217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51"/>
      <c r="R51" s="251"/>
      <c r="S51" s="251"/>
    </row>
    <row r="52" spans="1:19" ht="17.25" customHeight="1" thickBot="1">
      <c r="A52" s="162" t="s">
        <v>225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233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52"/>
      <c r="R53" s="253"/>
      <c r="S53" s="254"/>
    </row>
    <row r="54" spans="1:19" ht="17.25" customHeight="1">
      <c r="A54" s="161" t="s">
        <v>261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55"/>
      <c r="R54" s="256"/>
      <c r="S54" s="257"/>
    </row>
    <row r="55" spans="1:19" ht="17.25" customHeight="1" thickBot="1">
      <c r="A55" s="162" t="s">
        <v>249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58"/>
      <c r="R55" s="259"/>
      <c r="S55" s="260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51"/>
      <c r="R56" s="251"/>
      <c r="S56" s="251"/>
    </row>
    <row r="57" spans="1:19" ht="17.25" customHeight="1" thickBot="1">
      <c r="A57" s="162" t="s">
        <v>263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61"/>
      <c r="R57" s="261"/>
      <c r="S57" s="261"/>
    </row>
    <row r="58" spans="1:19" ht="17.25" customHeight="1" thickBot="1">
      <c r="A58" s="163" t="s">
        <v>212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61"/>
      <c r="R58" s="261"/>
      <c r="S58" s="261"/>
    </row>
    <row r="59" spans="1:19" ht="17.25" customHeight="1" thickBot="1">
      <c r="A59" s="162" t="s">
        <v>215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51"/>
      <c r="R59" s="251"/>
      <c r="S59" s="251"/>
    </row>
    <row r="60" spans="1:19" ht="17.25" customHeight="1" thickBot="1">
      <c r="A60" s="162" t="s">
        <v>197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51"/>
      <c r="R60" s="251"/>
      <c r="S60" s="251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51"/>
      <c r="R61" s="251"/>
      <c r="S61" s="251"/>
    </row>
    <row r="62" spans="1:19" ht="17.25" customHeight="1">
      <c r="A62" s="162" t="s">
        <v>255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40"/>
      <c r="R62" s="241"/>
      <c r="S62" s="242"/>
    </row>
    <row r="63" spans="1:19" ht="17.25" customHeight="1" thickBot="1">
      <c r="A63" s="130" t="s">
        <v>273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43"/>
      <c r="R63" s="244"/>
      <c r="S63" s="245"/>
    </row>
    <row r="64" spans="1:19" ht="17.25" customHeight="1" thickBot="1">
      <c r="A64" s="132" t="s">
        <v>295</v>
      </c>
      <c r="B64" s="304">
        <f>$B$37</f>
        <v>100000</v>
      </c>
      <c r="C64" s="305"/>
      <c r="D64" s="26" t="s">
        <v>296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296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296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296</v>
      </c>
      <c r="N64" s="27">
        <f>IF(COUNT(N44:N63), SUM(N44:N63) / COUNT(N44:N63), 0)</f>
        <v>3.166749302247894E-2</v>
      </c>
      <c r="O64" s="28">
        <f>SUM(O44:O63)</f>
        <v>63334.98604495787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262" t="s">
        <v>45</v>
      </c>
      <c r="B67" s="263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4"/>
      <c r="Q67" s="261"/>
      <c r="R67" s="261"/>
      <c r="S67" s="261"/>
    </row>
    <row r="68" spans="1:19" ht="17.25" thickBot="1">
      <c r="A68" s="180" t="s">
        <v>292</v>
      </c>
      <c r="B68" s="262" t="s">
        <v>49</v>
      </c>
      <c r="C68" s="264"/>
      <c r="D68" s="262" t="s">
        <v>58</v>
      </c>
      <c r="E68" s="263"/>
      <c r="F68" s="264"/>
      <c r="G68" s="265">
        <f>_xlfn.IFNA(VLOOKUP(B68, 현재가테이블!$B$2:$D$200, 2, FALSE), "-")</f>
        <v>40538000</v>
      </c>
      <c r="H68" s="266"/>
      <c r="I68" s="267"/>
      <c r="J68" s="262" t="s">
        <v>59</v>
      </c>
      <c r="K68" s="263"/>
      <c r="L68" s="264"/>
      <c r="M68" s="268">
        <f>_xlfn.IFNA(VLOOKUP(B68, 현재가테이블!$B$2:$D$200, 3, FALSE), "-")</f>
        <v>-3.68275993E-2</v>
      </c>
      <c r="N68" s="269"/>
      <c r="O68" s="270"/>
      <c r="Q68" s="261"/>
      <c r="R68" s="261"/>
      <c r="S68" s="261"/>
    </row>
    <row r="69" spans="1:19" ht="17.25" thickBot="1">
      <c r="A69" s="306" t="s">
        <v>55</v>
      </c>
      <c r="B69" s="302" t="str">
        <f>TEXT($G$1, "[$-ko-KR]yyyy-mm-dd(ddd) ") &amp; "오전 00:00"</f>
        <v>2021-06-06(일) 오전 00:00</v>
      </c>
      <c r="C69" s="303"/>
      <c r="D69" s="275" t="str">
        <f>TEXT($G$1, "[$-ko-KR]yyyy-mm-dd(ddd) ") &amp; "오후 14:00"</f>
        <v>2021-06-06(일) 오후 14:00</v>
      </c>
      <c r="E69" s="276"/>
      <c r="F69" s="277"/>
      <c r="G69" s="275" t="str">
        <f>TEXT($G$1, "[$-ko-KR]yyyy-mm-dd(ddd) ") &amp; "오후 19:00"</f>
        <v>2021-06-06(일) 오후 19:00</v>
      </c>
      <c r="H69" s="276"/>
      <c r="I69" s="277"/>
      <c r="J69" s="275" t="str">
        <f>TEXT($G$1, "[$-ko-KR]yyyy-mm-dd(ddd) ") &amp; "오후 21:00"</f>
        <v>2021-06-06(일) 오후 21:00</v>
      </c>
      <c r="K69" s="276"/>
      <c r="L69" s="277"/>
      <c r="M69" s="275" t="str">
        <f>TEXT($G$1+1, "[$-ko-KR]yyyy-mm-dd(ddd) ") &amp; "오전 00:00"</f>
        <v>2021-06-07(월) 오전 00:00</v>
      </c>
      <c r="N69" s="276"/>
      <c r="O69" s="277"/>
      <c r="Q69" s="261"/>
      <c r="R69" s="261"/>
      <c r="S69" s="261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1" t="s">
        <v>58</v>
      </c>
      <c r="H70" s="182" t="s">
        <v>293</v>
      </c>
      <c r="I70" s="18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1"/>
      <c r="R70" s="251"/>
      <c r="S70" s="251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61"/>
      <c r="R71" s="261"/>
      <c r="S71" s="261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61"/>
      <c r="R72" s="261"/>
      <c r="S72" s="261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51"/>
      <c r="R73" s="251"/>
      <c r="S73" s="251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51"/>
      <c r="R74" s="251"/>
      <c r="S74" s="251"/>
    </row>
    <row r="75" spans="1:19" ht="17.25" thickBot="1">
      <c r="A75" s="163" t="s">
        <v>291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51"/>
      <c r="R75" s="251"/>
      <c r="S75" s="251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51"/>
      <c r="R76" s="251"/>
      <c r="S76" s="251"/>
    </row>
    <row r="77" spans="1:19" ht="17.25" thickBot="1">
      <c r="A77" s="162" t="s">
        <v>229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51"/>
      <c r="R77" s="251"/>
      <c r="S77" s="251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51"/>
      <c r="R78" s="251"/>
      <c r="S78" s="251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52"/>
      <c r="R80" s="253"/>
      <c r="S80" s="254"/>
    </row>
    <row r="81" spans="1:19">
      <c r="A81" s="161" t="s">
        <v>257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55"/>
      <c r="R81" s="256"/>
      <c r="S81" s="257"/>
    </row>
    <row r="82" spans="1:19" ht="17.25" thickBot="1">
      <c r="A82" s="162" t="s">
        <v>242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58"/>
      <c r="R82" s="259"/>
      <c r="S82" s="260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51"/>
      <c r="R83" s="251"/>
      <c r="S83" s="251"/>
    </row>
    <row r="84" spans="1:19" ht="17.25" thickBot="1">
      <c r="A84" s="162" t="s">
        <v>277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61"/>
      <c r="R84" s="261"/>
      <c r="S84" s="261"/>
    </row>
    <row r="85" spans="1:19" ht="17.25" thickBot="1">
      <c r="A85" s="163" t="s">
        <v>201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61"/>
      <c r="R85" s="261"/>
      <c r="S85" s="261"/>
    </row>
    <row r="86" spans="1:19" ht="17.25" thickBot="1">
      <c r="A86" s="162" t="s">
        <v>214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51"/>
      <c r="R86" s="251"/>
      <c r="S86" s="251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51"/>
      <c r="R87" s="251"/>
      <c r="S87" s="251"/>
    </row>
    <row r="88" spans="1:19" ht="17.25" thickBot="1">
      <c r="A88" s="162" t="s">
        <v>227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51"/>
      <c r="R88" s="251"/>
      <c r="S88" s="251"/>
    </row>
    <row r="89" spans="1:19">
      <c r="A89" s="162" t="s">
        <v>173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40"/>
      <c r="R89" s="241"/>
      <c r="S89" s="242"/>
    </row>
    <row r="90" spans="1:19" ht="17.25" thickBot="1">
      <c r="A90" s="130" t="s">
        <v>234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43"/>
      <c r="R90" s="244"/>
      <c r="S90" s="245"/>
    </row>
    <row r="91" spans="1:19" ht="17.25" thickBot="1">
      <c r="A91" s="132" t="s">
        <v>295</v>
      </c>
      <c r="B91" s="304">
        <f>$B$37</f>
        <v>100000</v>
      </c>
      <c r="C91" s="305"/>
      <c r="D91" s="26" t="s">
        <v>296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296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296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296</v>
      </c>
      <c r="N91" s="27">
        <f>IF(COUNT(N71:N90), SUM(N71:N90) / COUNT(N71:N90), 0)</f>
        <v>6.4065985974526797E-3</v>
      </c>
      <c r="O91" s="28">
        <f>SUM(O71:O90)</f>
        <v>12813.197194905359</v>
      </c>
      <c r="Q91" s="246"/>
      <c r="R91" s="247"/>
      <c r="S91" s="248"/>
    </row>
    <row r="93" spans="1:19" ht="17.25" thickBot="1"/>
    <row r="94" spans="1:19" ht="17.25" thickBot="1">
      <c r="A94" s="262" t="s">
        <v>46</v>
      </c>
      <c r="B94" s="263"/>
      <c r="C94" s="263"/>
      <c r="D94" s="263"/>
      <c r="E94" s="263"/>
      <c r="F94" s="263"/>
      <c r="G94" s="263"/>
      <c r="H94" s="263"/>
      <c r="I94" s="263"/>
      <c r="J94" s="263"/>
      <c r="K94" s="263"/>
      <c r="L94" s="263"/>
      <c r="M94" s="263"/>
      <c r="N94" s="263"/>
      <c r="O94" s="264"/>
      <c r="Q94" s="261"/>
      <c r="R94" s="261"/>
      <c r="S94" s="261"/>
    </row>
    <row r="95" spans="1:19" ht="17.25" thickBot="1">
      <c r="A95" s="180" t="s">
        <v>292</v>
      </c>
      <c r="B95" s="262" t="s">
        <v>49</v>
      </c>
      <c r="C95" s="264"/>
      <c r="D95" s="262" t="s">
        <v>58</v>
      </c>
      <c r="E95" s="263"/>
      <c r="F95" s="264"/>
      <c r="G95" s="265">
        <f>_xlfn.IFNA(VLOOKUP(B95, 현재가테이블!$B$2:$D$200, 2, FALSE), "-")</f>
        <v>40538000</v>
      </c>
      <c r="H95" s="266"/>
      <c r="I95" s="267"/>
      <c r="J95" s="262" t="s">
        <v>59</v>
      </c>
      <c r="K95" s="263"/>
      <c r="L95" s="264"/>
      <c r="M95" s="268">
        <f>_xlfn.IFNA(VLOOKUP(B95, 현재가테이블!$B$2:$D$200, 3, FALSE), "-")</f>
        <v>-3.68275993E-2</v>
      </c>
      <c r="N95" s="269"/>
      <c r="O95" s="270"/>
      <c r="Q95" s="261"/>
      <c r="R95" s="261"/>
      <c r="S95" s="261"/>
    </row>
    <row r="96" spans="1:19" ht="17.25" thickBot="1">
      <c r="A96" s="306" t="s">
        <v>55</v>
      </c>
      <c r="B96" s="302" t="str">
        <f>TEXT($G$1, "[$-ko-KR]yyyy-mm-dd(ddd) ") &amp; "오전 00:00"</f>
        <v>2021-06-06(일) 오전 00:00</v>
      </c>
      <c r="C96" s="303"/>
      <c r="D96" s="275" t="str">
        <f>TEXT($G$1, "[$-ko-KR]yyyy-mm-dd(ddd) ") &amp; "오후 14:00"</f>
        <v>2021-06-06(일) 오후 14:00</v>
      </c>
      <c r="E96" s="276"/>
      <c r="F96" s="277"/>
      <c r="G96" s="275" t="str">
        <f>TEXT($G$1, "[$-ko-KR]yyyy-mm-dd(ddd) ") &amp; "오후 19:00"</f>
        <v>2021-06-06(일) 오후 19:00</v>
      </c>
      <c r="H96" s="276"/>
      <c r="I96" s="277"/>
      <c r="J96" s="275" t="str">
        <f>TEXT($G$1, "[$-ko-KR]yyyy-mm-dd(ddd) ") &amp; "오후 21:00"</f>
        <v>2021-06-06(일) 오후 21:00</v>
      </c>
      <c r="K96" s="276"/>
      <c r="L96" s="277"/>
      <c r="M96" s="275" t="str">
        <f>TEXT($G$1+1, "[$-ko-KR]yyyy-mm-dd(ddd) ") &amp; "오전 00:00"</f>
        <v>2021-06-07(월) 오전 00:00</v>
      </c>
      <c r="N96" s="276"/>
      <c r="O96" s="277"/>
      <c r="Q96" s="261"/>
      <c r="R96" s="261"/>
      <c r="S96" s="261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1" t="s">
        <v>58</v>
      </c>
      <c r="H97" s="182" t="s">
        <v>293</v>
      </c>
      <c r="I97" s="18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1"/>
      <c r="R97" s="251"/>
      <c r="S97" s="251"/>
    </row>
    <row r="98" spans="1:19" ht="17.25" thickBot="1">
      <c r="A98" s="161" t="s">
        <v>185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61"/>
      <c r="R98" s="261"/>
      <c r="S98" s="261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61"/>
      <c r="R99" s="261"/>
      <c r="S99" s="261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51"/>
      <c r="R100" s="251"/>
      <c r="S100" s="251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51"/>
      <c r="R101" s="251"/>
      <c r="S101" s="251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51"/>
      <c r="R102" s="251"/>
      <c r="S102" s="251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51"/>
      <c r="R103" s="251"/>
      <c r="S103" s="251"/>
    </row>
    <row r="104" spans="1:19" ht="17.25" thickBot="1">
      <c r="A104" s="162" t="s">
        <v>163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51"/>
      <c r="R104" s="251"/>
      <c r="S104" s="251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51"/>
      <c r="R105" s="251"/>
      <c r="S105" s="251"/>
    </row>
    <row r="106" spans="1:19" ht="17.25" thickBot="1">
      <c r="A106" s="162" t="s">
        <v>171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52"/>
      <c r="R107" s="253"/>
      <c r="S107" s="254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55"/>
      <c r="R108" s="256"/>
      <c r="S108" s="257"/>
    </row>
    <row r="109" spans="1:19" ht="17.25" thickBot="1">
      <c r="A109" s="162" t="s">
        <v>291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58"/>
      <c r="R109" s="259"/>
      <c r="S109" s="260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51"/>
      <c r="R110" s="251"/>
      <c r="S110" s="251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61"/>
      <c r="R111" s="261"/>
      <c r="S111" s="261"/>
    </row>
    <row r="112" spans="1:19" ht="17.25" thickBot="1">
      <c r="A112" s="163" t="s">
        <v>269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61"/>
      <c r="R112" s="261"/>
      <c r="S112" s="261"/>
    </row>
    <row r="113" spans="1:19" ht="17.25" thickBot="1">
      <c r="A113" s="162" t="s">
        <v>177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51"/>
      <c r="R113" s="251"/>
      <c r="S113" s="251"/>
    </row>
    <row r="114" spans="1:19" ht="17.25" thickBot="1">
      <c r="A114" s="162" t="s">
        <v>229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51"/>
      <c r="R114" s="251"/>
      <c r="S114" s="251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51"/>
      <c r="R115" s="251"/>
      <c r="S115" s="251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40"/>
      <c r="R116" s="241"/>
      <c r="S116" s="242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43"/>
      <c r="R117" s="244"/>
      <c r="S117" s="245"/>
    </row>
    <row r="118" spans="1:19" ht="17.25" thickBot="1">
      <c r="A118" s="132" t="s">
        <v>295</v>
      </c>
      <c r="B118" s="304">
        <f>$B$37</f>
        <v>100000</v>
      </c>
      <c r="C118" s="305"/>
      <c r="D118" s="26" t="s">
        <v>296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296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296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296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46"/>
      <c r="R118" s="247"/>
      <c r="S118" s="248"/>
    </row>
    <row r="120" spans="1:19" ht="17.25" thickBot="1"/>
    <row r="121" spans="1:19" ht="17.25" thickBot="1">
      <c r="A121" s="262" t="s">
        <v>283</v>
      </c>
      <c r="B121" s="263"/>
      <c r="C121" s="263"/>
      <c r="D121" s="263"/>
      <c r="E121" s="263"/>
      <c r="F121" s="263"/>
      <c r="G121" s="263"/>
      <c r="H121" s="263"/>
      <c r="I121" s="263"/>
      <c r="J121" s="263"/>
      <c r="K121" s="263"/>
      <c r="L121" s="263"/>
      <c r="M121" s="263"/>
      <c r="N121" s="263"/>
      <c r="O121" s="264"/>
      <c r="Q121" s="261"/>
      <c r="R121" s="261"/>
      <c r="S121" s="261"/>
    </row>
    <row r="122" spans="1:19" ht="17.25" thickBot="1">
      <c r="A122" s="180" t="s">
        <v>292</v>
      </c>
      <c r="B122" s="262" t="s">
        <v>49</v>
      </c>
      <c r="C122" s="264"/>
      <c r="D122" s="262" t="s">
        <v>58</v>
      </c>
      <c r="E122" s="263"/>
      <c r="F122" s="264"/>
      <c r="G122" s="265">
        <f>_xlfn.IFNA(VLOOKUP(B122, 현재가테이블!$B$2:$D$200, 2, FALSE), "-")</f>
        <v>40538000</v>
      </c>
      <c r="H122" s="266"/>
      <c r="I122" s="267"/>
      <c r="J122" s="262" t="s">
        <v>59</v>
      </c>
      <c r="K122" s="263"/>
      <c r="L122" s="264"/>
      <c r="M122" s="268">
        <f>_xlfn.IFNA(VLOOKUP(B122, 현재가테이블!$B$2:$D$200, 3, FALSE), "-")</f>
        <v>-3.68275993E-2</v>
      </c>
      <c r="N122" s="269"/>
      <c r="O122" s="270"/>
      <c r="Q122" s="261"/>
      <c r="R122" s="261"/>
      <c r="S122" s="261"/>
    </row>
    <row r="123" spans="1:19" ht="17.25" thickBot="1">
      <c r="A123" s="306" t="s">
        <v>55</v>
      </c>
      <c r="B123" s="302" t="str">
        <f>TEXT($G$1, "[$-ko-KR]yyyy-mm-dd(ddd) ") &amp; "오전 00:00"</f>
        <v>2021-06-06(일) 오전 00:00</v>
      </c>
      <c r="C123" s="303"/>
      <c r="D123" s="275" t="str">
        <f>TEXT($G$1, "[$-ko-KR]yyyy-mm-dd(ddd) ") &amp; "오후 14:00"</f>
        <v>2021-06-06(일) 오후 14:00</v>
      </c>
      <c r="E123" s="276"/>
      <c r="F123" s="277"/>
      <c r="G123" s="275" t="str">
        <f>TEXT($G$1, "[$-ko-KR]yyyy-mm-dd(ddd) ") &amp; "오후 19:00"</f>
        <v>2021-06-06(일) 오후 19:00</v>
      </c>
      <c r="H123" s="276"/>
      <c r="I123" s="277"/>
      <c r="J123" s="275" t="str">
        <f>TEXT($G$1, "[$-ko-KR]yyyy-mm-dd(ddd) ") &amp; "오후 21:00"</f>
        <v>2021-06-06(일) 오후 21:00</v>
      </c>
      <c r="K123" s="276"/>
      <c r="L123" s="277"/>
      <c r="M123" s="275" t="str">
        <f>TEXT($G$1+1, "[$-ko-KR]yyyy-mm-dd(ddd) ") &amp; "오전 00:00"</f>
        <v>2021-06-07(월) 오전 00:00</v>
      </c>
      <c r="N123" s="276"/>
      <c r="O123" s="277"/>
      <c r="Q123" s="261"/>
      <c r="R123" s="261"/>
      <c r="S123" s="261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1" t="s">
        <v>58</v>
      </c>
      <c r="H124" s="182" t="s">
        <v>293</v>
      </c>
      <c r="I124" s="18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1"/>
      <c r="R124" s="251"/>
      <c r="S124" s="251"/>
    </row>
    <row r="125" spans="1:19" ht="17.25" thickBot="1">
      <c r="A125" s="161" t="s">
        <v>219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61"/>
      <c r="R125" s="261"/>
      <c r="S125" s="261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61"/>
      <c r="R126" s="261"/>
      <c r="S126" s="261"/>
    </row>
    <row r="127" spans="1:19" ht="17.25" thickBot="1">
      <c r="A127" s="162" t="s">
        <v>217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51"/>
      <c r="R127" s="251"/>
      <c r="S127" s="251"/>
    </row>
    <row r="128" spans="1:19" ht="17.25" thickBot="1">
      <c r="A128" s="162" t="s">
        <v>225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51"/>
      <c r="R128" s="251"/>
      <c r="S128" s="251"/>
    </row>
    <row r="129" spans="1:19" ht="17.25" thickBot="1">
      <c r="A129" s="163" t="s">
        <v>233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51"/>
      <c r="R129" s="251"/>
      <c r="S129" s="251"/>
    </row>
    <row r="130" spans="1:19" ht="17.25" thickBot="1">
      <c r="A130" s="162" t="s">
        <v>261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51"/>
      <c r="R130" s="251"/>
      <c r="S130" s="251"/>
    </row>
    <row r="131" spans="1:19" ht="17.25" thickBot="1">
      <c r="A131" s="162" t="s">
        <v>249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51"/>
      <c r="R131" s="251"/>
      <c r="S131" s="251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51"/>
      <c r="R132" s="251"/>
      <c r="S132" s="251"/>
    </row>
    <row r="133" spans="1:19" ht="17.25" thickBot="1">
      <c r="A133" s="162" t="s">
        <v>263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212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52"/>
      <c r="R134" s="253"/>
      <c r="S134" s="254"/>
    </row>
    <row r="135" spans="1:19">
      <c r="A135" s="161" t="s">
        <v>215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55"/>
      <c r="R135" s="256"/>
      <c r="S135" s="257"/>
    </row>
    <row r="136" spans="1:19" ht="17.25" thickBot="1">
      <c r="A136" s="162" t="s">
        <v>197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58"/>
      <c r="R136" s="259"/>
      <c r="S136" s="260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51"/>
      <c r="R137" s="251"/>
      <c r="S137" s="251"/>
    </row>
    <row r="138" spans="1:19" ht="17.25" thickBot="1">
      <c r="A138" s="162" t="s">
        <v>255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61"/>
      <c r="R138" s="261"/>
      <c r="S138" s="261"/>
    </row>
    <row r="139" spans="1:19" ht="17.25" thickBot="1">
      <c r="A139" s="163" t="s">
        <v>273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61"/>
      <c r="R139" s="261"/>
      <c r="S139" s="261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51"/>
      <c r="R140" s="251"/>
      <c r="S140" s="251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51"/>
      <c r="R141" s="251"/>
      <c r="S141" s="251"/>
    </row>
    <row r="142" spans="1:19" ht="17.25" thickBot="1">
      <c r="A142" s="162" t="s">
        <v>259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51"/>
      <c r="R142" s="251"/>
      <c r="S142" s="251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40"/>
      <c r="R143" s="241"/>
      <c r="S143" s="242"/>
    </row>
    <row r="144" spans="1:19" ht="17.25" thickBot="1">
      <c r="A144" s="130" t="s">
        <v>210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43"/>
      <c r="R144" s="244"/>
      <c r="S144" s="245"/>
    </row>
    <row r="145" spans="1:19" ht="17.25" thickBot="1">
      <c r="A145" s="132" t="s">
        <v>295</v>
      </c>
      <c r="B145" s="304">
        <f>$B$37</f>
        <v>100000</v>
      </c>
      <c r="C145" s="305"/>
      <c r="D145" s="26" t="s">
        <v>296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296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296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296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46"/>
      <c r="R145" s="247"/>
      <c r="S145" s="248"/>
    </row>
    <row r="147" spans="1:19" ht="17.25" thickBot="1"/>
    <row r="148" spans="1:19" ht="17.25" thickBot="1">
      <c r="A148" s="262" t="s">
        <v>284</v>
      </c>
      <c r="B148" s="263"/>
      <c r="C148" s="263"/>
      <c r="D148" s="263"/>
      <c r="E148" s="263"/>
      <c r="F148" s="263"/>
      <c r="G148" s="263"/>
      <c r="H148" s="263"/>
      <c r="I148" s="263"/>
      <c r="J148" s="263"/>
      <c r="K148" s="263"/>
      <c r="L148" s="263"/>
      <c r="M148" s="263"/>
      <c r="N148" s="263"/>
      <c r="O148" s="264"/>
      <c r="Q148" s="261"/>
      <c r="R148" s="261"/>
      <c r="S148" s="261"/>
    </row>
    <row r="149" spans="1:19" ht="17.25" thickBot="1">
      <c r="A149" s="180" t="s">
        <v>292</v>
      </c>
      <c r="B149" s="262" t="s">
        <v>49</v>
      </c>
      <c r="C149" s="264"/>
      <c r="D149" s="262" t="s">
        <v>58</v>
      </c>
      <c r="E149" s="263"/>
      <c r="F149" s="264"/>
      <c r="G149" s="265">
        <f>_xlfn.IFNA(VLOOKUP(B149, 현재가테이블!$B$2:$D$200, 2, FALSE), "-")</f>
        <v>40538000</v>
      </c>
      <c r="H149" s="266"/>
      <c r="I149" s="267"/>
      <c r="J149" s="262" t="s">
        <v>59</v>
      </c>
      <c r="K149" s="263"/>
      <c r="L149" s="264"/>
      <c r="M149" s="268">
        <f>_xlfn.IFNA(VLOOKUP(B149, 현재가테이블!$B$2:$D$200, 3, FALSE), "-")</f>
        <v>-3.68275993E-2</v>
      </c>
      <c r="N149" s="269"/>
      <c r="O149" s="270"/>
      <c r="Q149" s="261"/>
      <c r="R149" s="261"/>
      <c r="S149" s="261"/>
    </row>
    <row r="150" spans="1:19" ht="17.25" thickBot="1">
      <c r="A150" s="306" t="s">
        <v>55</v>
      </c>
      <c r="B150" s="302" t="str">
        <f>TEXT($G$1, "[$-ko-KR]yyyy-mm-dd(ddd) ") &amp; "오전 00:00"</f>
        <v>2021-06-06(일) 오전 00:00</v>
      </c>
      <c r="C150" s="303"/>
      <c r="D150" s="275" t="str">
        <f>TEXT($G$1, "[$-ko-KR]yyyy-mm-dd(ddd) ") &amp; "오후 14:00"</f>
        <v>2021-06-06(일) 오후 14:00</v>
      </c>
      <c r="E150" s="276"/>
      <c r="F150" s="277"/>
      <c r="G150" s="275" t="str">
        <f>TEXT($G$1, "[$-ko-KR]yyyy-mm-dd(ddd) ") &amp; "오후 19:00"</f>
        <v>2021-06-06(일) 오후 19:00</v>
      </c>
      <c r="H150" s="276"/>
      <c r="I150" s="277"/>
      <c r="J150" s="275" t="str">
        <f>TEXT($G$1, "[$-ko-KR]yyyy-mm-dd(ddd) ") &amp; "오후 21:00"</f>
        <v>2021-06-06(일) 오후 21:00</v>
      </c>
      <c r="K150" s="276"/>
      <c r="L150" s="277"/>
      <c r="M150" s="275" t="str">
        <f>TEXT($G$1+1, "[$-ko-KR]yyyy-mm-dd(ddd) ") &amp; "오전 00:00"</f>
        <v>2021-06-07(월) 오전 00:00</v>
      </c>
      <c r="N150" s="276"/>
      <c r="O150" s="277"/>
      <c r="Q150" s="261"/>
      <c r="R150" s="261"/>
      <c r="S150" s="261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1" t="s">
        <v>58</v>
      </c>
      <c r="H151" s="182" t="s">
        <v>293</v>
      </c>
      <c r="I151" s="18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1"/>
      <c r="R151" s="251"/>
      <c r="S151" s="251"/>
    </row>
    <row r="152" spans="1:19" ht="17.25" thickBot="1">
      <c r="A152" s="161" t="s">
        <v>279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61"/>
      <c r="R152" s="261"/>
      <c r="S152" s="261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61"/>
      <c r="R153" s="261"/>
      <c r="S153" s="261"/>
    </row>
    <row r="154" spans="1:19" ht="17.25" thickBot="1">
      <c r="A154" s="162" t="s">
        <v>231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51"/>
      <c r="R154" s="251"/>
      <c r="S154" s="251"/>
    </row>
    <row r="155" spans="1:19" ht="17.25" thickBot="1">
      <c r="A155" s="162" t="s">
        <v>253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51"/>
      <c r="R155" s="251"/>
      <c r="S155" s="251"/>
    </row>
    <row r="156" spans="1:19" ht="17.25" thickBot="1">
      <c r="A156" s="163" t="s">
        <v>181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51"/>
      <c r="R156" s="251"/>
      <c r="S156" s="251"/>
    </row>
    <row r="157" spans="1:19" ht="17.25" thickBot="1">
      <c r="A157" s="162" t="s">
        <v>236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51"/>
      <c r="R157" s="251"/>
      <c r="S157" s="251"/>
    </row>
    <row r="158" spans="1:19" ht="17.25" thickBot="1">
      <c r="A158" s="162" t="s">
        <v>206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51"/>
      <c r="R158" s="251"/>
      <c r="S158" s="251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51"/>
      <c r="R159" s="251"/>
      <c r="S159" s="251"/>
    </row>
    <row r="160" spans="1:19" ht="17.25" thickBot="1">
      <c r="A160" s="162" t="s">
        <v>199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169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52"/>
      <c r="R161" s="253"/>
      <c r="S161" s="254"/>
    </row>
    <row r="162" spans="1:19">
      <c r="A162" s="161" t="s">
        <v>223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55"/>
      <c r="R162" s="256"/>
      <c r="S162" s="257"/>
    </row>
    <row r="163" spans="1:19" ht="17.25" thickBot="1">
      <c r="A163" s="162" t="s">
        <v>246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58"/>
      <c r="R163" s="259"/>
      <c r="S163" s="260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51"/>
      <c r="R164" s="251"/>
      <c r="S164" s="251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61"/>
      <c r="R165" s="261"/>
      <c r="S165" s="261"/>
    </row>
    <row r="166" spans="1:19" ht="17.25" thickBot="1">
      <c r="A166" s="163" t="s">
        <v>167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61"/>
      <c r="R166" s="261"/>
      <c r="S166" s="261"/>
    </row>
    <row r="167" spans="1:19" ht="17.25" thickBot="1">
      <c r="A167" s="162" t="s">
        <v>265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51"/>
      <c r="R167" s="251"/>
      <c r="S167" s="251"/>
    </row>
    <row r="168" spans="1:19" ht="17.25" thickBot="1">
      <c r="A168" s="162" t="s">
        <v>208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51"/>
      <c r="R168" s="251"/>
      <c r="S168" s="251"/>
    </row>
    <row r="169" spans="1:19" ht="17.25" thickBot="1">
      <c r="A169" s="162" t="s">
        <v>251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51"/>
      <c r="R169" s="251"/>
      <c r="S169" s="251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40"/>
      <c r="R170" s="241"/>
      <c r="S170" s="242"/>
    </row>
    <row r="171" spans="1:19" ht="17.25" thickBot="1">
      <c r="A171" s="130" t="s">
        <v>248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43"/>
      <c r="R171" s="244"/>
      <c r="S171" s="245"/>
    </row>
    <row r="172" spans="1:19" ht="17.25" thickBot="1">
      <c r="A172" s="132" t="s">
        <v>295</v>
      </c>
      <c r="B172" s="304">
        <f>$B$37</f>
        <v>100000</v>
      </c>
      <c r="C172" s="305"/>
      <c r="D172" s="26" t="s">
        <v>296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296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296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296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46"/>
      <c r="R172" s="247"/>
      <c r="S172" s="248"/>
    </row>
    <row r="174" spans="1:19" ht="17.25" thickBot="1"/>
    <row r="175" spans="1:19" ht="17.25" thickBot="1">
      <c r="A175" s="262" t="s">
        <v>280</v>
      </c>
      <c r="B175" s="263"/>
      <c r="C175" s="263"/>
      <c r="D175" s="263"/>
      <c r="E175" s="263"/>
      <c r="F175" s="263"/>
      <c r="G175" s="263"/>
      <c r="H175" s="263"/>
      <c r="I175" s="263"/>
      <c r="J175" s="263"/>
      <c r="K175" s="263"/>
      <c r="L175" s="263"/>
      <c r="M175" s="263"/>
      <c r="N175" s="263"/>
      <c r="O175" s="264"/>
      <c r="Q175" s="261"/>
      <c r="R175" s="261"/>
      <c r="S175" s="261"/>
    </row>
    <row r="176" spans="1:19" ht="17.25" thickBot="1">
      <c r="A176" s="180" t="s">
        <v>292</v>
      </c>
      <c r="B176" s="262" t="s">
        <v>49</v>
      </c>
      <c r="C176" s="264"/>
      <c r="D176" s="262" t="s">
        <v>58</v>
      </c>
      <c r="E176" s="263"/>
      <c r="F176" s="264"/>
      <c r="G176" s="265">
        <f>_xlfn.IFNA(VLOOKUP(B176, 현재가테이블!$B$2:$D$200, 2, FALSE), "-")</f>
        <v>40538000</v>
      </c>
      <c r="H176" s="266"/>
      <c r="I176" s="267"/>
      <c r="J176" s="262" t="s">
        <v>59</v>
      </c>
      <c r="K176" s="263"/>
      <c r="L176" s="264"/>
      <c r="M176" s="268">
        <f>_xlfn.IFNA(VLOOKUP(B176, 현재가테이블!$B$2:$D$200, 3, FALSE), "-")</f>
        <v>-3.68275993E-2</v>
      </c>
      <c r="N176" s="269"/>
      <c r="O176" s="270"/>
      <c r="Q176" s="261"/>
      <c r="R176" s="261"/>
      <c r="S176" s="261"/>
    </row>
    <row r="177" spans="1:19" ht="17.25" thickBot="1">
      <c r="A177" s="306" t="s">
        <v>55</v>
      </c>
      <c r="B177" s="302" t="str">
        <f>TEXT($G$1, "[$-ko-KR]yyyy-mm-dd(ddd) ") &amp; "오전 00:00"</f>
        <v>2021-06-06(일) 오전 00:00</v>
      </c>
      <c r="C177" s="303"/>
      <c r="D177" s="275" t="str">
        <f>TEXT($G$1, "[$-ko-KR]yyyy-mm-dd(ddd) ") &amp; "오후 14:00"</f>
        <v>2021-06-06(일) 오후 14:00</v>
      </c>
      <c r="E177" s="276"/>
      <c r="F177" s="277"/>
      <c r="G177" s="275" t="str">
        <f>TEXT($G$1, "[$-ko-KR]yyyy-mm-dd(ddd) ") &amp; "오후 19:00"</f>
        <v>2021-06-06(일) 오후 19:00</v>
      </c>
      <c r="H177" s="276"/>
      <c r="I177" s="277"/>
      <c r="J177" s="275" t="str">
        <f>TEXT($G$1, "[$-ko-KR]yyyy-mm-dd(ddd) ") &amp; "오후 21:00"</f>
        <v>2021-06-06(일) 오후 21:00</v>
      </c>
      <c r="K177" s="276"/>
      <c r="L177" s="277"/>
      <c r="M177" s="275" t="str">
        <f>TEXT($G$1+1, "[$-ko-KR]yyyy-mm-dd(ddd) ") &amp; "오전 00:00"</f>
        <v>2021-06-07(월) 오전 00:00</v>
      </c>
      <c r="N177" s="276"/>
      <c r="O177" s="277"/>
      <c r="Q177" s="261"/>
      <c r="R177" s="261"/>
      <c r="S177" s="261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1" t="s">
        <v>58</v>
      </c>
      <c r="H178" s="182" t="s">
        <v>293</v>
      </c>
      <c r="I178" s="18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1"/>
      <c r="R178" s="251"/>
      <c r="S178" s="251"/>
    </row>
    <row r="179" spans="1:19" ht="17.25" thickBot="1">
      <c r="A179" s="161" t="s">
        <v>273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61"/>
      <c r="R179" s="261"/>
      <c r="S179" s="261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61"/>
      <c r="R180" s="261"/>
      <c r="S180" s="261"/>
    </row>
    <row r="181" spans="1:19" ht="17.25" thickBot="1">
      <c r="A181" s="162" t="s">
        <v>167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51"/>
      <c r="R181" s="251"/>
      <c r="S181" s="251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51"/>
      <c r="R182" s="251"/>
      <c r="S182" s="251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51"/>
      <c r="R183" s="251"/>
      <c r="S183" s="251"/>
    </row>
    <row r="184" spans="1:19" ht="17.25" thickBot="1">
      <c r="A184" s="162" t="s">
        <v>238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51"/>
      <c r="R184" s="251"/>
      <c r="S184" s="251"/>
    </row>
    <row r="185" spans="1:19" ht="17.25" thickBot="1">
      <c r="A185" s="162" t="s">
        <v>265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51"/>
      <c r="R185" s="251"/>
      <c r="S185" s="251"/>
    </row>
    <row r="186" spans="1:19" ht="17.25" thickBot="1">
      <c r="A186" s="162" t="s">
        <v>208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51"/>
      <c r="R186" s="251"/>
      <c r="S186" s="251"/>
    </row>
    <row r="187" spans="1:19" ht="17.25" thickBot="1">
      <c r="A187" s="162" t="s">
        <v>165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251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52"/>
      <c r="R188" s="253"/>
      <c r="S188" s="254"/>
    </row>
    <row r="189" spans="1:19">
      <c r="A189" s="161" t="s">
        <v>267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55"/>
      <c r="R189" s="256"/>
      <c r="S189" s="257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58"/>
      <c r="R190" s="259"/>
      <c r="S190" s="260"/>
    </row>
    <row r="191" spans="1:19" ht="17.25" thickBot="1">
      <c r="A191" s="162" t="s">
        <v>259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51"/>
      <c r="R191" s="251"/>
      <c r="S191" s="251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61"/>
      <c r="R192" s="261"/>
      <c r="S192" s="261"/>
    </row>
    <row r="193" spans="1:19" ht="17.25" thickBot="1">
      <c r="A193" s="163" t="s">
        <v>205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61"/>
      <c r="R193" s="261"/>
      <c r="S193" s="261"/>
    </row>
    <row r="194" spans="1:19" ht="17.25" thickBot="1">
      <c r="A194" s="162" t="s">
        <v>248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51"/>
      <c r="R194" s="251"/>
      <c r="S194" s="251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51"/>
      <c r="R195" s="251"/>
      <c r="S195" s="251"/>
    </row>
    <row r="196" spans="1:19" ht="17.25" thickBot="1">
      <c r="A196" s="162" t="s">
        <v>210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51"/>
      <c r="R196" s="251"/>
      <c r="S196" s="251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40"/>
      <c r="R197" s="241"/>
      <c r="S197" s="242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43"/>
      <c r="R198" s="244"/>
      <c r="S198" s="245"/>
    </row>
    <row r="199" spans="1:19" ht="17.25" thickBot="1">
      <c r="A199" s="132" t="s">
        <v>295</v>
      </c>
      <c r="B199" s="304">
        <f>$B$37</f>
        <v>100000</v>
      </c>
      <c r="C199" s="305"/>
      <c r="D199" s="26" t="s">
        <v>296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296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296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296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46"/>
      <c r="R199" s="247"/>
      <c r="S199" s="24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1" priority="157">
      <formula>AND($N17 &gt; 0, ISNUMBER($N17))</formula>
    </cfRule>
    <cfRule type="expression" dxfId="2670" priority="158">
      <formula>AND($N17 = 0 * ISNUMBER($N17))</formula>
    </cfRule>
    <cfRule type="expression" dxfId="2669" priority="159">
      <formula>AND($N17 &lt; 0, ISNUMBER($N17))</formula>
    </cfRule>
  </conditionalFormatting>
  <conditionalFormatting sqref="A17:F36">
    <cfRule type="expression" dxfId="2668" priority="166">
      <formula>AND($E17 &gt; 0, ISNUMBER($E17))</formula>
    </cfRule>
    <cfRule type="expression" dxfId="2667" priority="167">
      <formula>AND($E17 = 0 * ISNUMBER($E17))</formula>
    </cfRule>
    <cfRule type="expression" dxfId="2666" priority="168">
      <formula>AND($E17 &lt; 0, ISNUMBER($E17))</formula>
    </cfRule>
  </conditionalFormatting>
  <conditionalFormatting sqref="A17:C36 G17:I36">
    <cfRule type="expression" dxfId="2665" priority="163">
      <formula>AND($H17 &gt; 0, ISNUMBER($H17))</formula>
    </cfRule>
    <cfRule type="expression" dxfId="2664" priority="164">
      <formula>AND($H17 = 0 * ISNUMBER($H17))</formula>
    </cfRule>
    <cfRule type="expression" dxfId="2663" priority="165">
      <formula>AND($H17 &lt; 0, ISNUMBER($H17))</formula>
    </cfRule>
  </conditionalFormatting>
  <conditionalFormatting sqref="A17:C36 J17:L36">
    <cfRule type="expression" dxfId="2662" priority="160">
      <formula>AND($K17 &gt; 0, ISNUMBER($K17))</formula>
    </cfRule>
    <cfRule type="expression" dxfId="2661" priority="161">
      <formula>AND($K17 = 0 * ISNUMBER($K17))</formula>
    </cfRule>
    <cfRule type="expression" dxfId="2660" priority="162">
      <formula>AND($K17 &lt; 0, ISNUMBER($K17))</formula>
    </cfRule>
  </conditionalFormatting>
  <conditionalFormatting sqref="D15:F16 E37:F37">
    <cfRule type="expression" dxfId="2659" priority="154">
      <formula>$E$37 &gt; 0</formula>
    </cfRule>
    <cfRule type="expression" dxfId="2658" priority="155">
      <formula>$E$37 = 0</formula>
    </cfRule>
    <cfRule type="expression" dxfId="2657" priority="156">
      <formula>$E$37 &lt; 0</formula>
    </cfRule>
  </conditionalFormatting>
  <conditionalFormatting sqref="G15:I16 H37:I37">
    <cfRule type="expression" dxfId="2656" priority="151">
      <formula>$H$37 &gt; 0</formula>
    </cfRule>
    <cfRule type="expression" dxfId="2655" priority="152">
      <formula>$H$37 = 0</formula>
    </cfRule>
    <cfRule type="expression" dxfId="2654" priority="153">
      <formula>$H$37 &lt; 0</formula>
    </cfRule>
  </conditionalFormatting>
  <conditionalFormatting sqref="J15:L16 K37:L37">
    <cfRule type="expression" dxfId="2653" priority="148">
      <formula>$K$37 &gt; 0</formula>
    </cfRule>
    <cfRule type="expression" dxfId="2652" priority="149">
      <formula>$K$37 = 0</formula>
    </cfRule>
    <cfRule type="expression" dxfId="2651" priority="150">
      <formula>$K$37 &lt; 0</formula>
    </cfRule>
  </conditionalFormatting>
  <conditionalFormatting sqref="M15:O16 N37:O37">
    <cfRule type="expression" dxfId="2650" priority="145">
      <formula>$N$37 &gt; 0</formula>
    </cfRule>
    <cfRule type="expression" dxfId="2649" priority="146">
      <formula>$N$37 = 0</formula>
    </cfRule>
    <cfRule type="expression" dxfId="2648" priority="147">
      <formula>$N$37 &lt; 0</formula>
    </cfRule>
  </conditionalFormatting>
  <conditionalFormatting sqref="A44:C63 M44:O63">
    <cfRule type="expression" dxfId="2647" priority="133">
      <formula>AND($N44 &gt; 0, ISNUMBER($N44))</formula>
    </cfRule>
    <cfRule type="expression" dxfId="2646" priority="134">
      <formula>AND($N44 = 0 * ISNUMBER($N44))</formula>
    </cfRule>
    <cfRule type="expression" dxfId="2645" priority="135">
      <formula>AND($N44 &lt; 0, ISNUMBER($N44))</formula>
    </cfRule>
  </conditionalFormatting>
  <conditionalFormatting sqref="A44:F63">
    <cfRule type="expression" dxfId="2644" priority="142">
      <formula>AND($E44 &gt; 0, ISNUMBER($E44))</formula>
    </cfRule>
    <cfRule type="expression" dxfId="2643" priority="143">
      <formula>AND($E44 = 0 * ISNUMBER($E44))</formula>
    </cfRule>
    <cfRule type="expression" dxfId="2642" priority="144">
      <formula>AND($E44 &lt; 0, ISNUMBER($E44))</formula>
    </cfRule>
  </conditionalFormatting>
  <conditionalFormatting sqref="A44:C63 G44:I63">
    <cfRule type="expression" dxfId="2641" priority="139">
      <formula>AND($H44 &gt; 0, ISNUMBER($H44))</formula>
    </cfRule>
    <cfRule type="expression" dxfId="2640" priority="140">
      <formula>AND($H44 = 0 * ISNUMBER($H44))</formula>
    </cfRule>
    <cfRule type="expression" dxfId="2639" priority="141">
      <formula>AND($H44 &lt; 0, ISNUMBER($H44))</formula>
    </cfRule>
  </conditionalFormatting>
  <conditionalFormatting sqref="A44:C63 J44:L63">
    <cfRule type="expression" dxfId="2638" priority="136">
      <formula>AND($K44 &gt; 0, ISNUMBER($K44))</formula>
    </cfRule>
    <cfRule type="expression" dxfId="2637" priority="137">
      <formula>AND($K44 = 0 * ISNUMBER($K44))</formula>
    </cfRule>
    <cfRule type="expression" dxfId="2636" priority="138">
      <formula>AND($K44 &lt; 0, ISNUMBER($K44))</formula>
    </cfRule>
  </conditionalFormatting>
  <conditionalFormatting sqref="D42:F43 E64:F64">
    <cfRule type="expression" dxfId="2635" priority="130">
      <formula>$E$64 &gt; 0</formula>
    </cfRule>
    <cfRule type="expression" dxfId="2634" priority="131">
      <formula>$E$64 = 0</formula>
    </cfRule>
    <cfRule type="expression" dxfId="2633" priority="132">
      <formula>$E$64 &lt; 0</formula>
    </cfRule>
  </conditionalFormatting>
  <conditionalFormatting sqref="G42:I43 H64:I64">
    <cfRule type="expression" dxfId="2632" priority="127">
      <formula>$H$64 &gt; 0</formula>
    </cfRule>
    <cfRule type="expression" dxfId="2631" priority="128">
      <formula>$H$64 = 0</formula>
    </cfRule>
    <cfRule type="expression" dxfId="2630" priority="129">
      <formula>$H$64 &lt; 0</formula>
    </cfRule>
  </conditionalFormatting>
  <conditionalFormatting sqref="J42:L43 K64:L64">
    <cfRule type="expression" dxfId="2629" priority="124">
      <formula>$K$64 &gt; 0</formula>
    </cfRule>
    <cfRule type="expression" dxfId="2628" priority="125">
      <formula>$K$64 = 0</formula>
    </cfRule>
    <cfRule type="expression" dxfId="2627" priority="126">
      <formula>$K$64 &lt; 0</formula>
    </cfRule>
  </conditionalFormatting>
  <conditionalFormatting sqref="M42:O43 N64:O64">
    <cfRule type="expression" dxfId="2626" priority="121">
      <formula>$N$64 &gt; 0</formula>
    </cfRule>
    <cfRule type="expression" dxfId="2625" priority="122">
      <formula>$N$64 = 0</formula>
    </cfRule>
    <cfRule type="expression" dxfId="2624" priority="123">
      <formula>$N$64 &lt; 0</formula>
    </cfRule>
  </conditionalFormatting>
  <conditionalFormatting sqref="A71:C90 M71:O90">
    <cfRule type="expression" dxfId="2623" priority="109">
      <formula>AND($N71 &gt; 0, ISNUMBER($N71))</formula>
    </cfRule>
    <cfRule type="expression" dxfId="2622" priority="110">
      <formula>AND($N71 = 0 * ISNUMBER($N71))</formula>
    </cfRule>
    <cfRule type="expression" dxfId="2621" priority="111">
      <formula>AND($N71 &lt; 0, ISNUMBER($N71))</formula>
    </cfRule>
  </conditionalFormatting>
  <conditionalFormatting sqref="A71:F90">
    <cfRule type="expression" dxfId="2620" priority="118">
      <formula>AND($E71 &gt; 0, ISNUMBER($E71))</formula>
    </cfRule>
    <cfRule type="expression" dxfId="2619" priority="119">
      <formula>AND($E71 = 0 * ISNUMBER($E71))</formula>
    </cfRule>
    <cfRule type="expression" dxfId="2618" priority="120">
      <formula>AND($E71 &lt; 0, ISNUMBER($E71))</formula>
    </cfRule>
  </conditionalFormatting>
  <conditionalFormatting sqref="A71:C90 G71:I90">
    <cfRule type="expression" dxfId="2617" priority="115">
      <formula>AND($H71 &gt; 0, ISNUMBER($H71))</formula>
    </cfRule>
    <cfRule type="expression" dxfId="2616" priority="116">
      <formula>AND($H71 = 0 * ISNUMBER($H71))</formula>
    </cfRule>
    <cfRule type="expression" dxfId="2615" priority="117">
      <formula>AND($H71 &lt; 0, ISNUMBER($H71))</formula>
    </cfRule>
  </conditionalFormatting>
  <conditionalFormatting sqref="A71:C90 J71:L90">
    <cfRule type="expression" dxfId="2614" priority="112">
      <formula>AND($K71 &gt; 0, ISNUMBER($K71))</formula>
    </cfRule>
    <cfRule type="expression" dxfId="2613" priority="113">
      <formula>AND($K71 = 0 * ISNUMBER($K71))</formula>
    </cfRule>
    <cfRule type="expression" dxfId="2612" priority="114">
      <formula>AND($K71 &lt; 0, ISNUMBER($K71))</formula>
    </cfRule>
  </conditionalFormatting>
  <conditionalFormatting sqref="D69:F70 E91:F91">
    <cfRule type="expression" dxfId="2611" priority="106">
      <formula>$E$91 &gt; 0</formula>
    </cfRule>
    <cfRule type="expression" dxfId="2610" priority="107">
      <formula>$E$91 = 0</formula>
    </cfRule>
    <cfRule type="expression" dxfId="2609" priority="108">
      <formula>$E$91 &lt; 0</formula>
    </cfRule>
  </conditionalFormatting>
  <conditionalFormatting sqref="G69:I70 H91:I91">
    <cfRule type="expression" dxfId="2608" priority="103">
      <formula>$H$91 &gt; 0</formula>
    </cfRule>
    <cfRule type="expression" dxfId="2607" priority="104">
      <formula>$H$91 = 0</formula>
    </cfRule>
    <cfRule type="expression" dxfId="2606" priority="105">
      <formula>$H$91 &lt; 0</formula>
    </cfRule>
  </conditionalFormatting>
  <conditionalFormatting sqref="J69:L70 K91:L91">
    <cfRule type="expression" dxfId="2605" priority="100">
      <formula>$K$91 &gt; 0</formula>
    </cfRule>
    <cfRule type="expression" dxfId="2604" priority="101">
      <formula>$K$91 = 0</formula>
    </cfRule>
    <cfRule type="expression" dxfId="2603" priority="102">
      <formula>$K$91 &lt; 0</formula>
    </cfRule>
  </conditionalFormatting>
  <conditionalFormatting sqref="M69:O70 N91:O91">
    <cfRule type="expression" dxfId="2602" priority="97">
      <formula>$N$91 &gt; 0</formula>
    </cfRule>
    <cfRule type="expression" dxfId="2601" priority="98">
      <formula>$N$91 = 0</formula>
    </cfRule>
    <cfRule type="expression" dxfId="2600" priority="99">
      <formula>$N$91 &lt; 0</formula>
    </cfRule>
  </conditionalFormatting>
  <conditionalFormatting sqref="A98:C117 M98:O117">
    <cfRule type="expression" dxfId="2599" priority="85">
      <formula>AND($N98 &gt; 0, ISNUMBER($N98))</formula>
    </cfRule>
    <cfRule type="expression" dxfId="2598" priority="86">
      <formula>AND($N98 = 0 * ISNUMBER($N98))</formula>
    </cfRule>
    <cfRule type="expression" dxfId="2597" priority="87">
      <formula>AND($N98 &lt; 0, ISNUMBER($N98))</formula>
    </cfRule>
  </conditionalFormatting>
  <conditionalFormatting sqref="A98:F117">
    <cfRule type="expression" dxfId="2596" priority="94">
      <formula>AND($E98 &gt; 0, ISNUMBER($E98))</formula>
    </cfRule>
    <cfRule type="expression" dxfId="2595" priority="95">
      <formula>AND($E98 = 0 * ISNUMBER($E98))</formula>
    </cfRule>
    <cfRule type="expression" dxfId="2594" priority="96">
      <formula>AND($E98 &lt; 0, ISNUMBER($E98))</formula>
    </cfRule>
  </conditionalFormatting>
  <conditionalFormatting sqref="A98:C117 G98:I117">
    <cfRule type="expression" dxfId="2593" priority="91">
      <formula>AND($H98 &gt; 0, ISNUMBER($H98))</formula>
    </cfRule>
    <cfRule type="expression" dxfId="2592" priority="92">
      <formula>AND($H98 = 0 * ISNUMBER($H98))</formula>
    </cfRule>
    <cfRule type="expression" dxfId="2591" priority="93">
      <formula>AND($H98 &lt; 0, ISNUMBER($H98))</formula>
    </cfRule>
  </conditionalFormatting>
  <conditionalFormatting sqref="A98:C117 J98:L117">
    <cfRule type="expression" dxfId="2590" priority="88">
      <formula>AND($K98 &gt; 0, ISNUMBER($K98))</formula>
    </cfRule>
    <cfRule type="expression" dxfId="2589" priority="89">
      <formula>AND($K98 = 0 * ISNUMBER($K98))</formula>
    </cfRule>
    <cfRule type="expression" dxfId="2588" priority="90">
      <formula>AND($K98 &lt; 0, ISNUMBER($K98))</formula>
    </cfRule>
  </conditionalFormatting>
  <conditionalFormatting sqref="D96:F97 E118:F118">
    <cfRule type="expression" dxfId="2587" priority="82">
      <formula>$E$118 &gt; 0</formula>
    </cfRule>
    <cfRule type="expression" dxfId="2586" priority="83">
      <formula>$E$118 = 0</formula>
    </cfRule>
    <cfRule type="expression" dxfId="2585" priority="84">
      <formula>$E$118 &lt; 0</formula>
    </cfRule>
  </conditionalFormatting>
  <conditionalFormatting sqref="G96:I97 H118:I118">
    <cfRule type="expression" dxfId="2584" priority="79">
      <formula>$H$118 &gt; 0</formula>
    </cfRule>
    <cfRule type="expression" dxfId="2583" priority="80">
      <formula>$H$118 = 0</formula>
    </cfRule>
    <cfRule type="expression" dxfId="2582" priority="81">
      <formula>$H$118 &lt; 0</formula>
    </cfRule>
  </conditionalFormatting>
  <conditionalFormatting sqref="J96:L97 K118:L118">
    <cfRule type="expression" dxfId="2581" priority="76">
      <formula>$K$118 &gt; 0</formula>
    </cfRule>
    <cfRule type="expression" dxfId="2580" priority="77">
      <formula>$K$118 = 0</formula>
    </cfRule>
    <cfRule type="expression" dxfId="2579" priority="78">
      <formula>$K$118 &lt; 0</formula>
    </cfRule>
  </conditionalFormatting>
  <conditionalFormatting sqref="M96:O97 N118:O118">
    <cfRule type="expression" dxfId="2578" priority="73">
      <formula>$N$118 &gt; 0</formula>
    </cfRule>
    <cfRule type="expression" dxfId="2577" priority="74">
      <formula>$N$118 = 0</formula>
    </cfRule>
    <cfRule type="expression" dxfId="2576" priority="75">
      <formula>$N$118 &lt; 0</formula>
    </cfRule>
  </conditionalFormatting>
  <conditionalFormatting sqref="A125:C144 M125:O144">
    <cfRule type="expression" dxfId="2575" priority="61">
      <formula>AND($N125 &gt; 0, ISNUMBER($N125))</formula>
    </cfRule>
    <cfRule type="expression" dxfId="2574" priority="62">
      <formula>AND($N125 = 0 * ISNUMBER($N125))</formula>
    </cfRule>
    <cfRule type="expression" dxfId="2573" priority="63">
      <formula>AND($N125 &lt; 0, ISNUMBER($N125))</formula>
    </cfRule>
  </conditionalFormatting>
  <conditionalFormatting sqref="A125:F144">
    <cfRule type="expression" dxfId="2572" priority="70">
      <formula>AND($E125 &gt; 0, ISNUMBER($E125))</formula>
    </cfRule>
    <cfRule type="expression" dxfId="2571" priority="71">
      <formula>AND($E125 = 0 * ISNUMBER($E125))</formula>
    </cfRule>
    <cfRule type="expression" dxfId="2570" priority="72">
      <formula>AND($E125 &lt; 0, ISNUMBER($E125))</formula>
    </cfRule>
  </conditionalFormatting>
  <conditionalFormatting sqref="A125:C144 G125:I144">
    <cfRule type="expression" dxfId="2569" priority="67">
      <formula>AND($H125 &gt; 0, ISNUMBER($H125))</formula>
    </cfRule>
    <cfRule type="expression" dxfId="2568" priority="68">
      <formula>AND($H125 = 0 * ISNUMBER($H125))</formula>
    </cfRule>
    <cfRule type="expression" dxfId="2567" priority="69">
      <formula>AND($H125 &lt; 0, ISNUMBER($H125))</formula>
    </cfRule>
  </conditionalFormatting>
  <conditionalFormatting sqref="A125:C144 J125:L144">
    <cfRule type="expression" dxfId="2566" priority="64">
      <formula>AND($K125 &gt; 0, ISNUMBER($K125))</formula>
    </cfRule>
    <cfRule type="expression" dxfId="2565" priority="65">
      <formula>AND($K125 = 0 * ISNUMBER($K125))</formula>
    </cfRule>
    <cfRule type="expression" dxfId="2564" priority="66">
      <formula>AND($K125 &lt; 0, ISNUMBER($K125))</formula>
    </cfRule>
  </conditionalFormatting>
  <conditionalFormatting sqref="D123:F124 E145:F145">
    <cfRule type="expression" dxfId="2563" priority="58">
      <formula>$E$145 &gt; 0</formula>
    </cfRule>
    <cfRule type="expression" dxfId="2562" priority="59">
      <formula>$E$145 = 0</formula>
    </cfRule>
    <cfRule type="expression" dxfId="2561" priority="60">
      <formula>$E$145 &lt; 0</formula>
    </cfRule>
  </conditionalFormatting>
  <conditionalFormatting sqref="G123:I124 H145:I145">
    <cfRule type="expression" dxfId="2560" priority="55">
      <formula>$H$145 &gt; 0</formula>
    </cfRule>
    <cfRule type="expression" dxfId="2559" priority="56">
      <formula>$H$145 = 0</formula>
    </cfRule>
    <cfRule type="expression" dxfId="2558" priority="57">
      <formula>$H$145 &lt; 0</formula>
    </cfRule>
  </conditionalFormatting>
  <conditionalFormatting sqref="J123:L124 K145:L145">
    <cfRule type="expression" dxfId="2557" priority="52">
      <formula>$K$145 &gt; 0</formula>
    </cfRule>
    <cfRule type="expression" dxfId="2556" priority="53">
      <formula>$K$145 = 0</formula>
    </cfRule>
    <cfRule type="expression" dxfId="2555" priority="54">
      <formula>$K$145 &lt; 0</formula>
    </cfRule>
  </conditionalFormatting>
  <conditionalFormatting sqref="M123:O124 N145:O145">
    <cfRule type="expression" dxfId="2554" priority="49">
      <formula>$N$145 &gt; 0</formula>
    </cfRule>
    <cfRule type="expression" dxfId="2553" priority="50">
      <formula>$N$145 = 0</formula>
    </cfRule>
    <cfRule type="expression" dxfId="2552" priority="51">
      <formula>$N$145 &lt; 0</formula>
    </cfRule>
  </conditionalFormatting>
  <conditionalFormatting sqref="A152:C171 M152:O171">
    <cfRule type="expression" dxfId="2551" priority="37">
      <formula>AND($N152 &gt; 0, ISNUMBER($N152))</formula>
    </cfRule>
    <cfRule type="expression" dxfId="2550" priority="38">
      <formula>AND($N152 = 0 * ISNUMBER($N152))</formula>
    </cfRule>
    <cfRule type="expression" dxfId="2549" priority="39">
      <formula>AND($N152 &lt; 0, ISNUMBER($N152))</formula>
    </cfRule>
  </conditionalFormatting>
  <conditionalFormatting sqref="A152:F171">
    <cfRule type="expression" dxfId="2548" priority="46">
      <formula>AND($E152 &gt; 0, ISNUMBER($E152))</formula>
    </cfRule>
    <cfRule type="expression" dxfId="2547" priority="47">
      <formula>AND($E152 = 0 * ISNUMBER($E152))</formula>
    </cfRule>
    <cfRule type="expression" dxfId="2546" priority="48">
      <formula>AND($E152 &lt; 0, ISNUMBER($E152))</formula>
    </cfRule>
  </conditionalFormatting>
  <conditionalFormatting sqref="A152:C171 G152:I171">
    <cfRule type="expression" dxfId="2545" priority="43">
      <formula>AND($H152 &gt; 0, ISNUMBER($H152))</formula>
    </cfRule>
    <cfRule type="expression" dxfId="2544" priority="44">
      <formula>AND($H152 = 0 * ISNUMBER($H152))</formula>
    </cfRule>
    <cfRule type="expression" dxfId="2543" priority="45">
      <formula>AND($H152 &lt; 0, ISNUMBER($H152))</formula>
    </cfRule>
  </conditionalFormatting>
  <conditionalFormatting sqref="A152:C171 J152:L171">
    <cfRule type="expression" dxfId="2542" priority="40">
      <formula>AND($K152 &gt; 0, ISNUMBER($K152))</formula>
    </cfRule>
    <cfRule type="expression" dxfId="2541" priority="41">
      <formula>AND($K152 = 0 * ISNUMBER($K152))</formula>
    </cfRule>
    <cfRule type="expression" dxfId="2540" priority="42">
      <formula>AND($K152 &lt; 0, ISNUMBER($K152))</formula>
    </cfRule>
  </conditionalFormatting>
  <conditionalFormatting sqref="D150:F151 E172:F172">
    <cfRule type="expression" dxfId="2539" priority="34">
      <formula>$E$172 &gt; 0</formula>
    </cfRule>
    <cfRule type="expression" dxfId="2538" priority="35">
      <formula>$E$172 = 0</formula>
    </cfRule>
    <cfRule type="expression" dxfId="2537" priority="36">
      <formula>$E$172 &lt; 0</formula>
    </cfRule>
  </conditionalFormatting>
  <conditionalFormatting sqref="G150:I151 H172:I172">
    <cfRule type="expression" dxfId="2536" priority="31">
      <formula>$H$172 &gt; 0</formula>
    </cfRule>
    <cfRule type="expression" dxfId="2535" priority="32">
      <formula>$H$172 = 0</formula>
    </cfRule>
    <cfRule type="expression" dxfId="2534" priority="33">
      <formula>$H$172 &lt; 0</formula>
    </cfRule>
  </conditionalFormatting>
  <conditionalFormatting sqref="J150:L151 K172:L172">
    <cfRule type="expression" dxfId="2533" priority="28">
      <formula>$K$172 &gt; 0</formula>
    </cfRule>
    <cfRule type="expression" dxfId="2532" priority="29">
      <formula>$K$172 = 0</formula>
    </cfRule>
    <cfRule type="expression" dxfId="2531" priority="30">
      <formula>$K$172 &lt; 0</formula>
    </cfRule>
  </conditionalFormatting>
  <conditionalFormatting sqref="M150:O151 N172:O172">
    <cfRule type="expression" dxfId="2530" priority="25">
      <formula>$N$172 &gt; 0</formula>
    </cfRule>
    <cfRule type="expression" dxfId="2529" priority="26">
      <formula>$N$172 = 0</formula>
    </cfRule>
    <cfRule type="expression" dxfId="2528" priority="27">
      <formula>$N$172 &lt; 0</formula>
    </cfRule>
  </conditionalFormatting>
  <conditionalFormatting sqref="A179:C198 M179:O198">
    <cfRule type="expression" dxfId="2527" priority="13">
      <formula>AND($N179 &gt; 0, ISNUMBER($N179))</formula>
    </cfRule>
    <cfRule type="expression" dxfId="2526" priority="14">
      <formula>AND($N179 = 0 * ISNUMBER($N179))</formula>
    </cfRule>
    <cfRule type="expression" dxfId="2525" priority="15">
      <formula>AND($N179 &lt; 0, ISNUMBER($N179))</formula>
    </cfRule>
  </conditionalFormatting>
  <conditionalFormatting sqref="A179:F198">
    <cfRule type="expression" dxfId="2524" priority="22">
      <formula>AND($E179 &gt; 0, ISNUMBER($E179))</formula>
    </cfRule>
    <cfRule type="expression" dxfId="2523" priority="23">
      <formula>AND($E179 = 0 * ISNUMBER($E179))</formula>
    </cfRule>
    <cfRule type="expression" dxfId="2522" priority="24">
      <formula>AND($E179 &lt; 0, ISNUMBER($E179))</formula>
    </cfRule>
  </conditionalFormatting>
  <conditionalFormatting sqref="A179:C198 G179:I198">
    <cfRule type="expression" dxfId="2521" priority="19">
      <formula>AND($H179 &gt; 0, ISNUMBER($H179))</formula>
    </cfRule>
    <cfRule type="expression" dxfId="2520" priority="20">
      <formula>AND($H179 = 0 * ISNUMBER($H179))</formula>
    </cfRule>
    <cfRule type="expression" dxfId="2519" priority="21">
      <formula>AND($H179 &lt; 0, ISNUMBER($H179))</formula>
    </cfRule>
  </conditionalFormatting>
  <conditionalFormatting sqref="A179:C198 J179:L198">
    <cfRule type="expression" dxfId="2518" priority="16">
      <formula>AND($K179 &gt; 0, ISNUMBER($K179))</formula>
    </cfRule>
    <cfRule type="expression" dxfId="2517" priority="17">
      <formula>AND($K179 = 0 * ISNUMBER($K179))</formula>
    </cfRule>
    <cfRule type="expression" dxfId="2516" priority="18">
      <formula>AND($K179 &lt; 0, ISNUMBER($K179))</formula>
    </cfRule>
  </conditionalFormatting>
  <conditionalFormatting sqref="D177:F178 E199:F199">
    <cfRule type="expression" dxfId="2515" priority="10">
      <formula>$E$199 &gt; 0</formula>
    </cfRule>
    <cfRule type="expression" dxfId="2514" priority="11">
      <formula>$E$199 = 0</formula>
    </cfRule>
    <cfRule type="expression" dxfId="2513" priority="12">
      <formula>$E$199 &lt; 0</formula>
    </cfRule>
  </conditionalFormatting>
  <conditionalFormatting sqref="G177:I178 H199:I199">
    <cfRule type="expression" dxfId="2512" priority="7">
      <formula>$H$199 &gt; 0</formula>
    </cfRule>
    <cfRule type="expression" dxfId="2511" priority="8">
      <formula>$H$199 = 0</formula>
    </cfRule>
    <cfRule type="expression" dxfId="2510" priority="9">
      <formula>$H$199 &lt; 0</formula>
    </cfRule>
  </conditionalFormatting>
  <conditionalFormatting sqref="J177:L178 K199:L199">
    <cfRule type="expression" dxfId="2509" priority="4">
      <formula>$K$199 &gt; 0</formula>
    </cfRule>
    <cfRule type="expression" dxfId="2508" priority="5">
      <formula>$K$199 = 0</formula>
    </cfRule>
    <cfRule type="expression" dxfId="2507" priority="6">
      <formula>$K$199 &lt; 0</formula>
    </cfRule>
  </conditionalFormatting>
  <conditionalFormatting sqref="M177:O178 N199:O199">
    <cfRule type="expression" dxfId="2506" priority="1">
      <formula>$N$199 &gt; 0</formula>
    </cfRule>
    <cfRule type="expression" dxfId="2505" priority="2">
      <formula>$N$199 = 0</formula>
    </cfRule>
    <cfRule type="expression" dxfId="25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2" t="s">
        <v>0</v>
      </c>
      <c r="B1" s="263"/>
      <c r="C1" s="263"/>
      <c r="D1" s="263"/>
      <c r="E1" s="263"/>
      <c r="F1" s="264"/>
      <c r="G1" s="293">
        <v>44354</v>
      </c>
      <c r="H1" s="294"/>
      <c r="I1" s="295"/>
      <c r="J1" s="262" t="s">
        <v>1</v>
      </c>
      <c r="K1" s="263"/>
      <c r="L1" s="263"/>
      <c r="M1" s="263"/>
      <c r="N1" s="263"/>
      <c r="O1" s="264"/>
      <c r="Q1" s="262" t="s">
        <v>2</v>
      </c>
      <c r="R1" s="264"/>
    </row>
    <row r="2" spans="1:19" ht="17.25" customHeight="1">
      <c r="A2" s="117" t="s">
        <v>3</v>
      </c>
      <c r="B2" s="296" t="s">
        <v>8</v>
      </c>
      <c r="C2" s="297"/>
      <c r="D2" s="297"/>
      <c r="E2" s="297"/>
      <c r="F2" s="298"/>
      <c r="G2" s="290" t="s">
        <v>46</v>
      </c>
      <c r="H2" s="291"/>
      <c r="I2" s="292"/>
      <c r="J2" s="1" t="s">
        <v>3</v>
      </c>
      <c r="K2" s="296" t="s">
        <v>345</v>
      </c>
      <c r="L2" s="297"/>
      <c r="M2" s="297"/>
      <c r="N2" s="297"/>
      <c r="O2" s="298"/>
      <c r="Q2" s="2" t="s">
        <v>6</v>
      </c>
      <c r="R2" s="3">
        <v>0.375</v>
      </c>
    </row>
    <row r="3" spans="1:19" ht="17.25" customHeight="1" thickBot="1">
      <c r="A3" s="118" t="s">
        <v>7</v>
      </c>
      <c r="B3" s="287" t="s">
        <v>353</v>
      </c>
      <c r="C3" s="288"/>
      <c r="D3" s="288"/>
      <c r="E3" s="288"/>
      <c r="F3" s="289"/>
      <c r="G3" s="28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84"/>
      <c r="I3" s="285"/>
      <c r="J3" s="4" t="s">
        <v>7</v>
      </c>
      <c r="K3" s="287" t="s">
        <v>346</v>
      </c>
      <c r="L3" s="288"/>
      <c r="M3" s="288"/>
      <c r="N3" s="288"/>
      <c r="O3" s="28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7" t="s">
        <v>16</v>
      </c>
      <c r="C4" s="288"/>
      <c r="D4" s="288"/>
      <c r="E4" s="288"/>
      <c r="F4" s="289"/>
      <c r="G4" s="290" t="s">
        <v>44</v>
      </c>
      <c r="H4" s="291"/>
      <c r="I4" s="292"/>
      <c r="J4" s="4" t="s">
        <v>11</v>
      </c>
      <c r="K4" s="287" t="s">
        <v>347</v>
      </c>
      <c r="L4" s="288"/>
      <c r="M4" s="288"/>
      <c r="N4" s="288"/>
      <c r="O4" s="28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7" t="s">
        <v>344</v>
      </c>
      <c r="C5" s="288"/>
      <c r="D5" s="288"/>
      <c r="E5" s="288"/>
      <c r="F5" s="289"/>
      <c r="G5" s="28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84"/>
      <c r="I5" s="285"/>
      <c r="J5" s="4" t="s">
        <v>15</v>
      </c>
      <c r="K5" s="287" t="s">
        <v>348</v>
      </c>
      <c r="L5" s="288"/>
      <c r="M5" s="288"/>
      <c r="N5" s="288"/>
      <c r="O5" s="289"/>
    </row>
    <row r="6" spans="1:19">
      <c r="A6" s="118" t="s">
        <v>18</v>
      </c>
      <c r="B6" s="287"/>
      <c r="C6" s="288"/>
      <c r="D6" s="288"/>
      <c r="E6" s="288"/>
      <c r="F6" s="289"/>
      <c r="G6" s="290" t="s">
        <v>45</v>
      </c>
      <c r="H6" s="291"/>
      <c r="I6" s="292"/>
      <c r="J6" s="4" t="s">
        <v>18</v>
      </c>
      <c r="K6" s="287" t="s">
        <v>349</v>
      </c>
      <c r="L6" s="288"/>
      <c r="M6" s="288"/>
      <c r="N6" s="288"/>
      <c r="O6" s="289"/>
    </row>
    <row r="7" spans="1:19" ht="17.25" thickBot="1">
      <c r="A7" s="118" t="s">
        <v>21</v>
      </c>
      <c r="B7" s="287"/>
      <c r="C7" s="288"/>
      <c r="D7" s="288"/>
      <c r="E7" s="288"/>
      <c r="F7" s="289"/>
      <c r="G7" s="28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84"/>
      <c r="I7" s="285"/>
      <c r="J7" s="4" t="s">
        <v>21</v>
      </c>
      <c r="K7" s="287" t="s">
        <v>350</v>
      </c>
      <c r="L7" s="288"/>
      <c r="M7" s="288"/>
      <c r="N7" s="288"/>
      <c r="O7" s="289"/>
    </row>
    <row r="8" spans="1:19" ht="17.25" thickBot="1">
      <c r="A8" s="118" t="s">
        <v>24</v>
      </c>
      <c r="B8" s="287"/>
      <c r="C8" s="288"/>
      <c r="D8" s="288"/>
      <c r="E8" s="288"/>
      <c r="F8" s="289"/>
      <c r="G8" s="290" t="s">
        <v>280</v>
      </c>
      <c r="H8" s="291"/>
      <c r="I8" s="292"/>
      <c r="J8" s="4" t="s">
        <v>24</v>
      </c>
      <c r="K8" s="287"/>
      <c r="L8" s="288"/>
      <c r="M8" s="288"/>
      <c r="N8" s="288"/>
      <c r="O8" s="289"/>
      <c r="Q8" s="262" t="s">
        <v>27</v>
      </c>
      <c r="R8" s="264"/>
    </row>
    <row r="9" spans="1:19" ht="17.25" thickBot="1">
      <c r="A9" s="118" t="s">
        <v>28</v>
      </c>
      <c r="B9" s="287"/>
      <c r="C9" s="288"/>
      <c r="D9" s="288"/>
      <c r="E9" s="288"/>
      <c r="F9" s="289"/>
      <c r="G9" s="28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84"/>
      <c r="I9" s="285"/>
      <c r="J9" s="4" t="s">
        <v>28</v>
      </c>
      <c r="K9" s="287"/>
      <c r="L9" s="288"/>
      <c r="M9" s="288"/>
      <c r="N9" s="288"/>
      <c r="O9" s="289"/>
      <c r="Q9" s="2" t="s">
        <v>29</v>
      </c>
      <c r="R9" s="6">
        <v>10</v>
      </c>
    </row>
    <row r="10" spans="1:19">
      <c r="A10" s="118" t="s">
        <v>30</v>
      </c>
      <c r="B10" s="287"/>
      <c r="C10" s="288"/>
      <c r="D10" s="288"/>
      <c r="E10" s="288"/>
      <c r="F10" s="289"/>
      <c r="G10" s="290" t="s">
        <v>47</v>
      </c>
      <c r="H10" s="291"/>
      <c r="I10" s="292"/>
      <c r="J10" s="4" t="s">
        <v>30</v>
      </c>
      <c r="K10" s="287" t="s">
        <v>351</v>
      </c>
      <c r="L10" s="288"/>
      <c r="M10" s="288"/>
      <c r="N10" s="288"/>
      <c r="O10" s="289"/>
      <c r="Q10" s="2" t="s">
        <v>31</v>
      </c>
      <c r="R10" s="6">
        <v>100</v>
      </c>
    </row>
    <row r="11" spans="1:19" ht="17.25" thickBot="1">
      <c r="A11" s="119" t="s">
        <v>32</v>
      </c>
      <c r="B11" s="280" t="s">
        <v>352</v>
      </c>
      <c r="C11" s="281"/>
      <c r="D11" s="281"/>
      <c r="E11" s="281"/>
      <c r="F11" s="282"/>
      <c r="G11" s="28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84"/>
      <c r="I11" s="285"/>
      <c r="J11" s="7" t="s">
        <v>32</v>
      </c>
      <c r="K11" s="280" t="s">
        <v>343</v>
      </c>
      <c r="L11" s="281"/>
      <c r="M11" s="281"/>
      <c r="N11" s="281"/>
      <c r="O11" s="282"/>
      <c r="Q11" s="65" t="s">
        <v>33</v>
      </c>
      <c r="R11" s="8">
        <v>1000</v>
      </c>
    </row>
    <row r="12" spans="1:19" ht="17.25" thickBot="1"/>
    <row r="13" spans="1:19" ht="17.25" customHeight="1" thickBot="1">
      <c r="A13" s="262" t="s">
        <v>34</v>
      </c>
      <c r="B13" s="263"/>
      <c r="C13" s="263"/>
      <c r="D13" s="263"/>
      <c r="E13" s="263"/>
      <c r="F13" s="263"/>
      <c r="G13" s="263"/>
      <c r="H13" s="263"/>
      <c r="I13" s="263"/>
      <c r="J13" s="263"/>
      <c r="K13" s="263"/>
      <c r="L13" s="263"/>
      <c r="M13" s="263"/>
      <c r="N13" s="263"/>
      <c r="O13" s="264"/>
      <c r="Q13" s="261"/>
      <c r="R13" s="261"/>
      <c r="S13" s="261"/>
    </row>
    <row r="14" spans="1:19" ht="17.25" customHeight="1" thickBot="1">
      <c r="A14" s="184" t="s">
        <v>35</v>
      </c>
      <c r="B14" s="262" t="s">
        <v>36</v>
      </c>
      <c r="C14" s="264"/>
      <c r="D14" s="262" t="s">
        <v>37</v>
      </c>
      <c r="E14" s="263"/>
      <c r="F14" s="264"/>
      <c r="G14" s="265">
        <f>_xlfn.IFNA(VLOOKUP(B14, 현재가테이블!$B$2:$D$200, 2, FALSE), "-")</f>
        <v>40538000</v>
      </c>
      <c r="H14" s="266"/>
      <c r="I14" s="267"/>
      <c r="J14" s="262" t="s">
        <v>38</v>
      </c>
      <c r="K14" s="263"/>
      <c r="L14" s="264"/>
      <c r="M14" s="268">
        <f>_xlfn.IFNA(VLOOKUP(B14, 현재가테이블!$B$2:$D$200, 3, FALSE), "-")</f>
        <v>-3.68275993E-2</v>
      </c>
      <c r="N14" s="269"/>
      <c r="O14" s="270"/>
      <c r="Q14" s="261"/>
      <c r="R14" s="261"/>
      <c r="S14" s="261"/>
    </row>
    <row r="15" spans="1:19" ht="17.25" customHeight="1" thickBot="1">
      <c r="A15" s="299" t="s">
        <v>39</v>
      </c>
      <c r="B15" s="300" t="str">
        <f>TEXT($G$1, "[$-ko-KR]yyyy-mm-dd(ddd) ") &amp; "오전 00:00"</f>
        <v>2021-06-07(월) 오전 00:00</v>
      </c>
      <c r="C15" s="301"/>
      <c r="D15" s="275" t="str">
        <f>TEXT($G$1, "[$-ko-KR]yyyy-mm-dd(ddd) ") &amp; "오후 14:00"</f>
        <v>2021-06-07(월) 오후 14:00</v>
      </c>
      <c r="E15" s="276"/>
      <c r="F15" s="277"/>
      <c r="G15" s="275" t="str">
        <f>TEXT($G$1, "[$-ko-KR]yyyy-mm-dd(ddd) ") &amp; "오후 19:00"</f>
        <v>2021-06-07(월) 오후 19:00</v>
      </c>
      <c r="H15" s="276"/>
      <c r="I15" s="277"/>
      <c r="J15" s="275" t="str">
        <f>TEXT($G$1, "[$-ko-KR]yyyy-mm-dd(ddd) ") &amp; "오후 21:00"</f>
        <v>2021-06-07(월) 오후 21:00</v>
      </c>
      <c r="K15" s="276"/>
      <c r="L15" s="277"/>
      <c r="M15" s="275" t="str">
        <f>TEXT($G$1+1, "[$-ko-KR]yyyy-mm-dd(ddd) ") &amp; "오전 00:00"</f>
        <v>2021-06-08(화) 오전 00:00</v>
      </c>
      <c r="N15" s="276"/>
      <c r="O15" s="277"/>
      <c r="Q15" s="261"/>
      <c r="R15" s="261"/>
      <c r="S15" s="261"/>
    </row>
    <row r="16" spans="1:19" ht="17.25" customHeight="1" thickBot="1">
      <c r="A16" s="29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61"/>
      <c r="R17" s="261"/>
      <c r="S17" s="26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61"/>
      <c r="R18" s="261"/>
      <c r="S18" s="261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51"/>
      <c r="R19" s="251"/>
      <c r="S19" s="251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51"/>
      <c r="R20" s="251"/>
      <c r="S20" s="251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51"/>
      <c r="R21" s="251"/>
      <c r="S21" s="251"/>
    </row>
    <row r="22" spans="1:19" ht="17.25" customHeight="1" thickBot="1">
      <c r="A22" s="162" t="s">
        <v>191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51"/>
      <c r="R22" s="251"/>
      <c r="S22" s="251"/>
    </row>
    <row r="23" spans="1:19" ht="17.25" customHeight="1" thickBot="1">
      <c r="A23" s="162" t="s">
        <v>199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51"/>
      <c r="R23" s="251"/>
      <c r="S23" s="251"/>
    </row>
    <row r="24" spans="1:19" ht="17.25" customHeight="1" thickBot="1">
      <c r="A24" s="162" t="s">
        <v>165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51"/>
      <c r="R24" s="251"/>
      <c r="S24" s="251"/>
    </row>
    <row r="25" spans="1:19" ht="17.25" customHeight="1" thickBot="1">
      <c r="A25" s="162" t="s">
        <v>225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52"/>
      <c r="R26" s="253"/>
      <c r="S26" s="254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55"/>
      <c r="R27" s="256"/>
      <c r="S27" s="257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58"/>
      <c r="R28" s="259"/>
      <c r="S28" s="260"/>
    </row>
    <row r="29" spans="1:19" ht="17.25" customHeight="1" thickBot="1">
      <c r="A29" s="162" t="s">
        <v>201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51"/>
      <c r="R29" s="251"/>
      <c r="S29" s="251"/>
    </row>
    <row r="30" spans="1:19" ht="17.25" customHeight="1" thickBot="1">
      <c r="A30" s="162" t="s">
        <v>193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61"/>
      <c r="R30" s="261"/>
      <c r="S30" s="261"/>
    </row>
    <row r="31" spans="1:19" ht="17.25" customHeight="1" thickBot="1">
      <c r="A31" s="163" t="s">
        <v>217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304">
        <v>100000</v>
      </c>
      <c r="C37" s="305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262" t="s">
        <v>44</v>
      </c>
      <c r="B40" s="263"/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4"/>
      <c r="Q40" s="261"/>
      <c r="R40" s="261"/>
      <c r="S40" s="261"/>
    </row>
    <row r="41" spans="1:19" ht="17.25" customHeight="1" thickBot="1">
      <c r="A41" s="184" t="s">
        <v>292</v>
      </c>
      <c r="B41" s="262" t="s">
        <v>49</v>
      </c>
      <c r="C41" s="264"/>
      <c r="D41" s="262" t="s">
        <v>58</v>
      </c>
      <c r="E41" s="263"/>
      <c r="F41" s="264"/>
      <c r="G41" s="265">
        <f>_xlfn.IFNA(VLOOKUP(B41, 현재가테이블!$B$2:$D$200, 2, FALSE), "-")</f>
        <v>40538000</v>
      </c>
      <c r="H41" s="266"/>
      <c r="I41" s="267"/>
      <c r="J41" s="262" t="s">
        <v>59</v>
      </c>
      <c r="K41" s="263"/>
      <c r="L41" s="264"/>
      <c r="M41" s="268">
        <f>_xlfn.IFNA(VLOOKUP(B41, 현재가테이블!$B$2:$D$200, 3, FALSE), "-")</f>
        <v>-3.68275993E-2</v>
      </c>
      <c r="N41" s="269"/>
      <c r="O41" s="270"/>
      <c r="Q41" s="261"/>
      <c r="R41" s="261"/>
      <c r="S41" s="261"/>
    </row>
    <row r="42" spans="1:19" ht="17.25" customHeight="1" thickBot="1">
      <c r="A42" s="306" t="s">
        <v>55</v>
      </c>
      <c r="B42" s="302" t="str">
        <f>TEXT($G$1, "[$-ko-KR]yyyy-mm-dd(ddd) ") &amp; "오전 00:00"</f>
        <v>2021-06-07(월) 오전 00:00</v>
      </c>
      <c r="C42" s="303"/>
      <c r="D42" s="275" t="str">
        <f>TEXT($G$1, "[$-ko-KR]yyyy-mm-dd(ddd) ") &amp; "오후 14:00"</f>
        <v>2021-06-07(월) 오후 14:00</v>
      </c>
      <c r="E42" s="276"/>
      <c r="F42" s="277"/>
      <c r="G42" s="275" t="str">
        <f>TEXT($G$1, "[$-ko-KR]yyyy-mm-dd(ddd) ") &amp; "오후 19:00"</f>
        <v>2021-06-07(월) 오후 19:00</v>
      </c>
      <c r="H42" s="276"/>
      <c r="I42" s="277"/>
      <c r="J42" s="275" t="str">
        <f>TEXT($G$1, "[$-ko-KR]yyyy-mm-dd(ddd) ") &amp; "오후 21:00"</f>
        <v>2021-06-07(월) 오후 21:00</v>
      </c>
      <c r="K42" s="276"/>
      <c r="L42" s="277"/>
      <c r="M42" s="275" t="str">
        <f>TEXT($G$1+1, "[$-ko-KR]yyyy-mm-dd(ddd) ") &amp; "오전 00:00"</f>
        <v>2021-06-08(화) 오전 00:00</v>
      </c>
      <c r="N42" s="276"/>
      <c r="O42" s="277"/>
      <c r="Q42" s="261"/>
      <c r="R42" s="261"/>
      <c r="S42" s="261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5" t="s">
        <v>58</v>
      </c>
      <c r="H43" s="186" t="s">
        <v>293</v>
      </c>
      <c r="I43" s="18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1"/>
      <c r="R43" s="251"/>
      <c r="S43" s="251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61"/>
      <c r="R44" s="261"/>
      <c r="S44" s="261"/>
    </row>
    <row r="45" spans="1:19" ht="17.25" customHeight="1" thickBot="1">
      <c r="A45" s="162" t="s">
        <v>225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61"/>
      <c r="R45" s="261"/>
      <c r="S45" s="261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51"/>
      <c r="R46" s="251"/>
      <c r="S46" s="251"/>
    </row>
    <row r="47" spans="1:19" ht="17.25" customHeight="1" thickBot="1">
      <c r="A47" s="162" t="s">
        <v>217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51"/>
      <c r="R47" s="251"/>
      <c r="S47" s="251"/>
    </row>
    <row r="48" spans="1:19" ht="17.25" customHeight="1" thickBot="1">
      <c r="A48" s="163" t="s">
        <v>261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51"/>
      <c r="R48" s="251"/>
      <c r="S48" s="251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51"/>
      <c r="R49" s="251"/>
      <c r="S49" s="251"/>
    </row>
    <row r="50" spans="1:19" ht="17.25" customHeight="1" thickBot="1">
      <c r="A50" s="162" t="s">
        <v>273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51"/>
      <c r="R50" s="251"/>
      <c r="S50" s="251"/>
    </row>
    <row r="51" spans="1:19" ht="17.25" customHeight="1" thickBot="1">
      <c r="A51" s="162" t="s">
        <v>195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51"/>
      <c r="R51" s="251"/>
      <c r="S51" s="251"/>
    </row>
    <row r="52" spans="1:19" ht="17.25" customHeight="1" thickBot="1">
      <c r="A52" s="162" t="s">
        <v>263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212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52"/>
      <c r="R53" s="253"/>
      <c r="S53" s="254"/>
    </row>
    <row r="54" spans="1:19" ht="17.25" customHeight="1">
      <c r="A54" s="161" t="s">
        <v>185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55"/>
      <c r="R54" s="256"/>
      <c r="S54" s="257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58"/>
      <c r="R55" s="259"/>
      <c r="S55" s="260"/>
    </row>
    <row r="56" spans="1:19" ht="17.25" customHeight="1" thickBot="1">
      <c r="A56" s="162" t="s">
        <v>197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51"/>
      <c r="R56" s="251"/>
      <c r="S56" s="251"/>
    </row>
    <row r="57" spans="1:19" ht="17.25" customHeight="1" thickBot="1">
      <c r="A57" s="162" t="s">
        <v>215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61"/>
      <c r="R57" s="261"/>
      <c r="S57" s="261"/>
    </row>
    <row r="58" spans="1:19" ht="17.25" customHeight="1" thickBot="1">
      <c r="A58" s="163" t="s">
        <v>249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61"/>
      <c r="R58" s="261"/>
      <c r="S58" s="261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51"/>
      <c r="R59" s="251"/>
      <c r="S59" s="251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51"/>
      <c r="R60" s="251"/>
      <c r="S60" s="251"/>
    </row>
    <row r="61" spans="1:19" ht="17.25" customHeight="1" thickBot="1">
      <c r="A61" s="162" t="s">
        <v>259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51"/>
      <c r="R61" s="251"/>
      <c r="S61" s="251"/>
    </row>
    <row r="62" spans="1:19" ht="17.25" customHeight="1">
      <c r="A62" s="162" t="s">
        <v>255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40"/>
      <c r="R62" s="241"/>
      <c r="S62" s="242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43"/>
      <c r="R63" s="244"/>
      <c r="S63" s="245"/>
    </row>
    <row r="64" spans="1:19" ht="17.25" customHeight="1" thickBot="1">
      <c r="A64" s="132" t="s">
        <v>295</v>
      </c>
      <c r="B64" s="304">
        <f>$B$37</f>
        <v>100000</v>
      </c>
      <c r="C64" s="305"/>
      <c r="D64" s="26" t="s">
        <v>296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296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296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296</v>
      </c>
      <c r="N64" s="27">
        <f>IF(COUNT(N44:N63), SUM(N44:N63) / COUNT(N44:N63), 0)</f>
        <v>1.3848662110890369E-2</v>
      </c>
      <c r="O64" s="28">
        <f>SUM(O44:O63)</f>
        <v>27697.324221780742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262" t="s">
        <v>45</v>
      </c>
      <c r="B67" s="263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4"/>
      <c r="Q67" s="261"/>
      <c r="R67" s="261"/>
      <c r="S67" s="261"/>
    </row>
    <row r="68" spans="1:19" ht="17.25" thickBot="1">
      <c r="A68" s="184" t="s">
        <v>292</v>
      </c>
      <c r="B68" s="262" t="s">
        <v>49</v>
      </c>
      <c r="C68" s="264"/>
      <c r="D68" s="262" t="s">
        <v>58</v>
      </c>
      <c r="E68" s="263"/>
      <c r="F68" s="264"/>
      <c r="G68" s="265">
        <f>_xlfn.IFNA(VLOOKUP(B68, 현재가테이블!$B$2:$D$200, 2, FALSE), "-")</f>
        <v>40538000</v>
      </c>
      <c r="H68" s="266"/>
      <c r="I68" s="267"/>
      <c r="J68" s="262" t="s">
        <v>59</v>
      </c>
      <c r="K68" s="263"/>
      <c r="L68" s="264"/>
      <c r="M68" s="268">
        <f>_xlfn.IFNA(VLOOKUP(B68, 현재가테이블!$B$2:$D$200, 3, FALSE), "-")</f>
        <v>-3.68275993E-2</v>
      </c>
      <c r="N68" s="269"/>
      <c r="O68" s="270"/>
      <c r="Q68" s="261"/>
      <c r="R68" s="261"/>
      <c r="S68" s="261"/>
    </row>
    <row r="69" spans="1:19" ht="17.25" thickBot="1">
      <c r="A69" s="306" t="s">
        <v>55</v>
      </c>
      <c r="B69" s="302" t="str">
        <f>TEXT($G$1, "[$-ko-KR]yyyy-mm-dd(ddd) ") &amp; "오전 00:00"</f>
        <v>2021-06-07(월) 오전 00:00</v>
      </c>
      <c r="C69" s="303"/>
      <c r="D69" s="275" t="str">
        <f>TEXT($G$1, "[$-ko-KR]yyyy-mm-dd(ddd) ") &amp; "오후 14:00"</f>
        <v>2021-06-07(월) 오후 14:00</v>
      </c>
      <c r="E69" s="276"/>
      <c r="F69" s="277"/>
      <c r="G69" s="275" t="str">
        <f>TEXT($G$1, "[$-ko-KR]yyyy-mm-dd(ddd) ") &amp; "오후 19:00"</f>
        <v>2021-06-07(월) 오후 19:00</v>
      </c>
      <c r="H69" s="276"/>
      <c r="I69" s="277"/>
      <c r="J69" s="275" t="str">
        <f>TEXT($G$1, "[$-ko-KR]yyyy-mm-dd(ddd) ") &amp; "오후 21:00"</f>
        <v>2021-06-07(월) 오후 21:00</v>
      </c>
      <c r="K69" s="276"/>
      <c r="L69" s="277"/>
      <c r="M69" s="275" t="str">
        <f>TEXT($G$1+1, "[$-ko-KR]yyyy-mm-dd(ddd) ") &amp; "오전 00:00"</f>
        <v>2021-06-08(화) 오전 00:00</v>
      </c>
      <c r="N69" s="276"/>
      <c r="O69" s="277"/>
      <c r="Q69" s="261"/>
      <c r="R69" s="261"/>
      <c r="S69" s="261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5" t="s">
        <v>58</v>
      </c>
      <c r="H70" s="186" t="s">
        <v>293</v>
      </c>
      <c r="I70" s="18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1"/>
      <c r="R70" s="251"/>
      <c r="S70" s="251"/>
    </row>
    <row r="71" spans="1:19" ht="17.25" thickBot="1">
      <c r="A71" s="161" t="s">
        <v>199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61"/>
      <c r="R71" s="261"/>
      <c r="S71" s="261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61"/>
      <c r="R72" s="261"/>
      <c r="S72" s="261"/>
    </row>
    <row r="73" spans="1:19" ht="17.25" thickBot="1">
      <c r="A73" s="162" t="s">
        <v>201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51"/>
      <c r="R73" s="251"/>
      <c r="S73" s="251"/>
    </row>
    <row r="74" spans="1:19" ht="17.25" thickBot="1">
      <c r="A74" s="162" t="s">
        <v>236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51"/>
      <c r="R74" s="251"/>
      <c r="S74" s="251"/>
    </row>
    <row r="75" spans="1:19" ht="17.25" thickBot="1">
      <c r="A75" s="163" t="s">
        <v>229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51"/>
      <c r="R75" s="251"/>
      <c r="S75" s="251"/>
    </row>
    <row r="76" spans="1:19" ht="17.25" thickBot="1">
      <c r="A76" s="162" t="s">
        <v>246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51"/>
      <c r="R76" s="251"/>
      <c r="S76" s="251"/>
    </row>
    <row r="77" spans="1:19" ht="17.25" thickBot="1">
      <c r="A77" s="162" t="s">
        <v>208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51"/>
      <c r="R77" s="251"/>
      <c r="S77" s="251"/>
    </row>
    <row r="78" spans="1:19" ht="17.25" thickBot="1">
      <c r="A78" s="162" t="s">
        <v>206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51"/>
      <c r="R78" s="251"/>
      <c r="S78" s="251"/>
    </row>
    <row r="79" spans="1:19" ht="17.25" thickBot="1">
      <c r="A79" s="162" t="s">
        <v>173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181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52"/>
      <c r="R80" s="253"/>
      <c r="S80" s="254"/>
    </row>
    <row r="81" spans="1:19">
      <c r="A81" s="161" t="s">
        <v>277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55"/>
      <c r="R81" s="256"/>
      <c r="S81" s="257"/>
    </row>
    <row r="82" spans="1:19" ht="17.25" thickBot="1">
      <c r="A82" s="162" t="s">
        <v>227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58"/>
      <c r="R82" s="259"/>
      <c r="S82" s="260"/>
    </row>
    <row r="83" spans="1:19" ht="17.25" thickBot="1">
      <c r="A83" s="162" t="s">
        <v>251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51"/>
      <c r="R83" s="251"/>
      <c r="S83" s="251"/>
    </row>
    <row r="84" spans="1:19" ht="17.25" thickBot="1">
      <c r="A84" s="162" t="s">
        <v>257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61"/>
      <c r="R84" s="261"/>
      <c r="S84" s="261"/>
    </row>
    <row r="85" spans="1:19" ht="17.25" thickBot="1">
      <c r="A85" s="163" t="s">
        <v>253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61"/>
      <c r="R85" s="261"/>
      <c r="S85" s="261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51"/>
      <c r="R86" s="251"/>
      <c r="S86" s="251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51"/>
      <c r="R87" s="251"/>
      <c r="S87" s="251"/>
    </row>
    <row r="88" spans="1:19" ht="17.25" thickBot="1">
      <c r="A88" s="162" t="s">
        <v>234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51"/>
      <c r="R88" s="251"/>
      <c r="S88" s="251"/>
    </row>
    <row r="89" spans="1:19">
      <c r="A89" s="162" t="s">
        <v>248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40"/>
      <c r="R89" s="241"/>
      <c r="S89" s="242"/>
    </row>
    <row r="90" spans="1:19" ht="17.25" thickBot="1">
      <c r="A90" s="130" t="s">
        <v>167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43"/>
      <c r="R90" s="244"/>
      <c r="S90" s="245"/>
    </row>
    <row r="91" spans="1:19" ht="17.25" thickBot="1">
      <c r="A91" s="132" t="s">
        <v>295</v>
      </c>
      <c r="B91" s="304">
        <f>$B$37</f>
        <v>100000</v>
      </c>
      <c r="C91" s="305"/>
      <c r="D91" s="26" t="s">
        <v>296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296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296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296</v>
      </c>
      <c r="N91" s="27">
        <f>IF(COUNT(N71:N90), SUM(N71:N90) / COUNT(N71:N90), 0)</f>
        <v>2.297050103376317E-2</v>
      </c>
      <c r="O91" s="28">
        <f>SUM(O71:O90)</f>
        <v>45941.002067526351</v>
      </c>
      <c r="Q91" s="246"/>
      <c r="R91" s="247"/>
      <c r="S91" s="248"/>
    </row>
    <row r="93" spans="1:19" ht="17.25" thickBot="1"/>
    <row r="94" spans="1:19" ht="17.25" thickBot="1">
      <c r="A94" s="262" t="s">
        <v>46</v>
      </c>
      <c r="B94" s="263"/>
      <c r="C94" s="263"/>
      <c r="D94" s="263"/>
      <c r="E94" s="263"/>
      <c r="F94" s="263"/>
      <c r="G94" s="263"/>
      <c r="H94" s="263"/>
      <c r="I94" s="263"/>
      <c r="J94" s="263"/>
      <c r="K94" s="263"/>
      <c r="L94" s="263"/>
      <c r="M94" s="263"/>
      <c r="N94" s="263"/>
      <c r="O94" s="264"/>
      <c r="Q94" s="261"/>
      <c r="R94" s="261"/>
      <c r="S94" s="261"/>
    </row>
    <row r="95" spans="1:19" ht="17.25" thickBot="1">
      <c r="A95" s="184" t="s">
        <v>292</v>
      </c>
      <c r="B95" s="262" t="s">
        <v>49</v>
      </c>
      <c r="C95" s="264"/>
      <c r="D95" s="262" t="s">
        <v>58</v>
      </c>
      <c r="E95" s="263"/>
      <c r="F95" s="264"/>
      <c r="G95" s="265">
        <f>_xlfn.IFNA(VLOOKUP(B95, 현재가테이블!$B$2:$D$200, 2, FALSE), "-")</f>
        <v>40538000</v>
      </c>
      <c r="H95" s="266"/>
      <c r="I95" s="267"/>
      <c r="J95" s="262" t="s">
        <v>59</v>
      </c>
      <c r="K95" s="263"/>
      <c r="L95" s="264"/>
      <c r="M95" s="268">
        <f>_xlfn.IFNA(VLOOKUP(B95, 현재가테이블!$B$2:$D$200, 3, FALSE), "-")</f>
        <v>-3.68275993E-2</v>
      </c>
      <c r="N95" s="269"/>
      <c r="O95" s="270"/>
      <c r="Q95" s="261"/>
      <c r="R95" s="261"/>
      <c r="S95" s="261"/>
    </row>
    <row r="96" spans="1:19" ht="17.25" thickBot="1">
      <c r="A96" s="306" t="s">
        <v>55</v>
      </c>
      <c r="B96" s="302" t="str">
        <f>TEXT($G$1, "[$-ko-KR]yyyy-mm-dd(ddd) ") &amp; "오전 00:00"</f>
        <v>2021-06-07(월) 오전 00:00</v>
      </c>
      <c r="C96" s="303"/>
      <c r="D96" s="275" t="str">
        <f>TEXT($G$1, "[$-ko-KR]yyyy-mm-dd(ddd) ") &amp; "오후 14:00"</f>
        <v>2021-06-07(월) 오후 14:00</v>
      </c>
      <c r="E96" s="276"/>
      <c r="F96" s="277"/>
      <c r="G96" s="275" t="str">
        <f>TEXT($G$1, "[$-ko-KR]yyyy-mm-dd(ddd) ") &amp; "오후 19:00"</f>
        <v>2021-06-07(월) 오후 19:00</v>
      </c>
      <c r="H96" s="276"/>
      <c r="I96" s="277"/>
      <c r="J96" s="275" t="str">
        <f>TEXT($G$1, "[$-ko-KR]yyyy-mm-dd(ddd) ") &amp; "오후 21:00"</f>
        <v>2021-06-07(월) 오후 21:00</v>
      </c>
      <c r="K96" s="276"/>
      <c r="L96" s="277"/>
      <c r="M96" s="275" t="str">
        <f>TEXT($G$1+1, "[$-ko-KR]yyyy-mm-dd(ddd) ") &amp; "오전 00:00"</f>
        <v>2021-06-08(화) 오전 00:00</v>
      </c>
      <c r="N96" s="276"/>
      <c r="O96" s="277"/>
      <c r="Q96" s="261"/>
      <c r="R96" s="261"/>
      <c r="S96" s="261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5" t="s">
        <v>58</v>
      </c>
      <c r="H97" s="186" t="s">
        <v>293</v>
      </c>
      <c r="I97" s="18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1"/>
      <c r="R97" s="251"/>
      <c r="S97" s="251"/>
    </row>
    <row r="98" spans="1:19" ht="17.25" thickBot="1">
      <c r="A98" s="161" t="s">
        <v>189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61"/>
      <c r="R98" s="261"/>
      <c r="S98" s="261"/>
    </row>
    <row r="99" spans="1:19" ht="17.25" thickBot="1">
      <c r="A99" s="162" t="s">
        <v>163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61"/>
      <c r="R99" s="261"/>
      <c r="S99" s="261"/>
    </row>
    <row r="100" spans="1:19" ht="17.25" thickBot="1">
      <c r="A100" s="162" t="s">
        <v>271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51"/>
      <c r="R100" s="251"/>
      <c r="S100" s="251"/>
    </row>
    <row r="101" spans="1:19" ht="17.25" thickBot="1">
      <c r="A101" s="162" t="s">
        <v>179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51"/>
      <c r="R101" s="251"/>
      <c r="S101" s="251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51"/>
      <c r="R102" s="251"/>
      <c r="S102" s="251"/>
    </row>
    <row r="103" spans="1:19" ht="17.25" thickBot="1">
      <c r="A103" s="162" t="s">
        <v>191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51"/>
      <c r="R103" s="251"/>
      <c r="S103" s="251"/>
    </row>
    <row r="104" spans="1:19" ht="17.25" thickBot="1">
      <c r="A104" s="162" t="s">
        <v>199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51"/>
      <c r="R104" s="251"/>
      <c r="S104" s="251"/>
    </row>
    <row r="105" spans="1:19" ht="17.25" thickBot="1">
      <c r="A105" s="162" t="s">
        <v>165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51"/>
      <c r="R105" s="251"/>
      <c r="S105" s="251"/>
    </row>
    <row r="106" spans="1:19" ht="17.25" thickBot="1">
      <c r="A106" s="162" t="s">
        <v>225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52"/>
      <c r="R107" s="253"/>
      <c r="S107" s="254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55"/>
      <c r="R108" s="256"/>
      <c r="S108" s="257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58"/>
      <c r="R109" s="259"/>
      <c r="S109" s="260"/>
    </row>
    <row r="110" spans="1:19" ht="17.25" thickBot="1">
      <c r="A110" s="162" t="s">
        <v>201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51"/>
      <c r="R110" s="251"/>
      <c r="S110" s="251"/>
    </row>
    <row r="111" spans="1:19" ht="17.25" thickBot="1">
      <c r="A111" s="162" t="s">
        <v>193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61"/>
      <c r="R111" s="261"/>
      <c r="S111" s="261"/>
    </row>
    <row r="112" spans="1:19" ht="17.25" thickBot="1">
      <c r="A112" s="163" t="s">
        <v>217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61"/>
      <c r="R112" s="261"/>
      <c r="S112" s="261"/>
    </row>
    <row r="113" spans="1:19" ht="17.25" thickBot="1">
      <c r="A113" s="162" t="s">
        <v>275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51"/>
      <c r="R113" s="251"/>
      <c r="S113" s="251"/>
    </row>
    <row r="114" spans="1:19" ht="17.25" thickBot="1">
      <c r="A114" s="162" t="s">
        <v>236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51"/>
      <c r="R114" s="251"/>
      <c r="S114" s="251"/>
    </row>
    <row r="115" spans="1:19" ht="17.25" thickBot="1">
      <c r="A115" s="162" t="s">
        <v>261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51"/>
      <c r="R115" s="251"/>
      <c r="S115" s="251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40"/>
      <c r="R116" s="241"/>
      <c r="S116" s="242"/>
    </row>
    <row r="117" spans="1:19" ht="17.25" thickBot="1">
      <c r="A117" s="130" t="s">
        <v>267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43"/>
      <c r="R117" s="244"/>
      <c r="S117" s="245"/>
    </row>
    <row r="118" spans="1:19" ht="17.25" thickBot="1">
      <c r="A118" s="132" t="s">
        <v>295</v>
      </c>
      <c r="B118" s="304">
        <f>$B$37</f>
        <v>100000</v>
      </c>
      <c r="C118" s="305"/>
      <c r="D118" s="26" t="s">
        <v>296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296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296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296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46"/>
      <c r="R118" s="247"/>
      <c r="S118" s="248"/>
    </row>
    <row r="120" spans="1:19" ht="17.25" thickBot="1"/>
    <row r="121" spans="1:19" ht="17.25" thickBot="1">
      <c r="A121" s="262" t="s">
        <v>283</v>
      </c>
      <c r="B121" s="263"/>
      <c r="C121" s="263"/>
      <c r="D121" s="263"/>
      <c r="E121" s="263"/>
      <c r="F121" s="263"/>
      <c r="G121" s="263"/>
      <c r="H121" s="263"/>
      <c r="I121" s="263"/>
      <c r="J121" s="263"/>
      <c r="K121" s="263"/>
      <c r="L121" s="263"/>
      <c r="M121" s="263"/>
      <c r="N121" s="263"/>
      <c r="O121" s="264"/>
      <c r="Q121" s="261"/>
      <c r="R121" s="261"/>
      <c r="S121" s="261"/>
    </row>
    <row r="122" spans="1:19" ht="17.25" thickBot="1">
      <c r="A122" s="184" t="s">
        <v>292</v>
      </c>
      <c r="B122" s="262" t="s">
        <v>49</v>
      </c>
      <c r="C122" s="264"/>
      <c r="D122" s="262" t="s">
        <v>58</v>
      </c>
      <c r="E122" s="263"/>
      <c r="F122" s="264"/>
      <c r="G122" s="265">
        <f>_xlfn.IFNA(VLOOKUP(B122, 현재가테이블!$B$2:$D$200, 2, FALSE), "-")</f>
        <v>40538000</v>
      </c>
      <c r="H122" s="266"/>
      <c r="I122" s="267"/>
      <c r="J122" s="262" t="s">
        <v>59</v>
      </c>
      <c r="K122" s="263"/>
      <c r="L122" s="264"/>
      <c r="M122" s="268">
        <f>_xlfn.IFNA(VLOOKUP(B122, 현재가테이블!$B$2:$D$200, 3, FALSE), "-")</f>
        <v>-3.68275993E-2</v>
      </c>
      <c r="N122" s="269"/>
      <c r="O122" s="270"/>
      <c r="Q122" s="261"/>
      <c r="R122" s="261"/>
      <c r="S122" s="261"/>
    </row>
    <row r="123" spans="1:19" ht="17.25" thickBot="1">
      <c r="A123" s="306" t="s">
        <v>55</v>
      </c>
      <c r="B123" s="302" t="str">
        <f>TEXT($G$1, "[$-ko-KR]yyyy-mm-dd(ddd) ") &amp; "오전 00:00"</f>
        <v>2021-06-07(월) 오전 00:00</v>
      </c>
      <c r="C123" s="303"/>
      <c r="D123" s="275" t="str">
        <f>TEXT($G$1, "[$-ko-KR]yyyy-mm-dd(ddd) ") &amp; "오후 14:00"</f>
        <v>2021-06-07(월) 오후 14:00</v>
      </c>
      <c r="E123" s="276"/>
      <c r="F123" s="277"/>
      <c r="G123" s="275" t="str">
        <f>TEXT($G$1, "[$-ko-KR]yyyy-mm-dd(ddd) ") &amp; "오후 19:00"</f>
        <v>2021-06-07(월) 오후 19:00</v>
      </c>
      <c r="H123" s="276"/>
      <c r="I123" s="277"/>
      <c r="J123" s="275" t="str">
        <f>TEXT($G$1, "[$-ko-KR]yyyy-mm-dd(ddd) ") &amp; "오후 21:00"</f>
        <v>2021-06-07(월) 오후 21:00</v>
      </c>
      <c r="K123" s="276"/>
      <c r="L123" s="277"/>
      <c r="M123" s="275" t="str">
        <f>TEXT($G$1+1, "[$-ko-KR]yyyy-mm-dd(ddd) ") &amp; "오전 00:00"</f>
        <v>2021-06-08(화) 오전 00:00</v>
      </c>
      <c r="N123" s="276"/>
      <c r="O123" s="277"/>
      <c r="Q123" s="261"/>
      <c r="R123" s="261"/>
      <c r="S123" s="261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5" t="s">
        <v>58</v>
      </c>
      <c r="H124" s="186" t="s">
        <v>293</v>
      </c>
      <c r="I124" s="18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1"/>
      <c r="R124" s="251"/>
      <c r="S124" s="251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61"/>
      <c r="R125" s="261"/>
      <c r="S125" s="261"/>
    </row>
    <row r="126" spans="1:19" ht="17.25" thickBot="1">
      <c r="A126" s="162" t="s">
        <v>273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61"/>
      <c r="R126" s="261"/>
      <c r="S126" s="261"/>
    </row>
    <row r="127" spans="1:19" ht="17.25" thickBot="1">
      <c r="A127" s="162" t="s">
        <v>195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51"/>
      <c r="R127" s="251"/>
      <c r="S127" s="251"/>
    </row>
    <row r="128" spans="1:19" ht="17.25" thickBot="1">
      <c r="A128" s="162" t="s">
        <v>263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51"/>
      <c r="R128" s="251"/>
      <c r="S128" s="251"/>
    </row>
    <row r="129" spans="1:19" ht="17.25" thickBot="1">
      <c r="A129" s="163" t="s">
        <v>212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51"/>
      <c r="R129" s="251"/>
      <c r="S129" s="251"/>
    </row>
    <row r="130" spans="1:19" ht="17.25" thickBot="1">
      <c r="A130" s="162" t="s">
        <v>185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51"/>
      <c r="R130" s="251"/>
      <c r="S130" s="251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51"/>
      <c r="R131" s="251"/>
      <c r="S131" s="251"/>
    </row>
    <row r="132" spans="1:19" ht="17.25" thickBot="1">
      <c r="A132" s="162" t="s">
        <v>197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51"/>
      <c r="R132" s="251"/>
      <c r="S132" s="251"/>
    </row>
    <row r="133" spans="1:19" ht="17.25" thickBot="1">
      <c r="A133" s="162" t="s">
        <v>215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249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52"/>
      <c r="R134" s="253"/>
      <c r="S134" s="254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55"/>
      <c r="R135" s="256"/>
      <c r="S135" s="257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58"/>
      <c r="R136" s="259"/>
      <c r="S136" s="260"/>
    </row>
    <row r="137" spans="1:19" ht="17.25" thickBot="1">
      <c r="A137" s="162" t="s">
        <v>259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51"/>
      <c r="R137" s="251"/>
      <c r="S137" s="251"/>
    </row>
    <row r="138" spans="1:19" ht="17.25" thickBot="1">
      <c r="A138" s="162" t="s">
        <v>255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61"/>
      <c r="R138" s="261"/>
      <c r="S138" s="261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61"/>
      <c r="R139" s="261"/>
      <c r="S139" s="261"/>
    </row>
    <row r="140" spans="1:19" ht="17.25" thickBot="1">
      <c r="A140" s="162" t="s">
        <v>210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51"/>
      <c r="R140" s="251"/>
      <c r="S140" s="251"/>
    </row>
    <row r="141" spans="1:19" ht="17.25" thickBot="1">
      <c r="A141" s="162" t="s">
        <v>233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51"/>
      <c r="R141" s="251"/>
      <c r="S141" s="251"/>
    </row>
    <row r="142" spans="1:19" ht="17.25" thickBot="1">
      <c r="A142" s="162" t="s">
        <v>171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51"/>
      <c r="R142" s="251"/>
      <c r="S142" s="251"/>
    </row>
    <row r="143" spans="1:19">
      <c r="A143" s="162" t="s">
        <v>219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40"/>
      <c r="R143" s="241"/>
      <c r="S143" s="242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43"/>
      <c r="R144" s="244"/>
      <c r="S144" s="245"/>
    </row>
    <row r="145" spans="1:19" ht="17.25" thickBot="1">
      <c r="A145" s="132" t="s">
        <v>295</v>
      </c>
      <c r="B145" s="304">
        <f>$B$37</f>
        <v>100000</v>
      </c>
      <c r="C145" s="305"/>
      <c r="D145" s="26" t="s">
        <v>296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296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296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296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46"/>
      <c r="R145" s="247"/>
      <c r="S145" s="248"/>
    </row>
    <row r="147" spans="1:19" ht="17.25" thickBot="1"/>
    <row r="148" spans="1:19" ht="17.25" thickBot="1">
      <c r="A148" s="262" t="s">
        <v>284</v>
      </c>
      <c r="B148" s="263"/>
      <c r="C148" s="263"/>
      <c r="D148" s="263"/>
      <c r="E148" s="263"/>
      <c r="F148" s="263"/>
      <c r="G148" s="263"/>
      <c r="H148" s="263"/>
      <c r="I148" s="263"/>
      <c r="J148" s="263"/>
      <c r="K148" s="263"/>
      <c r="L148" s="263"/>
      <c r="M148" s="263"/>
      <c r="N148" s="263"/>
      <c r="O148" s="264"/>
      <c r="Q148" s="261"/>
      <c r="R148" s="261"/>
      <c r="S148" s="261"/>
    </row>
    <row r="149" spans="1:19" ht="17.25" thickBot="1">
      <c r="A149" s="184" t="s">
        <v>292</v>
      </c>
      <c r="B149" s="262" t="s">
        <v>49</v>
      </c>
      <c r="C149" s="264"/>
      <c r="D149" s="262" t="s">
        <v>58</v>
      </c>
      <c r="E149" s="263"/>
      <c r="F149" s="264"/>
      <c r="G149" s="265">
        <f>_xlfn.IFNA(VLOOKUP(B149, 현재가테이블!$B$2:$D$200, 2, FALSE), "-")</f>
        <v>40538000</v>
      </c>
      <c r="H149" s="266"/>
      <c r="I149" s="267"/>
      <c r="J149" s="262" t="s">
        <v>59</v>
      </c>
      <c r="K149" s="263"/>
      <c r="L149" s="264"/>
      <c r="M149" s="268">
        <f>_xlfn.IFNA(VLOOKUP(B149, 현재가테이블!$B$2:$D$200, 3, FALSE), "-")</f>
        <v>-3.68275993E-2</v>
      </c>
      <c r="N149" s="269"/>
      <c r="O149" s="270"/>
      <c r="Q149" s="261"/>
      <c r="R149" s="261"/>
      <c r="S149" s="261"/>
    </row>
    <row r="150" spans="1:19" ht="17.25" thickBot="1">
      <c r="A150" s="306" t="s">
        <v>55</v>
      </c>
      <c r="B150" s="302" t="str">
        <f>TEXT($G$1, "[$-ko-KR]yyyy-mm-dd(ddd) ") &amp; "오전 00:00"</f>
        <v>2021-06-07(월) 오전 00:00</v>
      </c>
      <c r="C150" s="303"/>
      <c r="D150" s="275" t="str">
        <f>TEXT($G$1, "[$-ko-KR]yyyy-mm-dd(ddd) ") &amp; "오후 14:00"</f>
        <v>2021-06-07(월) 오후 14:00</v>
      </c>
      <c r="E150" s="276"/>
      <c r="F150" s="277"/>
      <c r="G150" s="275" t="str">
        <f>TEXT($G$1, "[$-ko-KR]yyyy-mm-dd(ddd) ") &amp; "오후 19:00"</f>
        <v>2021-06-07(월) 오후 19:00</v>
      </c>
      <c r="H150" s="276"/>
      <c r="I150" s="277"/>
      <c r="J150" s="275" t="str">
        <f>TEXT($G$1, "[$-ko-KR]yyyy-mm-dd(ddd) ") &amp; "오후 21:00"</f>
        <v>2021-06-07(월) 오후 21:00</v>
      </c>
      <c r="K150" s="276"/>
      <c r="L150" s="277"/>
      <c r="M150" s="275" t="str">
        <f>TEXT($G$1+1, "[$-ko-KR]yyyy-mm-dd(ddd) ") &amp; "오전 00:00"</f>
        <v>2021-06-08(화) 오전 00:00</v>
      </c>
      <c r="N150" s="276"/>
      <c r="O150" s="277"/>
      <c r="Q150" s="261"/>
      <c r="R150" s="261"/>
      <c r="S150" s="261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5" t="s">
        <v>58</v>
      </c>
      <c r="H151" s="186" t="s">
        <v>293</v>
      </c>
      <c r="I151" s="18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1"/>
      <c r="R151" s="251"/>
      <c r="S151" s="251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61"/>
      <c r="R152" s="261"/>
      <c r="S152" s="261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61"/>
      <c r="R153" s="261"/>
      <c r="S153" s="261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51"/>
      <c r="R154" s="251"/>
      <c r="S154" s="251"/>
    </row>
    <row r="155" spans="1:19" ht="17.25" thickBot="1">
      <c r="A155" s="162" t="s">
        <v>279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51"/>
      <c r="R155" s="251"/>
      <c r="S155" s="251"/>
    </row>
    <row r="156" spans="1:19" ht="17.25" thickBot="1">
      <c r="A156" s="163" t="s">
        <v>214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51"/>
      <c r="R156" s="251"/>
      <c r="S156" s="251"/>
    </row>
    <row r="157" spans="1:19" ht="17.25" thickBot="1">
      <c r="A157" s="162" t="s">
        <v>169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51"/>
      <c r="R157" s="251"/>
      <c r="S157" s="251"/>
    </row>
    <row r="158" spans="1:19" ht="17.25" thickBot="1">
      <c r="A158" s="162" t="s">
        <v>231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51"/>
      <c r="R158" s="251"/>
      <c r="S158" s="251"/>
    </row>
    <row r="159" spans="1:19" ht="17.25" thickBot="1">
      <c r="A159" s="162" t="s">
        <v>223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51"/>
      <c r="R159" s="251"/>
      <c r="S159" s="251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242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52"/>
      <c r="R161" s="253"/>
      <c r="S161" s="254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55"/>
      <c r="R162" s="256"/>
      <c r="S162" s="257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58"/>
      <c r="R163" s="259"/>
      <c r="S163" s="260"/>
    </row>
    <row r="164" spans="1:19" ht="17.25" thickBot="1">
      <c r="A164" s="162" t="s">
        <v>265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51"/>
      <c r="R164" s="251"/>
      <c r="S164" s="251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61"/>
      <c r="R165" s="261"/>
      <c r="S165" s="261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61"/>
      <c r="R166" s="261"/>
      <c r="S166" s="261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51"/>
      <c r="R167" s="251"/>
      <c r="S167" s="251"/>
    </row>
    <row r="168" spans="1:19" ht="17.25" thickBot="1">
      <c r="A168" s="162" t="s">
        <v>291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51"/>
      <c r="R168" s="251"/>
      <c r="S168" s="251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51"/>
      <c r="R169" s="251"/>
      <c r="S169" s="251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40"/>
      <c r="R170" s="241"/>
      <c r="S170" s="242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43"/>
      <c r="R171" s="244"/>
      <c r="S171" s="245"/>
    </row>
    <row r="172" spans="1:19" ht="17.25" thickBot="1">
      <c r="A172" s="132" t="s">
        <v>295</v>
      </c>
      <c r="B172" s="304">
        <f>$B$37</f>
        <v>100000</v>
      </c>
      <c r="C172" s="305"/>
      <c r="D172" s="26" t="s">
        <v>296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296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296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296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46"/>
      <c r="R172" s="247"/>
      <c r="S172" s="248"/>
    </row>
    <row r="174" spans="1:19" ht="17.25" thickBot="1"/>
    <row r="175" spans="1:19" ht="17.25" thickBot="1">
      <c r="A175" s="262" t="s">
        <v>280</v>
      </c>
      <c r="B175" s="263"/>
      <c r="C175" s="263"/>
      <c r="D175" s="263"/>
      <c r="E175" s="263"/>
      <c r="F175" s="263"/>
      <c r="G175" s="263"/>
      <c r="H175" s="263"/>
      <c r="I175" s="263"/>
      <c r="J175" s="263"/>
      <c r="K175" s="263"/>
      <c r="L175" s="263"/>
      <c r="M175" s="263"/>
      <c r="N175" s="263"/>
      <c r="O175" s="264"/>
      <c r="Q175" s="261"/>
      <c r="R175" s="261"/>
      <c r="S175" s="261"/>
    </row>
    <row r="176" spans="1:19" ht="17.25" thickBot="1">
      <c r="A176" s="184" t="s">
        <v>292</v>
      </c>
      <c r="B176" s="262" t="s">
        <v>49</v>
      </c>
      <c r="C176" s="264"/>
      <c r="D176" s="262" t="s">
        <v>58</v>
      </c>
      <c r="E176" s="263"/>
      <c r="F176" s="264"/>
      <c r="G176" s="265">
        <f>_xlfn.IFNA(VLOOKUP(B176, 현재가테이블!$B$2:$D$200, 2, FALSE), "-")</f>
        <v>40538000</v>
      </c>
      <c r="H176" s="266"/>
      <c r="I176" s="267"/>
      <c r="J176" s="262" t="s">
        <v>59</v>
      </c>
      <c r="K176" s="263"/>
      <c r="L176" s="264"/>
      <c r="M176" s="268">
        <f>_xlfn.IFNA(VLOOKUP(B176, 현재가테이블!$B$2:$D$200, 3, FALSE), "-")</f>
        <v>-3.68275993E-2</v>
      </c>
      <c r="N176" s="269"/>
      <c r="O176" s="270"/>
      <c r="Q176" s="261"/>
      <c r="R176" s="261"/>
      <c r="S176" s="261"/>
    </row>
    <row r="177" spans="1:19" ht="17.25" thickBot="1">
      <c r="A177" s="306" t="s">
        <v>55</v>
      </c>
      <c r="B177" s="302" t="str">
        <f>TEXT($G$1, "[$-ko-KR]yyyy-mm-dd(ddd) ") &amp; "오전 00:00"</f>
        <v>2021-06-07(월) 오전 00:00</v>
      </c>
      <c r="C177" s="303"/>
      <c r="D177" s="275" t="str">
        <f>TEXT($G$1, "[$-ko-KR]yyyy-mm-dd(ddd) ") &amp; "오후 14:00"</f>
        <v>2021-06-07(월) 오후 14:00</v>
      </c>
      <c r="E177" s="276"/>
      <c r="F177" s="277"/>
      <c r="G177" s="275" t="str">
        <f>TEXT($G$1, "[$-ko-KR]yyyy-mm-dd(ddd) ") &amp; "오후 19:00"</f>
        <v>2021-06-07(월) 오후 19:00</v>
      </c>
      <c r="H177" s="276"/>
      <c r="I177" s="277"/>
      <c r="J177" s="275" t="str">
        <f>TEXT($G$1, "[$-ko-KR]yyyy-mm-dd(ddd) ") &amp; "오후 21:00"</f>
        <v>2021-06-07(월) 오후 21:00</v>
      </c>
      <c r="K177" s="276"/>
      <c r="L177" s="277"/>
      <c r="M177" s="275" t="str">
        <f>TEXT($G$1+1, "[$-ko-KR]yyyy-mm-dd(ddd) ") &amp; "오전 00:00"</f>
        <v>2021-06-08(화) 오전 00:00</v>
      </c>
      <c r="N177" s="276"/>
      <c r="O177" s="277"/>
      <c r="Q177" s="261"/>
      <c r="R177" s="261"/>
      <c r="S177" s="261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5" t="s">
        <v>58</v>
      </c>
      <c r="H178" s="186" t="s">
        <v>293</v>
      </c>
      <c r="I178" s="18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1"/>
      <c r="R178" s="251"/>
      <c r="S178" s="251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61"/>
      <c r="R179" s="261"/>
      <c r="S179" s="261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61"/>
      <c r="R180" s="261"/>
      <c r="S180" s="261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51"/>
      <c r="R181" s="251"/>
      <c r="S181" s="251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51"/>
      <c r="R182" s="251"/>
      <c r="S182" s="251"/>
    </row>
    <row r="183" spans="1:19" ht="17.25" thickBot="1">
      <c r="A183" s="163" t="s">
        <v>187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51"/>
      <c r="R183" s="251"/>
      <c r="S183" s="251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51"/>
      <c r="R184" s="251"/>
      <c r="S184" s="251"/>
    </row>
    <row r="185" spans="1:19" ht="17.25" thickBot="1">
      <c r="A185" s="162" t="s">
        <v>269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51"/>
      <c r="R185" s="251"/>
      <c r="S185" s="251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51"/>
      <c r="R186" s="251"/>
      <c r="S186" s="251"/>
    </row>
    <row r="187" spans="1:19" ht="17.25" thickBot="1">
      <c r="A187" s="162" t="s">
        <v>183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219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52"/>
      <c r="R188" s="253"/>
      <c r="S188" s="254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55"/>
      <c r="R189" s="256"/>
      <c r="S189" s="257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58"/>
      <c r="R190" s="259"/>
      <c r="S190" s="260"/>
    </row>
    <row r="191" spans="1:19" ht="17.25" thickBot="1">
      <c r="A191" s="162" t="s">
        <v>291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51"/>
      <c r="R191" s="251"/>
      <c r="S191" s="251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61"/>
      <c r="R192" s="261"/>
      <c r="S192" s="261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61"/>
      <c r="R193" s="261"/>
      <c r="S193" s="261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51"/>
      <c r="R194" s="251"/>
      <c r="S194" s="251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51"/>
      <c r="R195" s="251"/>
      <c r="S195" s="251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51"/>
      <c r="R196" s="251"/>
      <c r="S196" s="251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40"/>
      <c r="R197" s="241"/>
      <c r="S197" s="242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43"/>
      <c r="R198" s="244"/>
      <c r="S198" s="245"/>
    </row>
    <row r="199" spans="1:19" ht="17.25" thickBot="1">
      <c r="A199" s="132" t="s">
        <v>295</v>
      </c>
      <c r="B199" s="304">
        <f>$B$37</f>
        <v>100000</v>
      </c>
      <c r="C199" s="305"/>
      <c r="D199" s="26" t="s">
        <v>296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296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296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296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46"/>
      <c r="R199" s="247"/>
      <c r="S199" s="24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2" t="s">
        <v>0</v>
      </c>
      <c r="B1" s="263"/>
      <c r="C1" s="263"/>
      <c r="D1" s="263"/>
      <c r="E1" s="263"/>
      <c r="F1" s="264"/>
      <c r="G1" s="293">
        <v>44355</v>
      </c>
      <c r="H1" s="294"/>
      <c r="I1" s="295"/>
      <c r="J1" s="262" t="s">
        <v>1</v>
      </c>
      <c r="K1" s="263"/>
      <c r="L1" s="263"/>
      <c r="M1" s="263"/>
      <c r="N1" s="263"/>
      <c r="O1" s="264"/>
      <c r="Q1" s="262" t="s">
        <v>2</v>
      </c>
      <c r="R1" s="264"/>
    </row>
    <row r="2" spans="1:19" ht="17.25" customHeight="1">
      <c r="A2" s="117" t="s">
        <v>3</v>
      </c>
      <c r="B2" s="296" t="s">
        <v>8</v>
      </c>
      <c r="C2" s="297"/>
      <c r="D2" s="297"/>
      <c r="E2" s="297"/>
      <c r="F2" s="298"/>
      <c r="G2" s="290" t="s">
        <v>46</v>
      </c>
      <c r="H2" s="291"/>
      <c r="I2" s="292"/>
      <c r="J2" s="1" t="s">
        <v>3</v>
      </c>
      <c r="K2" s="296" t="s">
        <v>345</v>
      </c>
      <c r="L2" s="297"/>
      <c r="M2" s="297"/>
      <c r="N2" s="297"/>
      <c r="O2" s="298"/>
      <c r="Q2" s="2" t="s">
        <v>6</v>
      </c>
      <c r="R2" s="3">
        <v>0.375</v>
      </c>
    </row>
    <row r="3" spans="1:19" ht="17.25" customHeight="1" thickBot="1">
      <c r="A3" s="118" t="s">
        <v>7</v>
      </c>
      <c r="B3" s="287" t="s">
        <v>353</v>
      </c>
      <c r="C3" s="288"/>
      <c r="D3" s="288"/>
      <c r="E3" s="288"/>
      <c r="F3" s="289"/>
      <c r="G3" s="28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84"/>
      <c r="I3" s="285"/>
      <c r="J3" s="4" t="s">
        <v>7</v>
      </c>
      <c r="K3" s="287" t="s">
        <v>346</v>
      </c>
      <c r="L3" s="288"/>
      <c r="M3" s="288"/>
      <c r="N3" s="288"/>
      <c r="O3" s="28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7" t="s">
        <v>16</v>
      </c>
      <c r="C4" s="288"/>
      <c r="D4" s="288"/>
      <c r="E4" s="288"/>
      <c r="F4" s="289"/>
      <c r="G4" s="290" t="s">
        <v>44</v>
      </c>
      <c r="H4" s="291"/>
      <c r="I4" s="292"/>
      <c r="J4" s="4" t="s">
        <v>11</v>
      </c>
      <c r="K4" s="287" t="s">
        <v>347</v>
      </c>
      <c r="L4" s="288"/>
      <c r="M4" s="288"/>
      <c r="N4" s="288"/>
      <c r="O4" s="28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7" t="s">
        <v>344</v>
      </c>
      <c r="C5" s="288"/>
      <c r="D5" s="288"/>
      <c r="E5" s="288"/>
      <c r="F5" s="289"/>
      <c r="G5" s="28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84"/>
      <c r="I5" s="285"/>
      <c r="J5" s="4" t="s">
        <v>15</v>
      </c>
      <c r="K5" s="287" t="s">
        <v>348</v>
      </c>
      <c r="L5" s="288"/>
      <c r="M5" s="288"/>
      <c r="N5" s="288"/>
      <c r="O5" s="289"/>
    </row>
    <row r="6" spans="1:19">
      <c r="A6" s="118" t="s">
        <v>18</v>
      </c>
      <c r="B6" s="287"/>
      <c r="C6" s="288"/>
      <c r="D6" s="288"/>
      <c r="E6" s="288"/>
      <c r="F6" s="289"/>
      <c r="G6" s="290" t="s">
        <v>45</v>
      </c>
      <c r="H6" s="291"/>
      <c r="I6" s="292"/>
      <c r="J6" s="4" t="s">
        <v>18</v>
      </c>
      <c r="K6" s="287" t="s">
        <v>349</v>
      </c>
      <c r="L6" s="288"/>
      <c r="M6" s="288"/>
      <c r="N6" s="288"/>
      <c r="O6" s="289"/>
    </row>
    <row r="7" spans="1:19" ht="17.25" thickBot="1">
      <c r="A7" s="118" t="s">
        <v>21</v>
      </c>
      <c r="B7" s="287"/>
      <c r="C7" s="288"/>
      <c r="D7" s="288"/>
      <c r="E7" s="288"/>
      <c r="F7" s="289"/>
      <c r="G7" s="28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84"/>
      <c r="I7" s="285"/>
      <c r="J7" s="4" t="s">
        <v>21</v>
      </c>
      <c r="K7" s="287" t="s">
        <v>350</v>
      </c>
      <c r="L7" s="288"/>
      <c r="M7" s="288"/>
      <c r="N7" s="288"/>
      <c r="O7" s="289"/>
    </row>
    <row r="8" spans="1:19" ht="17.25" thickBot="1">
      <c r="A8" s="118" t="s">
        <v>24</v>
      </c>
      <c r="B8" s="287"/>
      <c r="C8" s="288"/>
      <c r="D8" s="288"/>
      <c r="E8" s="288"/>
      <c r="F8" s="289"/>
      <c r="G8" s="290" t="s">
        <v>280</v>
      </c>
      <c r="H8" s="291"/>
      <c r="I8" s="292"/>
      <c r="J8" s="4" t="s">
        <v>24</v>
      </c>
      <c r="K8" s="287"/>
      <c r="L8" s="288"/>
      <c r="M8" s="288"/>
      <c r="N8" s="288"/>
      <c r="O8" s="289"/>
      <c r="Q8" s="262" t="s">
        <v>27</v>
      </c>
      <c r="R8" s="264"/>
    </row>
    <row r="9" spans="1:19" ht="17.25" thickBot="1">
      <c r="A9" s="118" t="s">
        <v>28</v>
      </c>
      <c r="B9" s="287"/>
      <c r="C9" s="288"/>
      <c r="D9" s="288"/>
      <c r="E9" s="288"/>
      <c r="F9" s="289"/>
      <c r="G9" s="28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84"/>
      <c r="I9" s="285"/>
      <c r="J9" s="4" t="s">
        <v>28</v>
      </c>
      <c r="K9" s="287"/>
      <c r="L9" s="288"/>
      <c r="M9" s="288"/>
      <c r="N9" s="288"/>
      <c r="O9" s="289"/>
      <c r="Q9" s="2" t="s">
        <v>29</v>
      </c>
      <c r="R9" s="6">
        <v>10</v>
      </c>
    </row>
    <row r="10" spans="1:19">
      <c r="A10" s="118" t="s">
        <v>30</v>
      </c>
      <c r="B10" s="287"/>
      <c r="C10" s="288"/>
      <c r="D10" s="288"/>
      <c r="E10" s="288"/>
      <c r="F10" s="289"/>
      <c r="G10" s="290" t="s">
        <v>47</v>
      </c>
      <c r="H10" s="291"/>
      <c r="I10" s="292"/>
      <c r="J10" s="4" t="s">
        <v>30</v>
      </c>
      <c r="K10" s="287" t="s">
        <v>351</v>
      </c>
      <c r="L10" s="288"/>
      <c r="M10" s="288"/>
      <c r="N10" s="288"/>
      <c r="O10" s="289"/>
      <c r="Q10" s="2" t="s">
        <v>31</v>
      </c>
      <c r="R10" s="6">
        <v>100</v>
      </c>
    </row>
    <row r="11" spans="1:19" ht="17.25" thickBot="1">
      <c r="A11" s="119" t="s">
        <v>32</v>
      </c>
      <c r="B11" s="280" t="s">
        <v>352</v>
      </c>
      <c r="C11" s="281"/>
      <c r="D11" s="281"/>
      <c r="E11" s="281"/>
      <c r="F11" s="282"/>
      <c r="G11" s="28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84"/>
      <c r="I11" s="285"/>
      <c r="J11" s="7" t="s">
        <v>32</v>
      </c>
      <c r="K11" s="280" t="s">
        <v>343</v>
      </c>
      <c r="L11" s="281"/>
      <c r="M11" s="281"/>
      <c r="N11" s="281"/>
      <c r="O11" s="282"/>
      <c r="Q11" s="65" t="s">
        <v>33</v>
      </c>
      <c r="R11" s="8">
        <v>1000</v>
      </c>
    </row>
    <row r="12" spans="1:19" ht="17.25" thickBot="1"/>
    <row r="13" spans="1:19" ht="17.25" customHeight="1" thickBot="1">
      <c r="A13" s="262" t="s">
        <v>34</v>
      </c>
      <c r="B13" s="263"/>
      <c r="C13" s="263"/>
      <c r="D13" s="263"/>
      <c r="E13" s="263"/>
      <c r="F13" s="263"/>
      <c r="G13" s="263"/>
      <c r="H13" s="263"/>
      <c r="I13" s="263"/>
      <c r="J13" s="263"/>
      <c r="K13" s="263"/>
      <c r="L13" s="263"/>
      <c r="M13" s="263"/>
      <c r="N13" s="263"/>
      <c r="O13" s="264"/>
      <c r="Q13" s="261"/>
      <c r="R13" s="261"/>
      <c r="S13" s="261"/>
    </row>
    <row r="14" spans="1:19" ht="17.25" customHeight="1" thickBot="1">
      <c r="A14" s="188" t="s">
        <v>35</v>
      </c>
      <c r="B14" s="262" t="s">
        <v>36</v>
      </c>
      <c r="C14" s="264"/>
      <c r="D14" s="262" t="s">
        <v>37</v>
      </c>
      <c r="E14" s="263"/>
      <c r="F14" s="264"/>
      <c r="G14" s="265">
        <f>_xlfn.IFNA(VLOOKUP(B14, 현재가테이블!$B$2:$D$200, 2, FALSE), "-")</f>
        <v>40538000</v>
      </c>
      <c r="H14" s="266"/>
      <c r="I14" s="267"/>
      <c r="J14" s="262" t="s">
        <v>38</v>
      </c>
      <c r="K14" s="263"/>
      <c r="L14" s="264"/>
      <c r="M14" s="268">
        <f>_xlfn.IFNA(VLOOKUP(B14, 현재가테이블!$B$2:$D$200, 3, FALSE), "-")</f>
        <v>-3.68275993E-2</v>
      </c>
      <c r="N14" s="269"/>
      <c r="O14" s="270"/>
      <c r="Q14" s="261"/>
      <c r="R14" s="261"/>
      <c r="S14" s="261"/>
    </row>
    <row r="15" spans="1:19" ht="17.25" customHeight="1" thickBot="1">
      <c r="A15" s="299" t="s">
        <v>39</v>
      </c>
      <c r="B15" s="300" t="str">
        <f>TEXT($G$1, "[$-ko-KR]yyyy-mm-dd(ddd) ") &amp; "오전 00:00"</f>
        <v>2021-06-08(화) 오전 00:00</v>
      </c>
      <c r="C15" s="301"/>
      <c r="D15" s="275" t="str">
        <f>TEXT($G$1, "[$-ko-KR]yyyy-mm-dd(ddd) ") &amp; "오후 14:00"</f>
        <v>2021-06-08(화) 오후 14:00</v>
      </c>
      <c r="E15" s="276"/>
      <c r="F15" s="277"/>
      <c r="G15" s="275" t="str">
        <f>TEXT($G$1, "[$-ko-KR]yyyy-mm-dd(ddd) ") &amp; "오후 19:00"</f>
        <v>2021-06-08(화) 오후 19:00</v>
      </c>
      <c r="H15" s="276"/>
      <c r="I15" s="277"/>
      <c r="J15" s="275" t="str">
        <f>TEXT($G$1, "[$-ko-KR]yyyy-mm-dd(ddd) ") &amp; "오후 21:00"</f>
        <v>2021-06-08(화) 오후 21:00</v>
      </c>
      <c r="K15" s="276"/>
      <c r="L15" s="277"/>
      <c r="M15" s="275" t="str">
        <f>TEXT($G$1+1, "[$-ko-KR]yyyy-mm-dd(ddd) ") &amp; "오전 00:00"</f>
        <v>2021-06-09(수) 오전 00:00</v>
      </c>
      <c r="N15" s="276"/>
      <c r="O15" s="277"/>
      <c r="Q15" s="261"/>
      <c r="R15" s="261"/>
      <c r="S15" s="261"/>
    </row>
    <row r="16" spans="1:19" ht="17.25" customHeight="1" thickBot="1">
      <c r="A16" s="29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61"/>
      <c r="R17" s="261"/>
      <c r="S17" s="26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61"/>
      <c r="R18" s="261"/>
      <c r="S18" s="261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51"/>
      <c r="R19" s="251"/>
      <c r="S19" s="251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51"/>
      <c r="R20" s="251"/>
      <c r="S20" s="251"/>
    </row>
    <row r="21" spans="1:19" ht="17.25" customHeight="1" thickBot="1">
      <c r="A21" s="163" t="s">
        <v>242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51"/>
      <c r="R21" s="251"/>
      <c r="S21" s="25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304">
        <v>100000</v>
      </c>
      <c r="C37" s="305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262" t="s">
        <v>44</v>
      </c>
      <c r="B40" s="263"/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4"/>
      <c r="Q40" s="261"/>
      <c r="R40" s="261"/>
      <c r="S40" s="261"/>
    </row>
    <row r="41" spans="1:19" ht="17.25" customHeight="1" thickBot="1">
      <c r="A41" s="188" t="s">
        <v>292</v>
      </c>
      <c r="B41" s="262" t="s">
        <v>49</v>
      </c>
      <c r="C41" s="264"/>
      <c r="D41" s="262" t="s">
        <v>58</v>
      </c>
      <c r="E41" s="263"/>
      <c r="F41" s="264"/>
      <c r="G41" s="265">
        <f>_xlfn.IFNA(VLOOKUP(B41, 현재가테이블!$B$2:$D$200, 2, FALSE), "-")</f>
        <v>40538000</v>
      </c>
      <c r="H41" s="266"/>
      <c r="I41" s="267"/>
      <c r="J41" s="262" t="s">
        <v>59</v>
      </c>
      <c r="K41" s="263"/>
      <c r="L41" s="264"/>
      <c r="M41" s="268">
        <f>_xlfn.IFNA(VLOOKUP(B41, 현재가테이블!$B$2:$D$200, 3, FALSE), "-")</f>
        <v>-3.68275993E-2</v>
      </c>
      <c r="N41" s="269"/>
      <c r="O41" s="270"/>
      <c r="Q41" s="261"/>
      <c r="R41" s="261"/>
      <c r="S41" s="261"/>
    </row>
    <row r="42" spans="1:19" ht="17.25" customHeight="1" thickBot="1">
      <c r="A42" s="306" t="s">
        <v>55</v>
      </c>
      <c r="B42" s="302" t="str">
        <f>TEXT($G$1, "[$-ko-KR]yyyy-mm-dd(ddd) ") &amp; "오전 00:00"</f>
        <v>2021-06-08(화) 오전 00:00</v>
      </c>
      <c r="C42" s="303"/>
      <c r="D42" s="275" t="str">
        <f>TEXT($G$1, "[$-ko-KR]yyyy-mm-dd(ddd) ") &amp; "오후 14:00"</f>
        <v>2021-06-08(화) 오후 14:00</v>
      </c>
      <c r="E42" s="276"/>
      <c r="F42" s="277"/>
      <c r="G42" s="275" t="str">
        <f>TEXT($G$1, "[$-ko-KR]yyyy-mm-dd(ddd) ") &amp; "오후 19:00"</f>
        <v>2021-06-08(화) 오후 19:00</v>
      </c>
      <c r="H42" s="276"/>
      <c r="I42" s="277"/>
      <c r="J42" s="275" t="str">
        <f>TEXT($G$1, "[$-ko-KR]yyyy-mm-dd(ddd) ") &amp; "오후 21:00"</f>
        <v>2021-06-08(화) 오후 21:00</v>
      </c>
      <c r="K42" s="276"/>
      <c r="L42" s="277"/>
      <c r="M42" s="275" t="str">
        <f>TEXT($G$1+1, "[$-ko-KR]yyyy-mm-dd(ddd) ") &amp; "오전 00:00"</f>
        <v>2021-06-09(수) 오전 00:00</v>
      </c>
      <c r="N42" s="276"/>
      <c r="O42" s="277"/>
      <c r="Q42" s="261"/>
      <c r="R42" s="261"/>
      <c r="S42" s="261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9" t="s">
        <v>58</v>
      </c>
      <c r="H43" s="190" t="s">
        <v>293</v>
      </c>
      <c r="I43" s="19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1"/>
      <c r="R43" s="251"/>
      <c r="S43" s="251"/>
    </row>
    <row r="44" spans="1:19" ht="17.25" customHeight="1" thickBot="1">
      <c r="A44" s="161" t="s">
        <v>217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61"/>
      <c r="R44" s="261"/>
      <c r="S44" s="261"/>
    </row>
    <row r="45" spans="1:19" ht="17.25" customHeight="1" thickBot="1">
      <c r="A45" s="162" t="s">
        <v>233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61"/>
      <c r="R45" s="261"/>
      <c r="S45" s="261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51"/>
      <c r="R46" s="251"/>
      <c r="S46" s="251"/>
    </row>
    <row r="47" spans="1:19" ht="17.25" customHeight="1" thickBot="1">
      <c r="A47" s="162" t="s">
        <v>225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51"/>
      <c r="R47" s="251"/>
      <c r="S47" s="251"/>
    </row>
    <row r="48" spans="1:19" ht="17.25" customHeight="1" thickBot="1">
      <c r="A48" s="163" t="s">
        <v>195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51"/>
      <c r="R48" s="251"/>
      <c r="S48" s="251"/>
    </row>
    <row r="49" spans="1:19" ht="17.25" customHeight="1" thickBot="1">
      <c r="A49" s="162" t="s">
        <v>261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51"/>
      <c r="R49" s="251"/>
      <c r="S49" s="251"/>
    </row>
    <row r="50" spans="1:19" ht="17.25" customHeight="1" thickBot="1">
      <c r="A50" s="162" t="s">
        <v>259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51"/>
      <c r="R50" s="251"/>
      <c r="S50" s="251"/>
    </row>
    <row r="51" spans="1:19" ht="17.25" customHeight="1" thickBot="1">
      <c r="A51" s="162" t="s">
        <v>219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51"/>
      <c r="R51" s="251"/>
      <c r="S51" s="251"/>
    </row>
    <row r="52" spans="1:19" ht="17.25" customHeight="1" thickBot="1">
      <c r="A52" s="162" t="s">
        <v>212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52"/>
      <c r="R53" s="253"/>
      <c r="S53" s="254"/>
    </row>
    <row r="54" spans="1:19" ht="17.25" customHeight="1">
      <c r="A54" s="161" t="s">
        <v>249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55"/>
      <c r="R54" s="256"/>
      <c r="S54" s="257"/>
    </row>
    <row r="55" spans="1:19" ht="17.25" customHeight="1" thickBot="1">
      <c r="A55" s="162" t="s">
        <v>171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58"/>
      <c r="R55" s="259"/>
      <c r="S55" s="260"/>
    </row>
    <row r="56" spans="1:19" ht="17.25" customHeight="1" thickBot="1">
      <c r="A56" s="162" t="s">
        <v>263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51"/>
      <c r="R56" s="251"/>
      <c r="S56" s="251"/>
    </row>
    <row r="57" spans="1:19" ht="17.25" customHeight="1" thickBot="1">
      <c r="A57" s="162" t="s">
        <v>197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61"/>
      <c r="R57" s="261"/>
      <c r="S57" s="261"/>
    </row>
    <row r="58" spans="1:19" ht="17.25" customHeight="1" thickBot="1">
      <c r="A58" s="163" t="s">
        <v>255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61"/>
      <c r="R58" s="261"/>
      <c r="S58" s="261"/>
    </row>
    <row r="59" spans="1:19" ht="17.25" customHeight="1" thickBot="1">
      <c r="A59" s="162" t="s">
        <v>210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51"/>
      <c r="R59" s="251"/>
      <c r="S59" s="251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51"/>
      <c r="R60" s="251"/>
      <c r="S60" s="251"/>
    </row>
    <row r="61" spans="1:19" ht="17.25" customHeight="1" thickBot="1">
      <c r="A61" s="162" t="s">
        <v>273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51"/>
      <c r="R61" s="251"/>
      <c r="S61" s="251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40"/>
      <c r="R62" s="241"/>
      <c r="S62" s="242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43"/>
      <c r="R63" s="244"/>
      <c r="S63" s="245"/>
    </row>
    <row r="64" spans="1:19" ht="17.25" customHeight="1" thickBot="1">
      <c r="A64" s="132" t="s">
        <v>295</v>
      </c>
      <c r="B64" s="304">
        <f>$B$37</f>
        <v>100000</v>
      </c>
      <c r="C64" s="305"/>
      <c r="D64" s="26" t="s">
        <v>296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296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296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296</v>
      </c>
      <c r="N64" s="27">
        <f>IF(COUNT(N44:N63), SUM(N44:N63) / COUNT(N44:N63), 0)</f>
        <v>-0.18149540635839603</v>
      </c>
      <c r="O64" s="28">
        <f>SUM(O44:O63)</f>
        <v>-362990.8127167921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262" t="s">
        <v>45</v>
      </c>
      <c r="B67" s="263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4"/>
      <c r="Q67" s="261"/>
      <c r="R67" s="261"/>
      <c r="S67" s="261"/>
    </row>
    <row r="68" spans="1:19" ht="17.25" thickBot="1">
      <c r="A68" s="188" t="s">
        <v>292</v>
      </c>
      <c r="B68" s="262" t="s">
        <v>49</v>
      </c>
      <c r="C68" s="264"/>
      <c r="D68" s="262" t="s">
        <v>58</v>
      </c>
      <c r="E68" s="263"/>
      <c r="F68" s="264"/>
      <c r="G68" s="265">
        <f>_xlfn.IFNA(VLOOKUP(B68, 현재가테이블!$B$2:$D$200, 2, FALSE), "-")</f>
        <v>40538000</v>
      </c>
      <c r="H68" s="266"/>
      <c r="I68" s="267"/>
      <c r="J68" s="262" t="s">
        <v>59</v>
      </c>
      <c r="K68" s="263"/>
      <c r="L68" s="264"/>
      <c r="M68" s="268">
        <f>_xlfn.IFNA(VLOOKUP(B68, 현재가테이블!$B$2:$D$200, 3, FALSE), "-")</f>
        <v>-3.68275993E-2</v>
      </c>
      <c r="N68" s="269"/>
      <c r="O68" s="270"/>
      <c r="Q68" s="261"/>
      <c r="R68" s="261"/>
      <c r="S68" s="261"/>
    </row>
    <row r="69" spans="1:19" ht="17.25" thickBot="1">
      <c r="A69" s="306" t="s">
        <v>55</v>
      </c>
      <c r="B69" s="302" t="str">
        <f>TEXT($G$1, "[$-ko-KR]yyyy-mm-dd(ddd) ") &amp; "오전 00:00"</f>
        <v>2021-06-08(화) 오전 00:00</v>
      </c>
      <c r="C69" s="303"/>
      <c r="D69" s="275" t="str">
        <f>TEXT($G$1, "[$-ko-KR]yyyy-mm-dd(ddd) ") &amp; "오후 14:00"</f>
        <v>2021-06-08(화) 오후 14:00</v>
      </c>
      <c r="E69" s="276"/>
      <c r="F69" s="277"/>
      <c r="G69" s="275" t="str">
        <f>TEXT($G$1, "[$-ko-KR]yyyy-mm-dd(ddd) ") &amp; "오후 19:00"</f>
        <v>2021-06-08(화) 오후 19:00</v>
      </c>
      <c r="H69" s="276"/>
      <c r="I69" s="277"/>
      <c r="J69" s="275" t="str">
        <f>TEXT($G$1, "[$-ko-KR]yyyy-mm-dd(ddd) ") &amp; "오후 21:00"</f>
        <v>2021-06-08(화) 오후 21:00</v>
      </c>
      <c r="K69" s="276"/>
      <c r="L69" s="277"/>
      <c r="M69" s="275" t="str">
        <f>TEXT($G$1+1, "[$-ko-KR]yyyy-mm-dd(ddd) ") &amp; "오전 00:00"</f>
        <v>2021-06-09(수) 오전 00:00</v>
      </c>
      <c r="N69" s="276"/>
      <c r="O69" s="277"/>
      <c r="Q69" s="261"/>
      <c r="R69" s="261"/>
      <c r="S69" s="261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9" t="s">
        <v>58</v>
      </c>
      <c r="H70" s="190" t="s">
        <v>293</v>
      </c>
      <c r="I70" s="19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1"/>
      <c r="R70" s="251"/>
      <c r="S70" s="251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61"/>
      <c r="R71" s="261"/>
      <c r="S71" s="261"/>
    </row>
    <row r="72" spans="1:19" ht="17.25" thickBot="1">
      <c r="A72" s="162" t="s">
        <v>277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61"/>
      <c r="R72" s="261"/>
      <c r="S72" s="261"/>
    </row>
    <row r="73" spans="1:19" ht="17.25" thickBot="1">
      <c r="A73" s="162" t="s">
        <v>227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51"/>
      <c r="R73" s="251"/>
      <c r="S73" s="251"/>
    </row>
    <row r="74" spans="1:19" ht="17.25" thickBot="1">
      <c r="A74" s="162" t="s">
        <v>246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51"/>
      <c r="R74" s="251"/>
      <c r="S74" s="251"/>
    </row>
    <row r="75" spans="1:19" ht="17.25" thickBot="1">
      <c r="A75" s="163" t="s">
        <v>181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51"/>
      <c r="R75" s="251"/>
      <c r="S75" s="251"/>
    </row>
    <row r="76" spans="1:19" ht="17.25" thickBot="1">
      <c r="A76" s="162" t="s">
        <v>248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51"/>
      <c r="R76" s="251"/>
      <c r="S76" s="251"/>
    </row>
    <row r="77" spans="1:19" ht="17.25" thickBot="1">
      <c r="A77" s="162" t="s">
        <v>208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51"/>
      <c r="R77" s="251"/>
      <c r="S77" s="251"/>
    </row>
    <row r="78" spans="1:19" ht="17.25" thickBot="1">
      <c r="A78" s="162" t="s">
        <v>223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51"/>
      <c r="R78" s="251"/>
      <c r="S78" s="251"/>
    </row>
    <row r="79" spans="1:19" ht="17.25" thickBot="1">
      <c r="A79" s="162" t="s">
        <v>231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279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52"/>
      <c r="R80" s="253"/>
      <c r="S80" s="254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55"/>
      <c r="R81" s="256"/>
      <c r="S81" s="257"/>
    </row>
    <row r="82" spans="1:19" ht="17.25" thickBot="1">
      <c r="A82" s="162" t="s">
        <v>257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58"/>
      <c r="R82" s="259"/>
      <c r="S82" s="260"/>
    </row>
    <row r="83" spans="1:19" ht="17.25" thickBot="1">
      <c r="A83" s="162" t="s">
        <v>234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51"/>
      <c r="R83" s="251"/>
      <c r="S83" s="251"/>
    </row>
    <row r="84" spans="1:19" ht="17.25" thickBot="1">
      <c r="A84" s="162" t="s">
        <v>199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61"/>
      <c r="R84" s="261"/>
      <c r="S84" s="261"/>
    </row>
    <row r="85" spans="1:19" ht="17.25" thickBot="1">
      <c r="A85" s="163" t="s">
        <v>201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61"/>
      <c r="R85" s="261"/>
      <c r="S85" s="261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51"/>
      <c r="R86" s="251"/>
      <c r="S86" s="251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51"/>
      <c r="R87" s="251"/>
      <c r="S87" s="251"/>
    </row>
    <row r="88" spans="1:19" ht="17.25" thickBot="1">
      <c r="A88" s="162" t="s">
        <v>251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51"/>
      <c r="R88" s="251"/>
      <c r="S88" s="251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40"/>
      <c r="R89" s="241"/>
      <c r="S89" s="242"/>
    </row>
    <row r="90" spans="1:19" ht="17.25" thickBot="1">
      <c r="A90" s="130" t="s">
        <v>167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43"/>
      <c r="R90" s="244"/>
      <c r="S90" s="245"/>
    </row>
    <row r="91" spans="1:19" ht="17.25" thickBot="1">
      <c r="A91" s="132" t="s">
        <v>295</v>
      </c>
      <c r="B91" s="304">
        <f>$B$37</f>
        <v>100000</v>
      </c>
      <c r="C91" s="305"/>
      <c r="D91" s="26" t="s">
        <v>296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296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296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296</v>
      </c>
      <c r="N91" s="27">
        <f>IF(COUNT(N71:N90), SUM(N71:N90) / COUNT(N71:N90), 0)</f>
        <v>-0.16819174464620862</v>
      </c>
      <c r="O91" s="28">
        <f>SUM(O71:O90)</f>
        <v>-336383.48929241742</v>
      </c>
      <c r="Q91" s="246"/>
      <c r="R91" s="247"/>
      <c r="S91" s="248"/>
    </row>
    <row r="93" spans="1:19" ht="17.25" thickBot="1"/>
    <row r="94" spans="1:19" ht="17.25" thickBot="1">
      <c r="A94" s="262" t="s">
        <v>46</v>
      </c>
      <c r="B94" s="263"/>
      <c r="C94" s="263"/>
      <c r="D94" s="263"/>
      <c r="E94" s="263"/>
      <c r="F94" s="263"/>
      <c r="G94" s="263"/>
      <c r="H94" s="263"/>
      <c r="I94" s="263"/>
      <c r="J94" s="263"/>
      <c r="K94" s="263"/>
      <c r="L94" s="263"/>
      <c r="M94" s="263"/>
      <c r="N94" s="263"/>
      <c r="O94" s="264"/>
      <c r="Q94" s="261"/>
      <c r="R94" s="261"/>
      <c r="S94" s="261"/>
    </row>
    <row r="95" spans="1:19" ht="17.25" thickBot="1">
      <c r="A95" s="188" t="s">
        <v>292</v>
      </c>
      <c r="B95" s="262" t="s">
        <v>49</v>
      </c>
      <c r="C95" s="264"/>
      <c r="D95" s="262" t="s">
        <v>58</v>
      </c>
      <c r="E95" s="263"/>
      <c r="F95" s="264"/>
      <c r="G95" s="265">
        <f>_xlfn.IFNA(VLOOKUP(B95, 현재가테이블!$B$2:$D$200, 2, FALSE), "-")</f>
        <v>40538000</v>
      </c>
      <c r="H95" s="266"/>
      <c r="I95" s="267"/>
      <c r="J95" s="262" t="s">
        <v>59</v>
      </c>
      <c r="K95" s="263"/>
      <c r="L95" s="264"/>
      <c r="M95" s="268">
        <f>_xlfn.IFNA(VLOOKUP(B95, 현재가테이블!$B$2:$D$200, 3, FALSE), "-")</f>
        <v>-3.68275993E-2</v>
      </c>
      <c r="N95" s="269"/>
      <c r="O95" s="270"/>
      <c r="Q95" s="261"/>
      <c r="R95" s="261"/>
      <c r="S95" s="261"/>
    </row>
    <row r="96" spans="1:19" ht="17.25" thickBot="1">
      <c r="A96" s="306" t="s">
        <v>55</v>
      </c>
      <c r="B96" s="302" t="str">
        <f>TEXT($G$1, "[$-ko-KR]yyyy-mm-dd(ddd) ") &amp; "오전 00:00"</f>
        <v>2021-06-08(화) 오전 00:00</v>
      </c>
      <c r="C96" s="303"/>
      <c r="D96" s="275" t="str">
        <f>TEXT($G$1, "[$-ko-KR]yyyy-mm-dd(ddd) ") &amp; "오후 14:00"</f>
        <v>2021-06-08(화) 오후 14:00</v>
      </c>
      <c r="E96" s="276"/>
      <c r="F96" s="277"/>
      <c r="G96" s="275" t="str">
        <f>TEXT($G$1, "[$-ko-KR]yyyy-mm-dd(ddd) ") &amp; "오후 19:00"</f>
        <v>2021-06-08(화) 오후 19:00</v>
      </c>
      <c r="H96" s="276"/>
      <c r="I96" s="277"/>
      <c r="J96" s="275" t="str">
        <f>TEXT($G$1, "[$-ko-KR]yyyy-mm-dd(ddd) ") &amp; "오후 21:00"</f>
        <v>2021-06-08(화) 오후 21:00</v>
      </c>
      <c r="K96" s="276"/>
      <c r="L96" s="277"/>
      <c r="M96" s="275" t="str">
        <f>TEXT($G$1+1, "[$-ko-KR]yyyy-mm-dd(ddd) ") &amp; "오전 00:00"</f>
        <v>2021-06-09(수) 오전 00:00</v>
      </c>
      <c r="N96" s="276"/>
      <c r="O96" s="277"/>
      <c r="Q96" s="261"/>
      <c r="R96" s="261"/>
      <c r="S96" s="261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9" t="s">
        <v>58</v>
      </c>
      <c r="H97" s="190" t="s">
        <v>293</v>
      </c>
      <c r="I97" s="19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1"/>
      <c r="R97" s="251"/>
      <c r="S97" s="251"/>
    </row>
    <row r="98" spans="1:19" ht="17.25" thickBot="1">
      <c r="A98" s="161" t="s">
        <v>179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61"/>
      <c r="R98" s="261"/>
      <c r="S98" s="261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61"/>
      <c r="R99" s="261"/>
      <c r="S99" s="261"/>
    </row>
    <row r="100" spans="1:19" ht="17.25" thickBot="1">
      <c r="A100" s="162" t="s">
        <v>271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51"/>
      <c r="R100" s="251"/>
      <c r="S100" s="251"/>
    </row>
    <row r="101" spans="1:19" ht="17.25" thickBot="1">
      <c r="A101" s="162" t="s">
        <v>277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51"/>
      <c r="R101" s="251"/>
      <c r="S101" s="251"/>
    </row>
    <row r="102" spans="1:19" ht="17.25" thickBot="1">
      <c r="A102" s="163" t="s">
        <v>227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51"/>
      <c r="R102" s="251"/>
      <c r="S102" s="251"/>
    </row>
    <row r="103" spans="1:19" ht="17.25" thickBot="1">
      <c r="A103" s="162" t="s">
        <v>217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51"/>
      <c r="R103" s="251"/>
      <c r="S103" s="251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51"/>
      <c r="R104" s="251"/>
      <c r="S104" s="251"/>
    </row>
    <row r="105" spans="1:19" ht="17.25" thickBot="1">
      <c r="A105" s="162" t="s">
        <v>267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51"/>
      <c r="R105" s="251"/>
      <c r="S105" s="251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193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52"/>
      <c r="R107" s="253"/>
      <c r="S107" s="254"/>
    </row>
    <row r="108" spans="1:19">
      <c r="A108" s="161" t="s">
        <v>246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55"/>
      <c r="R108" s="256"/>
      <c r="S108" s="257"/>
    </row>
    <row r="109" spans="1:19" ht="17.25" thickBot="1">
      <c r="A109" s="162" t="s">
        <v>275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58"/>
      <c r="R109" s="259"/>
      <c r="S109" s="260"/>
    </row>
    <row r="110" spans="1:19" ht="17.25" thickBot="1">
      <c r="A110" s="162" t="s">
        <v>181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51"/>
      <c r="R110" s="251"/>
      <c r="S110" s="251"/>
    </row>
    <row r="111" spans="1:19" ht="17.25" thickBot="1">
      <c r="A111" s="162" t="s">
        <v>244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61"/>
      <c r="R111" s="261"/>
      <c r="S111" s="261"/>
    </row>
    <row r="112" spans="1:19" ht="17.25" thickBot="1">
      <c r="A112" s="163" t="s">
        <v>269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61"/>
      <c r="R112" s="261"/>
      <c r="S112" s="261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51"/>
      <c r="R113" s="251"/>
      <c r="S113" s="251"/>
    </row>
    <row r="114" spans="1:19" ht="17.25" thickBot="1">
      <c r="A114" s="162" t="s">
        <v>233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51"/>
      <c r="R114" s="251"/>
      <c r="S114" s="251"/>
    </row>
    <row r="115" spans="1:19" ht="17.25" thickBot="1">
      <c r="A115" s="162" t="s">
        <v>248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51"/>
      <c r="R115" s="251"/>
      <c r="S115" s="251"/>
    </row>
    <row r="116" spans="1:19">
      <c r="A116" s="162" t="s">
        <v>238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40"/>
      <c r="R116" s="241"/>
      <c r="S116" s="242"/>
    </row>
    <row r="117" spans="1:19" ht="17.25" thickBot="1">
      <c r="A117" s="130" t="s">
        <v>208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43"/>
      <c r="R117" s="244"/>
      <c r="S117" s="245"/>
    </row>
    <row r="118" spans="1:19" ht="17.25" thickBot="1">
      <c r="A118" s="132" t="s">
        <v>295</v>
      </c>
      <c r="B118" s="304">
        <f>$B$37</f>
        <v>100000</v>
      </c>
      <c r="C118" s="305"/>
      <c r="D118" s="26" t="s">
        <v>296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296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296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296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46"/>
      <c r="R118" s="247"/>
      <c r="S118" s="248"/>
    </row>
    <row r="120" spans="1:19" ht="17.25" thickBot="1"/>
    <row r="121" spans="1:19" ht="17.25" thickBot="1">
      <c r="A121" s="262" t="s">
        <v>283</v>
      </c>
      <c r="B121" s="263"/>
      <c r="C121" s="263"/>
      <c r="D121" s="263"/>
      <c r="E121" s="263"/>
      <c r="F121" s="263"/>
      <c r="G121" s="263"/>
      <c r="H121" s="263"/>
      <c r="I121" s="263"/>
      <c r="J121" s="263"/>
      <c r="K121" s="263"/>
      <c r="L121" s="263"/>
      <c r="M121" s="263"/>
      <c r="N121" s="263"/>
      <c r="O121" s="264"/>
      <c r="Q121" s="261"/>
      <c r="R121" s="261"/>
      <c r="S121" s="261"/>
    </row>
    <row r="122" spans="1:19" ht="17.25" thickBot="1">
      <c r="A122" s="188" t="s">
        <v>292</v>
      </c>
      <c r="B122" s="262" t="s">
        <v>49</v>
      </c>
      <c r="C122" s="264"/>
      <c r="D122" s="262" t="s">
        <v>58</v>
      </c>
      <c r="E122" s="263"/>
      <c r="F122" s="264"/>
      <c r="G122" s="265">
        <f>_xlfn.IFNA(VLOOKUP(B122, 현재가테이블!$B$2:$D$200, 2, FALSE), "-")</f>
        <v>40538000</v>
      </c>
      <c r="H122" s="266"/>
      <c r="I122" s="267"/>
      <c r="J122" s="262" t="s">
        <v>59</v>
      </c>
      <c r="K122" s="263"/>
      <c r="L122" s="264"/>
      <c r="M122" s="268">
        <f>_xlfn.IFNA(VLOOKUP(B122, 현재가테이블!$B$2:$D$200, 3, FALSE), "-")</f>
        <v>-3.68275993E-2</v>
      </c>
      <c r="N122" s="269"/>
      <c r="O122" s="270"/>
      <c r="Q122" s="261"/>
      <c r="R122" s="261"/>
      <c r="S122" s="261"/>
    </row>
    <row r="123" spans="1:19" ht="17.25" thickBot="1">
      <c r="A123" s="306" t="s">
        <v>55</v>
      </c>
      <c r="B123" s="302" t="str">
        <f>TEXT($G$1, "[$-ko-KR]yyyy-mm-dd(ddd) ") &amp; "오전 00:00"</f>
        <v>2021-06-08(화) 오전 00:00</v>
      </c>
      <c r="C123" s="303"/>
      <c r="D123" s="275" t="str">
        <f>TEXT($G$1, "[$-ko-KR]yyyy-mm-dd(ddd) ") &amp; "오후 14:00"</f>
        <v>2021-06-08(화) 오후 14:00</v>
      </c>
      <c r="E123" s="276"/>
      <c r="F123" s="277"/>
      <c r="G123" s="275" t="str">
        <f>TEXT($G$1, "[$-ko-KR]yyyy-mm-dd(ddd) ") &amp; "오후 19:00"</f>
        <v>2021-06-08(화) 오후 19:00</v>
      </c>
      <c r="H123" s="276"/>
      <c r="I123" s="277"/>
      <c r="J123" s="275" t="str">
        <f>TEXT($G$1, "[$-ko-KR]yyyy-mm-dd(ddd) ") &amp; "오후 21:00"</f>
        <v>2021-06-08(화) 오후 21:00</v>
      </c>
      <c r="K123" s="276"/>
      <c r="L123" s="277"/>
      <c r="M123" s="275" t="str">
        <f>TEXT($G$1+1, "[$-ko-KR]yyyy-mm-dd(ddd) ") &amp; "오전 00:00"</f>
        <v>2021-06-09(수) 오전 00:00</v>
      </c>
      <c r="N123" s="276"/>
      <c r="O123" s="277"/>
      <c r="Q123" s="261"/>
      <c r="R123" s="261"/>
      <c r="S123" s="261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9" t="s">
        <v>58</v>
      </c>
      <c r="H124" s="190" t="s">
        <v>293</v>
      </c>
      <c r="I124" s="19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1"/>
      <c r="R124" s="251"/>
      <c r="S124" s="251"/>
    </row>
    <row r="125" spans="1:19" ht="17.25" thickBot="1">
      <c r="A125" s="161" t="s">
        <v>259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61"/>
      <c r="R125" s="261"/>
      <c r="S125" s="261"/>
    </row>
    <row r="126" spans="1:19" ht="17.25" thickBot="1">
      <c r="A126" s="162" t="s">
        <v>219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61"/>
      <c r="R126" s="261"/>
      <c r="S126" s="261"/>
    </row>
    <row r="127" spans="1:19" ht="17.25" thickBot="1">
      <c r="A127" s="162" t="s">
        <v>212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51"/>
      <c r="R127" s="251"/>
      <c r="S127" s="251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51"/>
      <c r="R128" s="251"/>
      <c r="S128" s="251"/>
    </row>
    <row r="129" spans="1:19" ht="17.25" thickBot="1">
      <c r="A129" s="163" t="s">
        <v>249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51"/>
      <c r="R129" s="251"/>
      <c r="S129" s="251"/>
    </row>
    <row r="130" spans="1:19" ht="17.25" thickBot="1">
      <c r="A130" s="162" t="s">
        <v>171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51"/>
      <c r="R130" s="251"/>
      <c r="S130" s="251"/>
    </row>
    <row r="131" spans="1:19" ht="17.25" thickBot="1">
      <c r="A131" s="162" t="s">
        <v>263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51"/>
      <c r="R131" s="251"/>
      <c r="S131" s="251"/>
    </row>
    <row r="132" spans="1:19" ht="17.25" thickBot="1">
      <c r="A132" s="162" t="s">
        <v>197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51"/>
      <c r="R132" s="251"/>
      <c r="S132" s="251"/>
    </row>
    <row r="133" spans="1:19" ht="17.25" thickBot="1">
      <c r="A133" s="162" t="s">
        <v>255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210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52"/>
      <c r="R134" s="253"/>
      <c r="S134" s="254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55"/>
      <c r="R135" s="256"/>
      <c r="S135" s="257"/>
    </row>
    <row r="136" spans="1:19" ht="17.25" thickBot="1">
      <c r="A136" s="162" t="s">
        <v>273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58"/>
      <c r="R136" s="259"/>
      <c r="S136" s="260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51"/>
      <c r="R137" s="251"/>
      <c r="S137" s="251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61"/>
      <c r="R138" s="261"/>
      <c r="S138" s="261"/>
    </row>
    <row r="139" spans="1:19" ht="17.25" thickBot="1">
      <c r="A139" s="163" t="s">
        <v>215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61"/>
      <c r="R139" s="261"/>
      <c r="S139" s="261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51"/>
      <c r="R140" s="251"/>
      <c r="S140" s="251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51"/>
      <c r="R141" s="251"/>
      <c r="S141" s="251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51"/>
      <c r="R142" s="251"/>
      <c r="S142" s="251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40"/>
      <c r="R143" s="241"/>
      <c r="S143" s="242"/>
    </row>
    <row r="144" spans="1:19" ht="17.25" thickBot="1">
      <c r="A144" s="130" t="s">
        <v>185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43"/>
      <c r="R144" s="244"/>
      <c r="S144" s="245"/>
    </row>
    <row r="145" spans="1:19" ht="17.25" thickBot="1">
      <c r="A145" s="132" t="s">
        <v>295</v>
      </c>
      <c r="B145" s="304">
        <f>$B$37</f>
        <v>100000</v>
      </c>
      <c r="C145" s="305"/>
      <c r="D145" s="26" t="s">
        <v>296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296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296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296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46"/>
      <c r="R145" s="247"/>
      <c r="S145" s="248"/>
    </row>
    <row r="147" spans="1:19" ht="17.25" thickBot="1"/>
    <row r="148" spans="1:19" ht="17.25" thickBot="1">
      <c r="A148" s="262" t="s">
        <v>284</v>
      </c>
      <c r="B148" s="263"/>
      <c r="C148" s="263"/>
      <c r="D148" s="263"/>
      <c r="E148" s="263"/>
      <c r="F148" s="263"/>
      <c r="G148" s="263"/>
      <c r="H148" s="263"/>
      <c r="I148" s="263"/>
      <c r="J148" s="263"/>
      <c r="K148" s="263"/>
      <c r="L148" s="263"/>
      <c r="M148" s="263"/>
      <c r="N148" s="263"/>
      <c r="O148" s="264"/>
      <c r="Q148" s="261"/>
      <c r="R148" s="261"/>
      <c r="S148" s="261"/>
    </row>
    <row r="149" spans="1:19" ht="17.25" thickBot="1">
      <c r="A149" s="188" t="s">
        <v>292</v>
      </c>
      <c r="B149" s="262" t="s">
        <v>49</v>
      </c>
      <c r="C149" s="264"/>
      <c r="D149" s="262" t="s">
        <v>58</v>
      </c>
      <c r="E149" s="263"/>
      <c r="F149" s="264"/>
      <c r="G149" s="265">
        <f>_xlfn.IFNA(VLOOKUP(B149, 현재가테이블!$B$2:$D$200, 2, FALSE), "-")</f>
        <v>40538000</v>
      </c>
      <c r="H149" s="266"/>
      <c r="I149" s="267"/>
      <c r="J149" s="262" t="s">
        <v>59</v>
      </c>
      <c r="K149" s="263"/>
      <c r="L149" s="264"/>
      <c r="M149" s="268">
        <f>_xlfn.IFNA(VLOOKUP(B149, 현재가테이블!$B$2:$D$200, 3, FALSE), "-")</f>
        <v>-3.68275993E-2</v>
      </c>
      <c r="N149" s="269"/>
      <c r="O149" s="270"/>
      <c r="Q149" s="261"/>
      <c r="R149" s="261"/>
      <c r="S149" s="261"/>
    </row>
    <row r="150" spans="1:19" ht="17.25" thickBot="1">
      <c r="A150" s="306" t="s">
        <v>55</v>
      </c>
      <c r="B150" s="302" t="str">
        <f>TEXT($G$1, "[$-ko-KR]yyyy-mm-dd(ddd) ") &amp; "오전 00:00"</f>
        <v>2021-06-08(화) 오전 00:00</v>
      </c>
      <c r="C150" s="303"/>
      <c r="D150" s="275" t="str">
        <f>TEXT($G$1, "[$-ko-KR]yyyy-mm-dd(ddd) ") &amp; "오후 14:00"</f>
        <v>2021-06-08(화) 오후 14:00</v>
      </c>
      <c r="E150" s="276"/>
      <c r="F150" s="277"/>
      <c r="G150" s="275" t="str">
        <f>TEXT($G$1, "[$-ko-KR]yyyy-mm-dd(ddd) ") &amp; "오후 19:00"</f>
        <v>2021-06-08(화) 오후 19:00</v>
      </c>
      <c r="H150" s="276"/>
      <c r="I150" s="277"/>
      <c r="J150" s="275" t="str">
        <f>TEXT($G$1, "[$-ko-KR]yyyy-mm-dd(ddd) ") &amp; "오후 21:00"</f>
        <v>2021-06-08(화) 오후 21:00</v>
      </c>
      <c r="K150" s="276"/>
      <c r="L150" s="277"/>
      <c r="M150" s="275" t="str">
        <f>TEXT($G$1+1, "[$-ko-KR]yyyy-mm-dd(ddd) ") &amp; "오전 00:00"</f>
        <v>2021-06-09(수) 오전 00:00</v>
      </c>
      <c r="N150" s="276"/>
      <c r="O150" s="277"/>
      <c r="Q150" s="261"/>
      <c r="R150" s="261"/>
      <c r="S150" s="261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9" t="s">
        <v>58</v>
      </c>
      <c r="H151" s="190" t="s">
        <v>293</v>
      </c>
      <c r="I151" s="19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1"/>
      <c r="R151" s="251"/>
      <c r="S151" s="251"/>
    </row>
    <row r="152" spans="1:19" ht="17.25" thickBot="1">
      <c r="A152" s="161" t="s">
        <v>167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61"/>
      <c r="R152" s="261"/>
      <c r="S152" s="261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61"/>
      <c r="R153" s="261"/>
      <c r="S153" s="261"/>
    </row>
    <row r="154" spans="1:19" ht="17.25" thickBot="1">
      <c r="A154" s="162" t="s">
        <v>229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51"/>
      <c r="R154" s="251"/>
      <c r="S154" s="251"/>
    </row>
    <row r="155" spans="1:19" ht="17.25" thickBot="1">
      <c r="A155" s="162" t="s">
        <v>169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51"/>
      <c r="R155" s="251"/>
      <c r="S155" s="251"/>
    </row>
    <row r="156" spans="1:19" ht="17.25" thickBot="1">
      <c r="A156" s="163" t="s">
        <v>242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51"/>
      <c r="R156" s="251"/>
      <c r="S156" s="251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51"/>
      <c r="R157" s="251"/>
      <c r="S157" s="251"/>
    </row>
    <row r="158" spans="1:19" ht="17.25" thickBot="1">
      <c r="A158" s="162" t="s">
        <v>253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51"/>
      <c r="R158" s="251"/>
      <c r="S158" s="251"/>
    </row>
    <row r="159" spans="1:19" ht="17.25" thickBot="1">
      <c r="A159" s="162" t="s">
        <v>206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51"/>
      <c r="R159" s="251"/>
      <c r="S159" s="251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52"/>
      <c r="R161" s="253"/>
      <c r="S161" s="254"/>
    </row>
    <row r="162" spans="1:19">
      <c r="A162" s="161" t="s">
        <v>236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55"/>
      <c r="R162" s="256"/>
      <c r="S162" s="257"/>
    </row>
    <row r="163" spans="1:19" ht="17.25" thickBot="1">
      <c r="A163" s="162" t="s">
        <v>265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58"/>
      <c r="R163" s="259"/>
      <c r="S163" s="260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51"/>
      <c r="R164" s="251"/>
      <c r="S164" s="251"/>
    </row>
    <row r="165" spans="1:19" ht="17.25" thickBot="1">
      <c r="A165" s="162" t="s">
        <v>214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61"/>
      <c r="R165" s="261"/>
      <c r="S165" s="261"/>
    </row>
    <row r="166" spans="1:19" ht="17.25" thickBot="1">
      <c r="A166" s="163" t="s">
        <v>173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61"/>
      <c r="R166" s="261"/>
      <c r="S166" s="261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51"/>
      <c r="R167" s="251"/>
      <c r="S167" s="251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51"/>
      <c r="R168" s="251"/>
      <c r="S168" s="251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51"/>
      <c r="R169" s="251"/>
      <c r="S169" s="251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40"/>
      <c r="R170" s="241"/>
      <c r="S170" s="242"/>
    </row>
    <row r="171" spans="1:19" ht="17.25" thickBot="1">
      <c r="A171" s="130" t="s">
        <v>291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43"/>
      <c r="R171" s="244"/>
      <c r="S171" s="245"/>
    </row>
    <row r="172" spans="1:19" ht="17.25" thickBot="1">
      <c r="A172" s="132" t="s">
        <v>295</v>
      </c>
      <c r="B172" s="304">
        <f>$B$37</f>
        <v>100000</v>
      </c>
      <c r="C172" s="305"/>
      <c r="D172" s="26" t="s">
        <v>296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296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296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296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46"/>
      <c r="R172" s="247"/>
      <c r="S172" s="248"/>
    </row>
    <row r="174" spans="1:19" ht="17.25" thickBot="1"/>
    <row r="175" spans="1:19" ht="17.25" thickBot="1">
      <c r="A175" s="262" t="s">
        <v>280</v>
      </c>
      <c r="B175" s="263"/>
      <c r="C175" s="263"/>
      <c r="D175" s="263"/>
      <c r="E175" s="263"/>
      <c r="F175" s="263"/>
      <c r="G175" s="263"/>
      <c r="H175" s="263"/>
      <c r="I175" s="263"/>
      <c r="J175" s="263"/>
      <c r="K175" s="263"/>
      <c r="L175" s="263"/>
      <c r="M175" s="263"/>
      <c r="N175" s="263"/>
      <c r="O175" s="264"/>
      <c r="Q175" s="261"/>
      <c r="R175" s="261"/>
      <c r="S175" s="261"/>
    </row>
    <row r="176" spans="1:19" ht="17.25" thickBot="1">
      <c r="A176" s="188" t="s">
        <v>292</v>
      </c>
      <c r="B176" s="262" t="s">
        <v>49</v>
      </c>
      <c r="C176" s="264"/>
      <c r="D176" s="262" t="s">
        <v>58</v>
      </c>
      <c r="E176" s="263"/>
      <c r="F176" s="264"/>
      <c r="G176" s="265">
        <f>_xlfn.IFNA(VLOOKUP(B176, 현재가테이블!$B$2:$D$200, 2, FALSE), "-")</f>
        <v>40538000</v>
      </c>
      <c r="H176" s="266"/>
      <c r="I176" s="267"/>
      <c r="J176" s="262" t="s">
        <v>59</v>
      </c>
      <c r="K176" s="263"/>
      <c r="L176" s="264"/>
      <c r="M176" s="268">
        <f>_xlfn.IFNA(VLOOKUP(B176, 현재가테이블!$B$2:$D$200, 3, FALSE), "-")</f>
        <v>-3.68275993E-2</v>
      </c>
      <c r="N176" s="269"/>
      <c r="O176" s="270"/>
      <c r="Q176" s="261"/>
      <c r="R176" s="261"/>
      <c r="S176" s="261"/>
    </row>
    <row r="177" spans="1:19" ht="17.25" thickBot="1">
      <c r="A177" s="306" t="s">
        <v>55</v>
      </c>
      <c r="B177" s="302" t="str">
        <f>TEXT($G$1, "[$-ko-KR]yyyy-mm-dd(ddd) ") &amp; "오전 00:00"</f>
        <v>2021-06-08(화) 오전 00:00</v>
      </c>
      <c r="C177" s="303"/>
      <c r="D177" s="275" t="str">
        <f>TEXT($G$1, "[$-ko-KR]yyyy-mm-dd(ddd) ") &amp; "오후 14:00"</f>
        <v>2021-06-08(화) 오후 14:00</v>
      </c>
      <c r="E177" s="276"/>
      <c r="F177" s="277"/>
      <c r="G177" s="275" t="str">
        <f>TEXT($G$1, "[$-ko-KR]yyyy-mm-dd(ddd) ") &amp; "오후 19:00"</f>
        <v>2021-06-08(화) 오후 19:00</v>
      </c>
      <c r="H177" s="276"/>
      <c r="I177" s="277"/>
      <c r="J177" s="275" t="str">
        <f>TEXT($G$1, "[$-ko-KR]yyyy-mm-dd(ddd) ") &amp; "오후 21:00"</f>
        <v>2021-06-08(화) 오후 21:00</v>
      </c>
      <c r="K177" s="276"/>
      <c r="L177" s="277"/>
      <c r="M177" s="275" t="str">
        <f>TEXT($G$1+1, "[$-ko-KR]yyyy-mm-dd(ddd) ") &amp; "오전 00:00"</f>
        <v>2021-06-09(수) 오전 00:00</v>
      </c>
      <c r="N177" s="276"/>
      <c r="O177" s="277"/>
      <c r="Q177" s="261"/>
      <c r="R177" s="261"/>
      <c r="S177" s="261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9" t="s">
        <v>58</v>
      </c>
      <c r="H178" s="190" t="s">
        <v>293</v>
      </c>
      <c r="I178" s="19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1"/>
      <c r="R178" s="251"/>
      <c r="S178" s="251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61"/>
      <c r="R179" s="261"/>
      <c r="S179" s="261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61"/>
      <c r="R180" s="261"/>
      <c r="S180" s="261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51"/>
      <c r="R181" s="251"/>
      <c r="S181" s="251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51"/>
      <c r="R182" s="251"/>
      <c r="S182" s="251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51"/>
      <c r="R183" s="251"/>
      <c r="S183" s="251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51"/>
      <c r="R184" s="251"/>
      <c r="S184" s="251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51"/>
      <c r="R185" s="251"/>
      <c r="S185" s="251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51"/>
      <c r="R186" s="251"/>
      <c r="S186" s="251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52"/>
      <c r="R188" s="253"/>
      <c r="S188" s="254"/>
    </row>
    <row r="189" spans="1:19">
      <c r="A189" s="161" t="s">
        <v>187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55"/>
      <c r="R189" s="256"/>
      <c r="S189" s="257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58"/>
      <c r="R190" s="259"/>
      <c r="S190" s="260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51"/>
      <c r="R191" s="251"/>
      <c r="S191" s="251"/>
    </row>
    <row r="192" spans="1:19" ht="17.25" thickBot="1">
      <c r="A192" s="162" t="s">
        <v>291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61"/>
      <c r="R192" s="261"/>
      <c r="S192" s="261"/>
    </row>
    <row r="193" spans="1:19" ht="17.25" thickBot="1">
      <c r="A193" s="163" t="s">
        <v>165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61"/>
      <c r="R193" s="261"/>
      <c r="S193" s="261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51"/>
      <c r="R194" s="251"/>
      <c r="S194" s="251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51"/>
      <c r="R195" s="251"/>
      <c r="S195" s="251"/>
    </row>
    <row r="196" spans="1:19" ht="17.25" thickBot="1">
      <c r="A196" s="162" t="s">
        <v>163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51"/>
      <c r="R196" s="251"/>
      <c r="S196" s="251"/>
    </row>
    <row r="197" spans="1:19">
      <c r="A197" s="162" t="s">
        <v>185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40"/>
      <c r="R197" s="241"/>
      <c r="S197" s="242"/>
    </row>
    <row r="198" spans="1:19" ht="17.25" thickBot="1">
      <c r="A198" s="130" t="s">
        <v>189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43"/>
      <c r="R198" s="244"/>
      <c r="S198" s="245"/>
    </row>
    <row r="199" spans="1:19" ht="17.25" thickBot="1">
      <c r="A199" s="132" t="s">
        <v>295</v>
      </c>
      <c r="B199" s="304">
        <f>$B$37</f>
        <v>100000</v>
      </c>
      <c r="C199" s="305"/>
      <c r="D199" s="26" t="s">
        <v>296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296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296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296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46"/>
      <c r="R199" s="247"/>
      <c r="S199" s="24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2" t="s">
        <v>0</v>
      </c>
      <c r="B1" s="263"/>
      <c r="C1" s="263"/>
      <c r="D1" s="263"/>
      <c r="E1" s="263"/>
      <c r="F1" s="264"/>
      <c r="G1" s="293">
        <v>44356</v>
      </c>
      <c r="H1" s="294"/>
      <c r="I1" s="295"/>
      <c r="J1" s="262" t="s">
        <v>1</v>
      </c>
      <c r="K1" s="263"/>
      <c r="L1" s="263"/>
      <c r="M1" s="263"/>
      <c r="N1" s="263"/>
      <c r="O1" s="264"/>
      <c r="Q1" s="262" t="s">
        <v>2</v>
      </c>
      <c r="R1" s="264"/>
    </row>
    <row r="2" spans="1:19" ht="17.25" customHeight="1">
      <c r="A2" s="117" t="s">
        <v>3</v>
      </c>
      <c r="B2" s="296" t="s">
        <v>8</v>
      </c>
      <c r="C2" s="297"/>
      <c r="D2" s="297"/>
      <c r="E2" s="297"/>
      <c r="F2" s="298"/>
      <c r="G2" s="290" t="s">
        <v>46</v>
      </c>
      <c r="H2" s="291"/>
      <c r="I2" s="292"/>
      <c r="J2" s="1" t="s">
        <v>3</v>
      </c>
      <c r="K2" s="296" t="s">
        <v>345</v>
      </c>
      <c r="L2" s="297"/>
      <c r="M2" s="297"/>
      <c r="N2" s="297"/>
      <c r="O2" s="298"/>
      <c r="Q2" s="2" t="s">
        <v>6</v>
      </c>
      <c r="R2" s="3">
        <v>0.375</v>
      </c>
    </row>
    <row r="3" spans="1:19" ht="17.25" customHeight="1" thickBot="1">
      <c r="A3" s="118" t="s">
        <v>7</v>
      </c>
      <c r="B3" s="287" t="s">
        <v>353</v>
      </c>
      <c r="C3" s="288"/>
      <c r="D3" s="288"/>
      <c r="E3" s="288"/>
      <c r="F3" s="289"/>
      <c r="G3" s="28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84"/>
      <c r="I3" s="285"/>
      <c r="J3" s="4" t="s">
        <v>7</v>
      </c>
      <c r="K3" s="287" t="s">
        <v>346</v>
      </c>
      <c r="L3" s="288"/>
      <c r="M3" s="288"/>
      <c r="N3" s="288"/>
      <c r="O3" s="28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7" t="s">
        <v>16</v>
      </c>
      <c r="C4" s="288"/>
      <c r="D4" s="288"/>
      <c r="E4" s="288"/>
      <c r="F4" s="289"/>
      <c r="G4" s="290" t="s">
        <v>44</v>
      </c>
      <c r="H4" s="291"/>
      <c r="I4" s="292"/>
      <c r="J4" s="4" t="s">
        <v>11</v>
      </c>
      <c r="K4" s="287" t="s">
        <v>347</v>
      </c>
      <c r="L4" s="288"/>
      <c r="M4" s="288"/>
      <c r="N4" s="288"/>
      <c r="O4" s="28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7" t="s">
        <v>344</v>
      </c>
      <c r="C5" s="288"/>
      <c r="D5" s="288"/>
      <c r="E5" s="288"/>
      <c r="F5" s="289"/>
      <c r="G5" s="28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84"/>
      <c r="I5" s="285"/>
      <c r="J5" s="4" t="s">
        <v>15</v>
      </c>
      <c r="K5" s="287" t="s">
        <v>348</v>
      </c>
      <c r="L5" s="288"/>
      <c r="M5" s="288"/>
      <c r="N5" s="288"/>
      <c r="O5" s="289"/>
    </row>
    <row r="6" spans="1:19">
      <c r="A6" s="118" t="s">
        <v>18</v>
      </c>
      <c r="B6" s="287"/>
      <c r="C6" s="288"/>
      <c r="D6" s="288"/>
      <c r="E6" s="288"/>
      <c r="F6" s="289"/>
      <c r="G6" s="290" t="s">
        <v>45</v>
      </c>
      <c r="H6" s="291"/>
      <c r="I6" s="292"/>
      <c r="J6" s="4" t="s">
        <v>18</v>
      </c>
      <c r="K6" s="287" t="s">
        <v>349</v>
      </c>
      <c r="L6" s="288"/>
      <c r="M6" s="288"/>
      <c r="N6" s="288"/>
      <c r="O6" s="289"/>
    </row>
    <row r="7" spans="1:19" ht="17.25" thickBot="1">
      <c r="A7" s="118" t="s">
        <v>21</v>
      </c>
      <c r="B7" s="287"/>
      <c r="C7" s="288"/>
      <c r="D7" s="288"/>
      <c r="E7" s="288"/>
      <c r="F7" s="289"/>
      <c r="G7" s="28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84"/>
      <c r="I7" s="285"/>
      <c r="J7" s="4" t="s">
        <v>21</v>
      </c>
      <c r="K7" s="287" t="s">
        <v>350</v>
      </c>
      <c r="L7" s="288"/>
      <c r="M7" s="288"/>
      <c r="N7" s="288"/>
      <c r="O7" s="289"/>
    </row>
    <row r="8" spans="1:19" ht="17.25" thickBot="1">
      <c r="A8" s="118" t="s">
        <v>24</v>
      </c>
      <c r="B8" s="287"/>
      <c r="C8" s="288"/>
      <c r="D8" s="288"/>
      <c r="E8" s="288"/>
      <c r="F8" s="289"/>
      <c r="G8" s="290" t="s">
        <v>280</v>
      </c>
      <c r="H8" s="291"/>
      <c r="I8" s="292"/>
      <c r="J8" s="4" t="s">
        <v>24</v>
      </c>
      <c r="K8" s="287"/>
      <c r="L8" s="288"/>
      <c r="M8" s="288"/>
      <c r="N8" s="288"/>
      <c r="O8" s="289"/>
      <c r="Q8" s="262" t="s">
        <v>27</v>
      </c>
      <c r="R8" s="264"/>
    </row>
    <row r="9" spans="1:19" ht="17.25" thickBot="1">
      <c r="A9" s="118" t="s">
        <v>28</v>
      </c>
      <c r="B9" s="287"/>
      <c r="C9" s="288"/>
      <c r="D9" s="288"/>
      <c r="E9" s="288"/>
      <c r="F9" s="289"/>
      <c r="G9" s="28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84"/>
      <c r="I9" s="285"/>
      <c r="J9" s="4" t="s">
        <v>28</v>
      </c>
      <c r="K9" s="287"/>
      <c r="L9" s="288"/>
      <c r="M9" s="288"/>
      <c r="N9" s="288"/>
      <c r="O9" s="289"/>
      <c r="Q9" s="2" t="s">
        <v>29</v>
      </c>
      <c r="R9" s="6">
        <v>10</v>
      </c>
    </row>
    <row r="10" spans="1:19">
      <c r="A10" s="118" t="s">
        <v>30</v>
      </c>
      <c r="B10" s="287"/>
      <c r="C10" s="288"/>
      <c r="D10" s="288"/>
      <c r="E10" s="288"/>
      <c r="F10" s="289"/>
      <c r="G10" s="290" t="s">
        <v>47</v>
      </c>
      <c r="H10" s="291"/>
      <c r="I10" s="292"/>
      <c r="J10" s="4" t="s">
        <v>30</v>
      </c>
      <c r="K10" s="287" t="s">
        <v>351</v>
      </c>
      <c r="L10" s="288"/>
      <c r="M10" s="288"/>
      <c r="N10" s="288"/>
      <c r="O10" s="289"/>
      <c r="Q10" s="2" t="s">
        <v>31</v>
      </c>
      <c r="R10" s="6">
        <v>100</v>
      </c>
    </row>
    <row r="11" spans="1:19" ht="17.25" thickBot="1">
      <c r="A11" s="119" t="s">
        <v>32</v>
      </c>
      <c r="B11" s="280" t="s">
        <v>352</v>
      </c>
      <c r="C11" s="281"/>
      <c r="D11" s="281"/>
      <c r="E11" s="281"/>
      <c r="F11" s="282"/>
      <c r="G11" s="28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84"/>
      <c r="I11" s="285"/>
      <c r="J11" s="7" t="s">
        <v>32</v>
      </c>
      <c r="K11" s="280" t="s">
        <v>343</v>
      </c>
      <c r="L11" s="281"/>
      <c r="M11" s="281"/>
      <c r="N11" s="281"/>
      <c r="O11" s="282"/>
      <c r="Q11" s="65" t="s">
        <v>33</v>
      </c>
      <c r="R11" s="8">
        <v>1000</v>
      </c>
    </row>
    <row r="12" spans="1:19" ht="17.25" thickBot="1"/>
    <row r="13" spans="1:19" ht="17.25" customHeight="1" thickBot="1">
      <c r="A13" s="262" t="s">
        <v>34</v>
      </c>
      <c r="B13" s="263"/>
      <c r="C13" s="263"/>
      <c r="D13" s="263"/>
      <c r="E13" s="263"/>
      <c r="F13" s="263"/>
      <c r="G13" s="263"/>
      <c r="H13" s="263"/>
      <c r="I13" s="263"/>
      <c r="J13" s="263"/>
      <c r="K13" s="263"/>
      <c r="L13" s="263"/>
      <c r="M13" s="263"/>
      <c r="N13" s="263"/>
      <c r="O13" s="264"/>
      <c r="Q13" s="261"/>
      <c r="R13" s="261"/>
      <c r="S13" s="261"/>
    </row>
    <row r="14" spans="1:19" ht="17.25" customHeight="1" thickBot="1">
      <c r="A14" s="192" t="s">
        <v>35</v>
      </c>
      <c r="B14" s="262" t="s">
        <v>36</v>
      </c>
      <c r="C14" s="264"/>
      <c r="D14" s="262" t="s">
        <v>37</v>
      </c>
      <c r="E14" s="263"/>
      <c r="F14" s="264"/>
      <c r="G14" s="265">
        <f>_xlfn.IFNA(VLOOKUP(B14, 현재가테이블!$B$2:$D$200, 2, FALSE), "-")</f>
        <v>40538000</v>
      </c>
      <c r="H14" s="266"/>
      <c r="I14" s="267"/>
      <c r="J14" s="262" t="s">
        <v>38</v>
      </c>
      <c r="K14" s="263"/>
      <c r="L14" s="264"/>
      <c r="M14" s="268">
        <f>_xlfn.IFNA(VLOOKUP(B14, 현재가테이블!$B$2:$D$200, 3, FALSE), "-")</f>
        <v>-3.68275993E-2</v>
      </c>
      <c r="N14" s="269"/>
      <c r="O14" s="270"/>
      <c r="Q14" s="261"/>
      <c r="R14" s="261"/>
      <c r="S14" s="261"/>
    </row>
    <row r="15" spans="1:19" ht="17.25" customHeight="1" thickBot="1">
      <c r="A15" s="299" t="s">
        <v>39</v>
      </c>
      <c r="B15" s="300" t="str">
        <f>TEXT($G$1, "[$-ko-KR]yyyy-mm-dd(ddd) ") &amp; "오전 00:00"</f>
        <v>2021-06-09(수) 오전 00:00</v>
      </c>
      <c r="C15" s="301"/>
      <c r="D15" s="275" t="str">
        <f>TEXT($G$1, "[$-ko-KR]yyyy-mm-dd(ddd) ") &amp; "오후 14:00"</f>
        <v>2021-06-09(수) 오후 14:00</v>
      </c>
      <c r="E15" s="276"/>
      <c r="F15" s="277"/>
      <c r="G15" s="275" t="str">
        <f>TEXT($G$1, "[$-ko-KR]yyyy-mm-dd(ddd) ") &amp; "오후 19:00"</f>
        <v>2021-06-09(수) 오후 19:00</v>
      </c>
      <c r="H15" s="276"/>
      <c r="I15" s="277"/>
      <c r="J15" s="275" t="str">
        <f>TEXT($G$1, "[$-ko-KR]yyyy-mm-dd(ddd) ") &amp; "오후 21:00"</f>
        <v>2021-06-09(수) 오후 21:00</v>
      </c>
      <c r="K15" s="276"/>
      <c r="L15" s="277"/>
      <c r="M15" s="275" t="str">
        <f>TEXT($G$1+1, "[$-ko-KR]yyyy-mm-dd(ddd) ") &amp; "오전 00:00"</f>
        <v>2021-06-10(목) 오전 00:00</v>
      </c>
      <c r="N15" s="276"/>
      <c r="O15" s="277"/>
      <c r="Q15" s="261"/>
      <c r="R15" s="261"/>
      <c r="S15" s="261"/>
    </row>
    <row r="16" spans="1:19" ht="17.25" customHeight="1" thickBot="1">
      <c r="A16" s="29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61"/>
      <c r="R17" s="261"/>
      <c r="S17" s="26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61"/>
      <c r="R18" s="261"/>
      <c r="S18" s="261"/>
    </row>
    <row r="19" spans="1:19" ht="17.25" customHeight="1" thickBot="1">
      <c r="A19" s="162" t="s">
        <v>201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51"/>
      <c r="R19" s="251"/>
      <c r="S19" s="251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51"/>
      <c r="R20" s="251"/>
      <c r="S20" s="251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51"/>
      <c r="R21" s="251"/>
      <c r="S21" s="25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304">
        <v>100000</v>
      </c>
      <c r="C37" s="305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262" t="s">
        <v>44</v>
      </c>
      <c r="B40" s="263"/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4"/>
      <c r="Q40" s="261"/>
      <c r="R40" s="261"/>
      <c r="S40" s="261"/>
    </row>
    <row r="41" spans="1:19" ht="17.25" customHeight="1" thickBot="1">
      <c r="A41" s="192" t="s">
        <v>292</v>
      </c>
      <c r="B41" s="262" t="s">
        <v>49</v>
      </c>
      <c r="C41" s="264"/>
      <c r="D41" s="262" t="s">
        <v>58</v>
      </c>
      <c r="E41" s="263"/>
      <c r="F41" s="264"/>
      <c r="G41" s="265">
        <f>_xlfn.IFNA(VLOOKUP(B41, 현재가테이블!$B$2:$D$200, 2, FALSE), "-")</f>
        <v>40538000</v>
      </c>
      <c r="H41" s="266"/>
      <c r="I41" s="267"/>
      <c r="J41" s="262" t="s">
        <v>59</v>
      </c>
      <c r="K41" s="263"/>
      <c r="L41" s="264"/>
      <c r="M41" s="268">
        <f>_xlfn.IFNA(VLOOKUP(B41, 현재가테이블!$B$2:$D$200, 3, FALSE), "-")</f>
        <v>-3.68275993E-2</v>
      </c>
      <c r="N41" s="269"/>
      <c r="O41" s="270"/>
      <c r="Q41" s="261"/>
      <c r="R41" s="261"/>
      <c r="S41" s="261"/>
    </row>
    <row r="42" spans="1:19" ht="17.25" customHeight="1" thickBot="1">
      <c r="A42" s="306" t="s">
        <v>55</v>
      </c>
      <c r="B42" s="302" t="str">
        <f>TEXT($G$1, "[$-ko-KR]yyyy-mm-dd(ddd) ") &amp; "오전 00:00"</f>
        <v>2021-06-09(수) 오전 00:00</v>
      </c>
      <c r="C42" s="303"/>
      <c r="D42" s="275" t="str">
        <f>TEXT($G$1, "[$-ko-KR]yyyy-mm-dd(ddd) ") &amp; "오후 14:00"</f>
        <v>2021-06-09(수) 오후 14:00</v>
      </c>
      <c r="E42" s="276"/>
      <c r="F42" s="277"/>
      <c r="G42" s="275" t="str">
        <f>TEXT($G$1, "[$-ko-KR]yyyy-mm-dd(ddd) ") &amp; "오후 19:00"</f>
        <v>2021-06-09(수) 오후 19:00</v>
      </c>
      <c r="H42" s="276"/>
      <c r="I42" s="277"/>
      <c r="J42" s="275" t="str">
        <f>TEXT($G$1, "[$-ko-KR]yyyy-mm-dd(ddd) ") &amp; "오후 21:00"</f>
        <v>2021-06-09(수) 오후 21:00</v>
      </c>
      <c r="K42" s="276"/>
      <c r="L42" s="277"/>
      <c r="M42" s="275" t="str">
        <f>TEXT($G$1+1, "[$-ko-KR]yyyy-mm-dd(ddd) ") &amp; "오전 00:00"</f>
        <v>2021-06-10(목) 오전 00:00</v>
      </c>
      <c r="N42" s="276"/>
      <c r="O42" s="277"/>
      <c r="Q42" s="261"/>
      <c r="R42" s="261"/>
      <c r="S42" s="261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3" t="s">
        <v>58</v>
      </c>
      <c r="H43" s="194" t="s">
        <v>293</v>
      </c>
      <c r="I43" s="19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1"/>
      <c r="R43" s="251"/>
      <c r="S43" s="251"/>
    </row>
    <row r="44" spans="1:19" ht="17.25" customHeight="1" thickBot="1">
      <c r="A44" s="161" t="s">
        <v>233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61"/>
      <c r="R44" s="261"/>
      <c r="S44" s="261"/>
    </row>
    <row r="45" spans="1:19" ht="17.25" customHeight="1" thickBot="1">
      <c r="A45" s="162" t="s">
        <v>195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61"/>
      <c r="R45" s="261"/>
      <c r="S45" s="261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51"/>
      <c r="R46" s="251"/>
      <c r="S46" s="251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51"/>
      <c r="R47" s="251"/>
      <c r="S47" s="251"/>
    </row>
    <row r="48" spans="1:19" ht="17.25" customHeight="1" thickBot="1">
      <c r="A48" s="163" t="s">
        <v>171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51"/>
      <c r="R48" s="251"/>
      <c r="S48" s="251"/>
    </row>
    <row r="49" spans="1:19" ht="17.25" customHeight="1" thickBot="1">
      <c r="A49" s="162" t="s">
        <v>273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51"/>
      <c r="R49" s="251"/>
      <c r="S49" s="251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51"/>
      <c r="R50" s="251"/>
      <c r="S50" s="251"/>
    </row>
    <row r="51" spans="1:19" ht="17.25" customHeight="1" thickBot="1">
      <c r="A51" s="162" t="s">
        <v>219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51"/>
      <c r="R51" s="251"/>
      <c r="S51" s="251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52"/>
      <c r="R53" s="253"/>
      <c r="S53" s="254"/>
    </row>
    <row r="54" spans="1:19" ht="17.25" customHeight="1">
      <c r="A54" s="161" t="s">
        <v>167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55"/>
      <c r="R54" s="256"/>
      <c r="S54" s="257"/>
    </row>
    <row r="55" spans="1:19" ht="17.25" customHeight="1" thickBot="1">
      <c r="A55" s="162" t="s">
        <v>215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58"/>
      <c r="R55" s="259"/>
      <c r="S55" s="260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51"/>
      <c r="R56" s="251"/>
      <c r="S56" s="251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61"/>
      <c r="R57" s="261"/>
      <c r="S57" s="261"/>
    </row>
    <row r="58" spans="1:19" ht="17.25" customHeight="1" thickBot="1">
      <c r="A58" s="163" t="s">
        <v>259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61"/>
      <c r="R58" s="261"/>
      <c r="S58" s="261"/>
    </row>
    <row r="59" spans="1:19" ht="17.25" customHeight="1" thickBot="1">
      <c r="A59" s="162" t="s">
        <v>249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51"/>
      <c r="R59" s="251"/>
      <c r="S59" s="251"/>
    </row>
    <row r="60" spans="1:19" ht="17.25" customHeight="1" thickBot="1">
      <c r="A60" s="162" t="s">
        <v>261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51"/>
      <c r="R60" s="251"/>
      <c r="S60" s="251"/>
    </row>
    <row r="61" spans="1:19" ht="17.25" customHeight="1" thickBot="1">
      <c r="A61" s="162" t="s">
        <v>255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51"/>
      <c r="R61" s="251"/>
      <c r="S61" s="251"/>
    </row>
    <row r="62" spans="1:19" ht="17.25" customHeight="1">
      <c r="A62" s="162" t="s">
        <v>263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40"/>
      <c r="R62" s="241"/>
      <c r="S62" s="242"/>
    </row>
    <row r="63" spans="1:19" ht="17.25" customHeight="1" thickBot="1">
      <c r="A63" s="130" t="s">
        <v>212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43"/>
      <c r="R63" s="244"/>
      <c r="S63" s="245"/>
    </row>
    <row r="64" spans="1:19" ht="17.25" customHeight="1" thickBot="1">
      <c r="A64" s="132" t="s">
        <v>295</v>
      </c>
      <c r="B64" s="304">
        <f>$B$37</f>
        <v>100000</v>
      </c>
      <c r="C64" s="305"/>
      <c r="D64" s="26" t="s">
        <v>296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296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296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296</v>
      </c>
      <c r="N64" s="27">
        <f>IF(COUNT(N44:N63), SUM(N44:N63) / COUNT(N44:N63), 0)</f>
        <v>3.2808747559126723E-2</v>
      </c>
      <c r="O64" s="28">
        <f>SUM(O44:O63)</f>
        <v>65617.495118253428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262" t="s">
        <v>45</v>
      </c>
      <c r="B67" s="263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4"/>
      <c r="Q67" s="261"/>
      <c r="R67" s="261"/>
      <c r="S67" s="261"/>
    </row>
    <row r="68" spans="1:19" ht="17.25" thickBot="1">
      <c r="A68" s="192" t="s">
        <v>292</v>
      </c>
      <c r="B68" s="262" t="s">
        <v>49</v>
      </c>
      <c r="C68" s="264"/>
      <c r="D68" s="262" t="s">
        <v>58</v>
      </c>
      <c r="E68" s="263"/>
      <c r="F68" s="264"/>
      <c r="G68" s="265">
        <f>_xlfn.IFNA(VLOOKUP(B68, 현재가테이블!$B$2:$D$200, 2, FALSE), "-")</f>
        <v>40538000</v>
      </c>
      <c r="H68" s="266"/>
      <c r="I68" s="267"/>
      <c r="J68" s="262" t="s">
        <v>59</v>
      </c>
      <c r="K68" s="263"/>
      <c r="L68" s="264"/>
      <c r="M68" s="268">
        <f>_xlfn.IFNA(VLOOKUP(B68, 현재가테이블!$B$2:$D$200, 3, FALSE), "-")</f>
        <v>-3.68275993E-2</v>
      </c>
      <c r="N68" s="269"/>
      <c r="O68" s="270"/>
      <c r="Q68" s="261"/>
      <c r="R68" s="261"/>
      <c r="S68" s="261"/>
    </row>
    <row r="69" spans="1:19" ht="17.25" thickBot="1">
      <c r="A69" s="306" t="s">
        <v>55</v>
      </c>
      <c r="B69" s="302" t="str">
        <f>TEXT($G$1, "[$-ko-KR]yyyy-mm-dd(ddd) ") &amp; "오전 00:00"</f>
        <v>2021-06-09(수) 오전 00:00</v>
      </c>
      <c r="C69" s="303"/>
      <c r="D69" s="275" t="str">
        <f>TEXT($G$1, "[$-ko-KR]yyyy-mm-dd(ddd) ") &amp; "오후 14:00"</f>
        <v>2021-06-09(수) 오후 14:00</v>
      </c>
      <c r="E69" s="276"/>
      <c r="F69" s="277"/>
      <c r="G69" s="275" t="str">
        <f>TEXT($G$1, "[$-ko-KR]yyyy-mm-dd(ddd) ") &amp; "오후 19:00"</f>
        <v>2021-06-09(수) 오후 19:00</v>
      </c>
      <c r="H69" s="276"/>
      <c r="I69" s="277"/>
      <c r="J69" s="275" t="str">
        <f>TEXT($G$1, "[$-ko-KR]yyyy-mm-dd(ddd) ") &amp; "오후 21:00"</f>
        <v>2021-06-09(수) 오후 21:00</v>
      </c>
      <c r="K69" s="276"/>
      <c r="L69" s="277"/>
      <c r="M69" s="275" t="str">
        <f>TEXT($G$1+1, "[$-ko-KR]yyyy-mm-dd(ddd) ") &amp; "오전 00:00"</f>
        <v>2021-06-10(목) 오전 00:00</v>
      </c>
      <c r="N69" s="276"/>
      <c r="O69" s="277"/>
      <c r="Q69" s="261"/>
      <c r="R69" s="261"/>
      <c r="S69" s="261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3" t="s">
        <v>58</v>
      </c>
      <c r="H70" s="194" t="s">
        <v>293</v>
      </c>
      <c r="I70" s="19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1"/>
      <c r="R70" s="251"/>
      <c r="S70" s="251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61"/>
      <c r="R71" s="261"/>
      <c r="S71" s="261"/>
    </row>
    <row r="72" spans="1:19" ht="17.25" thickBot="1">
      <c r="A72" s="162" t="s">
        <v>214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61"/>
      <c r="R72" s="261"/>
      <c r="S72" s="261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51"/>
      <c r="R73" s="251"/>
      <c r="S73" s="251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51"/>
      <c r="R74" s="251"/>
      <c r="S74" s="251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51"/>
      <c r="R75" s="251"/>
      <c r="S75" s="251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51"/>
      <c r="R76" s="251"/>
      <c r="S76" s="251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51"/>
      <c r="R77" s="251"/>
      <c r="S77" s="251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51"/>
      <c r="R78" s="251"/>
      <c r="S78" s="251"/>
    </row>
    <row r="79" spans="1:19" ht="17.25" thickBot="1">
      <c r="A79" s="162" t="s">
        <v>246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52"/>
      <c r="R80" s="253"/>
      <c r="S80" s="254"/>
    </row>
    <row r="81" spans="1:19">
      <c r="A81" s="161" t="s">
        <v>291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55"/>
      <c r="R81" s="256"/>
      <c r="S81" s="257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58"/>
      <c r="R82" s="259"/>
      <c r="S82" s="260"/>
    </row>
    <row r="83" spans="1:19" ht="17.25" thickBot="1">
      <c r="A83" s="162" t="s">
        <v>175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51"/>
      <c r="R83" s="251"/>
      <c r="S83" s="251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61"/>
      <c r="R84" s="261"/>
      <c r="S84" s="261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61"/>
      <c r="R85" s="261"/>
      <c r="S85" s="261"/>
    </row>
    <row r="86" spans="1:19" ht="17.25" thickBot="1">
      <c r="A86" s="162" t="s">
        <v>265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51"/>
      <c r="R86" s="251"/>
      <c r="S86" s="251"/>
    </row>
    <row r="87" spans="1:19" ht="17.25" thickBot="1">
      <c r="A87" s="162" t="s">
        <v>169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51"/>
      <c r="R87" s="251"/>
      <c r="S87" s="251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51"/>
      <c r="R88" s="251"/>
      <c r="S88" s="251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40"/>
      <c r="R89" s="241"/>
      <c r="S89" s="242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43"/>
      <c r="R90" s="244"/>
      <c r="S90" s="245"/>
    </row>
    <row r="91" spans="1:19" ht="17.25" thickBot="1">
      <c r="A91" s="132" t="s">
        <v>295</v>
      </c>
      <c r="B91" s="304">
        <f>$B$37</f>
        <v>100000</v>
      </c>
      <c r="C91" s="305"/>
      <c r="D91" s="26" t="s">
        <v>296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296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296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296</v>
      </c>
      <c r="N91" s="27">
        <f>IF(COUNT(N71:N90), SUM(N71:N90) / COUNT(N71:N90), 0)</f>
        <v>5.3118364306870301E-2</v>
      </c>
      <c r="O91" s="28">
        <f>SUM(O71:O90)</f>
        <v>106236.72861374059</v>
      </c>
      <c r="Q91" s="246"/>
      <c r="R91" s="247"/>
      <c r="S91" s="248"/>
    </row>
    <row r="93" spans="1:19" ht="17.25" thickBot="1"/>
    <row r="94" spans="1:19" ht="17.25" thickBot="1">
      <c r="A94" s="262" t="s">
        <v>46</v>
      </c>
      <c r="B94" s="263"/>
      <c r="C94" s="263"/>
      <c r="D94" s="263"/>
      <c r="E94" s="263"/>
      <c r="F94" s="263"/>
      <c r="G94" s="263"/>
      <c r="H94" s="263"/>
      <c r="I94" s="263"/>
      <c r="J94" s="263"/>
      <c r="K94" s="263"/>
      <c r="L94" s="263"/>
      <c r="M94" s="263"/>
      <c r="N94" s="263"/>
      <c r="O94" s="264"/>
      <c r="Q94" s="261"/>
      <c r="R94" s="261"/>
      <c r="S94" s="261"/>
    </row>
    <row r="95" spans="1:19" ht="17.25" thickBot="1">
      <c r="A95" s="192" t="s">
        <v>292</v>
      </c>
      <c r="B95" s="262" t="s">
        <v>49</v>
      </c>
      <c r="C95" s="264"/>
      <c r="D95" s="262" t="s">
        <v>58</v>
      </c>
      <c r="E95" s="263"/>
      <c r="F95" s="264"/>
      <c r="G95" s="265">
        <f>_xlfn.IFNA(VLOOKUP(B95, 현재가테이블!$B$2:$D$200, 2, FALSE), "-")</f>
        <v>40538000</v>
      </c>
      <c r="H95" s="266"/>
      <c r="I95" s="267"/>
      <c r="J95" s="262" t="s">
        <v>59</v>
      </c>
      <c r="K95" s="263"/>
      <c r="L95" s="264"/>
      <c r="M95" s="268">
        <f>_xlfn.IFNA(VLOOKUP(B95, 현재가테이블!$B$2:$D$200, 3, FALSE), "-")</f>
        <v>-3.68275993E-2</v>
      </c>
      <c r="N95" s="269"/>
      <c r="O95" s="270"/>
      <c r="Q95" s="261"/>
      <c r="R95" s="261"/>
      <c r="S95" s="261"/>
    </row>
    <row r="96" spans="1:19" ht="17.25" thickBot="1">
      <c r="A96" s="306" t="s">
        <v>55</v>
      </c>
      <c r="B96" s="302" t="str">
        <f>TEXT($G$1, "[$-ko-KR]yyyy-mm-dd(ddd) ") &amp; "오전 00:00"</f>
        <v>2021-06-09(수) 오전 00:00</v>
      </c>
      <c r="C96" s="303"/>
      <c r="D96" s="275" t="str">
        <f>TEXT($G$1, "[$-ko-KR]yyyy-mm-dd(ddd) ") &amp; "오후 14:00"</f>
        <v>2021-06-09(수) 오후 14:00</v>
      </c>
      <c r="E96" s="276"/>
      <c r="F96" s="277"/>
      <c r="G96" s="275" t="str">
        <f>TEXT($G$1, "[$-ko-KR]yyyy-mm-dd(ddd) ") &amp; "오후 19:00"</f>
        <v>2021-06-09(수) 오후 19:00</v>
      </c>
      <c r="H96" s="276"/>
      <c r="I96" s="277"/>
      <c r="J96" s="275" t="str">
        <f>TEXT($G$1, "[$-ko-KR]yyyy-mm-dd(ddd) ") &amp; "오후 21:00"</f>
        <v>2021-06-09(수) 오후 21:00</v>
      </c>
      <c r="K96" s="276"/>
      <c r="L96" s="277"/>
      <c r="M96" s="275" t="str">
        <f>TEXT($G$1+1, "[$-ko-KR]yyyy-mm-dd(ddd) ") &amp; "오전 00:00"</f>
        <v>2021-06-10(목) 오전 00:00</v>
      </c>
      <c r="N96" s="276"/>
      <c r="O96" s="277"/>
      <c r="Q96" s="261"/>
      <c r="R96" s="261"/>
      <c r="S96" s="261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3" t="s">
        <v>58</v>
      </c>
      <c r="H97" s="194" t="s">
        <v>293</v>
      </c>
      <c r="I97" s="19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1"/>
      <c r="R97" s="251"/>
      <c r="S97" s="251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61"/>
      <c r="R98" s="261"/>
      <c r="S98" s="261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61"/>
      <c r="R99" s="261"/>
      <c r="S99" s="261"/>
    </row>
    <row r="100" spans="1:19" ht="17.25" thickBot="1">
      <c r="A100" s="162" t="s">
        <v>214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51"/>
      <c r="R100" s="251"/>
      <c r="S100" s="251"/>
    </row>
    <row r="101" spans="1:19" ht="17.25" thickBot="1">
      <c r="A101" s="162" t="s">
        <v>233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51"/>
      <c r="R101" s="251"/>
      <c r="S101" s="251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51"/>
      <c r="R102" s="251"/>
      <c r="S102" s="251"/>
    </row>
    <row r="103" spans="1:19" ht="17.25" thickBot="1">
      <c r="A103" s="162" t="s">
        <v>195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51"/>
      <c r="R103" s="251"/>
      <c r="S103" s="251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51"/>
      <c r="R104" s="251"/>
      <c r="S104" s="251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51"/>
      <c r="R105" s="251"/>
      <c r="S105" s="251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52"/>
      <c r="R107" s="253"/>
      <c r="S107" s="254"/>
    </row>
    <row r="108" spans="1:19">
      <c r="A108" s="161" t="s">
        <v>171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55"/>
      <c r="R108" s="256"/>
      <c r="S108" s="257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58"/>
      <c r="R109" s="259"/>
      <c r="S109" s="260"/>
    </row>
    <row r="110" spans="1:19" ht="17.25" thickBot="1">
      <c r="A110" s="162" t="s">
        <v>273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51"/>
      <c r="R110" s="251"/>
      <c r="S110" s="251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61"/>
      <c r="R111" s="261"/>
      <c r="S111" s="261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61"/>
      <c r="R112" s="261"/>
      <c r="S112" s="261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51"/>
      <c r="R113" s="251"/>
      <c r="S113" s="251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51"/>
      <c r="R114" s="251"/>
      <c r="S114" s="251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51"/>
      <c r="R115" s="251"/>
      <c r="S115" s="251"/>
    </row>
    <row r="116" spans="1:19">
      <c r="A116" s="162" t="s">
        <v>183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40"/>
      <c r="R116" s="241"/>
      <c r="S116" s="242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43"/>
      <c r="R117" s="244"/>
      <c r="S117" s="245"/>
    </row>
    <row r="118" spans="1:19" ht="17.25" thickBot="1">
      <c r="A118" s="132" t="s">
        <v>295</v>
      </c>
      <c r="B118" s="304">
        <f>$B$37</f>
        <v>100000</v>
      </c>
      <c r="C118" s="305"/>
      <c r="D118" s="26" t="s">
        <v>296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296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296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296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46"/>
      <c r="R118" s="247"/>
      <c r="S118" s="248"/>
    </row>
    <row r="120" spans="1:19" ht="17.25" thickBot="1"/>
    <row r="121" spans="1:19" ht="17.25" thickBot="1">
      <c r="A121" s="262" t="s">
        <v>283</v>
      </c>
      <c r="B121" s="263"/>
      <c r="C121" s="263"/>
      <c r="D121" s="263"/>
      <c r="E121" s="263"/>
      <c r="F121" s="263"/>
      <c r="G121" s="263"/>
      <c r="H121" s="263"/>
      <c r="I121" s="263"/>
      <c r="J121" s="263"/>
      <c r="K121" s="263"/>
      <c r="L121" s="263"/>
      <c r="M121" s="263"/>
      <c r="N121" s="263"/>
      <c r="O121" s="264"/>
      <c r="Q121" s="261"/>
      <c r="R121" s="261"/>
      <c r="S121" s="261"/>
    </row>
    <row r="122" spans="1:19" ht="17.25" thickBot="1">
      <c r="A122" s="192" t="s">
        <v>292</v>
      </c>
      <c r="B122" s="262" t="s">
        <v>49</v>
      </c>
      <c r="C122" s="264"/>
      <c r="D122" s="262" t="s">
        <v>58</v>
      </c>
      <c r="E122" s="263"/>
      <c r="F122" s="264"/>
      <c r="G122" s="265">
        <f>_xlfn.IFNA(VLOOKUP(B122, 현재가테이블!$B$2:$D$200, 2, FALSE), "-")</f>
        <v>40538000</v>
      </c>
      <c r="H122" s="266"/>
      <c r="I122" s="267"/>
      <c r="J122" s="262" t="s">
        <v>59</v>
      </c>
      <c r="K122" s="263"/>
      <c r="L122" s="264"/>
      <c r="M122" s="268">
        <f>_xlfn.IFNA(VLOOKUP(B122, 현재가테이블!$B$2:$D$200, 3, FALSE), "-")</f>
        <v>-3.68275993E-2</v>
      </c>
      <c r="N122" s="269"/>
      <c r="O122" s="270"/>
      <c r="Q122" s="261"/>
      <c r="R122" s="261"/>
      <c r="S122" s="261"/>
    </row>
    <row r="123" spans="1:19" ht="17.25" thickBot="1">
      <c r="A123" s="306" t="s">
        <v>55</v>
      </c>
      <c r="B123" s="302" t="str">
        <f>TEXT($G$1, "[$-ko-KR]yyyy-mm-dd(ddd) ") &amp; "오전 00:00"</f>
        <v>2021-06-09(수) 오전 00:00</v>
      </c>
      <c r="C123" s="303"/>
      <c r="D123" s="275" t="str">
        <f>TEXT($G$1, "[$-ko-KR]yyyy-mm-dd(ddd) ") &amp; "오후 14:00"</f>
        <v>2021-06-09(수) 오후 14:00</v>
      </c>
      <c r="E123" s="276"/>
      <c r="F123" s="277"/>
      <c r="G123" s="275" t="str">
        <f>TEXT($G$1, "[$-ko-KR]yyyy-mm-dd(ddd) ") &amp; "오후 19:00"</f>
        <v>2021-06-09(수) 오후 19:00</v>
      </c>
      <c r="H123" s="276"/>
      <c r="I123" s="277"/>
      <c r="J123" s="275" t="str">
        <f>TEXT($G$1, "[$-ko-KR]yyyy-mm-dd(ddd) ") &amp; "오후 21:00"</f>
        <v>2021-06-09(수) 오후 21:00</v>
      </c>
      <c r="K123" s="276"/>
      <c r="L123" s="277"/>
      <c r="M123" s="275" t="str">
        <f>TEXT($G$1+1, "[$-ko-KR]yyyy-mm-dd(ddd) ") &amp; "오전 00:00"</f>
        <v>2021-06-10(목) 오전 00:00</v>
      </c>
      <c r="N123" s="276"/>
      <c r="O123" s="277"/>
      <c r="Q123" s="261"/>
      <c r="R123" s="261"/>
      <c r="S123" s="261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3" t="s">
        <v>58</v>
      </c>
      <c r="H124" s="194" t="s">
        <v>293</v>
      </c>
      <c r="I124" s="19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1"/>
      <c r="R124" s="251"/>
      <c r="S124" s="251"/>
    </row>
    <row r="125" spans="1:19" ht="17.25" thickBot="1">
      <c r="A125" s="161" t="s">
        <v>219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61"/>
      <c r="R125" s="261"/>
      <c r="S125" s="261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61"/>
      <c r="R126" s="261"/>
      <c r="S126" s="261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51"/>
      <c r="R127" s="251"/>
      <c r="S127" s="251"/>
    </row>
    <row r="128" spans="1:19" ht="17.25" thickBot="1">
      <c r="A128" s="162" t="s">
        <v>167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51"/>
      <c r="R128" s="251"/>
      <c r="S128" s="251"/>
    </row>
    <row r="129" spans="1:19" ht="17.25" thickBot="1">
      <c r="A129" s="163" t="s">
        <v>215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51"/>
      <c r="R129" s="251"/>
      <c r="S129" s="251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51"/>
      <c r="R130" s="251"/>
      <c r="S130" s="251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51"/>
      <c r="R131" s="251"/>
      <c r="S131" s="251"/>
    </row>
    <row r="132" spans="1:19" ht="17.25" thickBot="1">
      <c r="A132" s="162" t="s">
        <v>259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51"/>
      <c r="R132" s="251"/>
      <c r="S132" s="251"/>
    </row>
    <row r="133" spans="1:19" ht="17.25" thickBot="1">
      <c r="A133" s="162" t="s">
        <v>249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261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52"/>
      <c r="R134" s="253"/>
      <c r="S134" s="254"/>
    </row>
    <row r="135" spans="1:19">
      <c r="A135" s="161" t="s">
        <v>255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55"/>
      <c r="R135" s="256"/>
      <c r="S135" s="257"/>
    </row>
    <row r="136" spans="1:19" ht="17.25" thickBot="1">
      <c r="A136" s="162" t="s">
        <v>263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58"/>
      <c r="R136" s="259"/>
      <c r="S136" s="260"/>
    </row>
    <row r="137" spans="1:19" ht="17.25" thickBot="1">
      <c r="A137" s="162" t="s">
        <v>212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51"/>
      <c r="R137" s="251"/>
      <c r="S137" s="251"/>
    </row>
    <row r="138" spans="1:19" ht="17.25" thickBot="1">
      <c r="A138" s="162" t="s">
        <v>225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61"/>
      <c r="R138" s="261"/>
      <c r="S138" s="261"/>
    </row>
    <row r="139" spans="1:19" ht="17.25" thickBot="1">
      <c r="A139" s="163" t="s">
        <v>197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61"/>
      <c r="R139" s="261"/>
      <c r="S139" s="261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51"/>
      <c r="R140" s="251"/>
      <c r="S140" s="251"/>
    </row>
    <row r="141" spans="1:19" ht="17.25" thickBot="1">
      <c r="A141" s="162" t="s">
        <v>210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51"/>
      <c r="R141" s="251"/>
      <c r="S141" s="251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51"/>
      <c r="R142" s="251"/>
      <c r="S142" s="251"/>
    </row>
    <row r="143" spans="1:19">
      <c r="A143" s="162" t="s">
        <v>185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40"/>
      <c r="R143" s="241"/>
      <c r="S143" s="242"/>
    </row>
    <row r="144" spans="1:19" ht="17.25" thickBot="1">
      <c r="A144" s="130" t="s">
        <v>217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43"/>
      <c r="R144" s="244"/>
      <c r="S144" s="245"/>
    </row>
    <row r="145" spans="1:19" ht="17.25" thickBot="1">
      <c r="A145" s="132" t="s">
        <v>295</v>
      </c>
      <c r="B145" s="304">
        <f>$B$37</f>
        <v>100000</v>
      </c>
      <c r="C145" s="305"/>
      <c r="D145" s="26" t="s">
        <v>296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296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296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296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46"/>
      <c r="R145" s="247"/>
      <c r="S145" s="248"/>
    </row>
    <row r="147" spans="1:19" ht="17.25" thickBot="1"/>
    <row r="148" spans="1:19" ht="17.25" thickBot="1">
      <c r="A148" s="262" t="s">
        <v>284</v>
      </c>
      <c r="B148" s="263"/>
      <c r="C148" s="263"/>
      <c r="D148" s="263"/>
      <c r="E148" s="263"/>
      <c r="F148" s="263"/>
      <c r="G148" s="263"/>
      <c r="H148" s="263"/>
      <c r="I148" s="263"/>
      <c r="J148" s="263"/>
      <c r="K148" s="263"/>
      <c r="L148" s="263"/>
      <c r="M148" s="263"/>
      <c r="N148" s="263"/>
      <c r="O148" s="264"/>
      <c r="Q148" s="261"/>
      <c r="R148" s="261"/>
      <c r="S148" s="261"/>
    </row>
    <row r="149" spans="1:19" ht="17.25" thickBot="1">
      <c r="A149" s="192" t="s">
        <v>292</v>
      </c>
      <c r="B149" s="262" t="s">
        <v>49</v>
      </c>
      <c r="C149" s="264"/>
      <c r="D149" s="262" t="s">
        <v>58</v>
      </c>
      <c r="E149" s="263"/>
      <c r="F149" s="264"/>
      <c r="G149" s="265">
        <f>_xlfn.IFNA(VLOOKUP(B149, 현재가테이블!$B$2:$D$200, 2, FALSE), "-")</f>
        <v>40538000</v>
      </c>
      <c r="H149" s="266"/>
      <c r="I149" s="267"/>
      <c r="J149" s="262" t="s">
        <v>59</v>
      </c>
      <c r="K149" s="263"/>
      <c r="L149" s="264"/>
      <c r="M149" s="268">
        <f>_xlfn.IFNA(VLOOKUP(B149, 현재가테이블!$B$2:$D$200, 3, FALSE), "-")</f>
        <v>-3.68275993E-2</v>
      </c>
      <c r="N149" s="269"/>
      <c r="O149" s="270"/>
      <c r="Q149" s="261"/>
      <c r="R149" s="261"/>
      <c r="S149" s="261"/>
    </row>
    <row r="150" spans="1:19" ht="17.25" thickBot="1">
      <c r="A150" s="306" t="s">
        <v>55</v>
      </c>
      <c r="B150" s="302" t="str">
        <f>TEXT($G$1, "[$-ko-KR]yyyy-mm-dd(ddd) ") &amp; "오전 00:00"</f>
        <v>2021-06-09(수) 오전 00:00</v>
      </c>
      <c r="C150" s="303"/>
      <c r="D150" s="275" t="str">
        <f>TEXT($G$1, "[$-ko-KR]yyyy-mm-dd(ddd) ") &amp; "오후 14:00"</f>
        <v>2021-06-09(수) 오후 14:00</v>
      </c>
      <c r="E150" s="276"/>
      <c r="F150" s="277"/>
      <c r="G150" s="275" t="str">
        <f>TEXT($G$1, "[$-ko-KR]yyyy-mm-dd(ddd) ") &amp; "오후 19:00"</f>
        <v>2021-06-09(수) 오후 19:00</v>
      </c>
      <c r="H150" s="276"/>
      <c r="I150" s="277"/>
      <c r="J150" s="275" t="str">
        <f>TEXT($G$1, "[$-ko-KR]yyyy-mm-dd(ddd) ") &amp; "오후 21:00"</f>
        <v>2021-06-09(수) 오후 21:00</v>
      </c>
      <c r="K150" s="276"/>
      <c r="L150" s="277"/>
      <c r="M150" s="275" t="str">
        <f>TEXT($G$1+1, "[$-ko-KR]yyyy-mm-dd(ddd) ") &amp; "오전 00:00"</f>
        <v>2021-06-10(목) 오전 00:00</v>
      </c>
      <c r="N150" s="276"/>
      <c r="O150" s="277"/>
      <c r="Q150" s="261"/>
      <c r="R150" s="261"/>
      <c r="S150" s="261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3" t="s">
        <v>58</v>
      </c>
      <c r="H151" s="194" t="s">
        <v>293</v>
      </c>
      <c r="I151" s="19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1"/>
      <c r="R151" s="251"/>
      <c r="S151" s="251"/>
    </row>
    <row r="152" spans="1:19" ht="17.25" thickBot="1">
      <c r="A152" s="161" t="s">
        <v>277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61"/>
      <c r="R152" s="261"/>
      <c r="S152" s="261"/>
    </row>
    <row r="153" spans="1:19" ht="17.25" thickBot="1">
      <c r="A153" s="162" t="s">
        <v>201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61"/>
      <c r="R153" s="261"/>
      <c r="S153" s="261"/>
    </row>
    <row r="154" spans="1:19" ht="17.25" thickBot="1">
      <c r="A154" s="162" t="s">
        <v>208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51"/>
      <c r="R154" s="251"/>
      <c r="S154" s="251"/>
    </row>
    <row r="155" spans="1:19" ht="17.25" thickBot="1">
      <c r="A155" s="162" t="s">
        <v>257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51"/>
      <c r="R155" s="251"/>
      <c r="S155" s="251"/>
    </row>
    <row r="156" spans="1:19" ht="17.25" thickBot="1">
      <c r="A156" s="163" t="s">
        <v>234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51"/>
      <c r="R156" s="251"/>
      <c r="S156" s="251"/>
    </row>
    <row r="157" spans="1:19" ht="17.25" thickBot="1">
      <c r="A157" s="162" t="s">
        <v>253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51"/>
      <c r="R157" s="251"/>
      <c r="S157" s="251"/>
    </row>
    <row r="158" spans="1:19" ht="17.25" thickBot="1">
      <c r="A158" s="162" t="s">
        <v>223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51"/>
      <c r="R158" s="251"/>
      <c r="S158" s="251"/>
    </row>
    <row r="159" spans="1:19" ht="17.25" thickBot="1">
      <c r="A159" s="162" t="s">
        <v>191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51"/>
      <c r="R159" s="251"/>
      <c r="S159" s="251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52"/>
      <c r="R161" s="253"/>
      <c r="S161" s="254"/>
    </row>
    <row r="162" spans="1:19">
      <c r="A162" s="161" t="s">
        <v>227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55"/>
      <c r="R162" s="256"/>
      <c r="S162" s="257"/>
    </row>
    <row r="163" spans="1:19" ht="17.25" thickBot="1">
      <c r="A163" s="162" t="s">
        <v>275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58"/>
      <c r="R163" s="259"/>
      <c r="S163" s="260"/>
    </row>
    <row r="164" spans="1:19" ht="17.25" thickBot="1">
      <c r="A164" s="162" t="s">
        <v>199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51"/>
      <c r="R164" s="251"/>
      <c r="S164" s="251"/>
    </row>
    <row r="165" spans="1:19" ht="17.25" thickBot="1">
      <c r="A165" s="162" t="s">
        <v>251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61"/>
      <c r="R165" s="261"/>
      <c r="S165" s="261"/>
    </row>
    <row r="166" spans="1:19" ht="17.25" thickBot="1">
      <c r="A166" s="163" t="s">
        <v>173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61"/>
      <c r="R166" s="261"/>
      <c r="S166" s="261"/>
    </row>
    <row r="167" spans="1:19" ht="17.25" thickBot="1">
      <c r="A167" s="162" t="s">
        <v>242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51"/>
      <c r="R167" s="251"/>
      <c r="S167" s="251"/>
    </row>
    <row r="168" spans="1:19" ht="17.25" thickBot="1">
      <c r="A168" s="162" t="s">
        <v>206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51"/>
      <c r="R168" s="251"/>
      <c r="S168" s="251"/>
    </row>
    <row r="169" spans="1:19" ht="17.25" thickBot="1">
      <c r="A169" s="162" t="s">
        <v>181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51"/>
      <c r="R169" s="251"/>
      <c r="S169" s="251"/>
    </row>
    <row r="170" spans="1:19">
      <c r="A170" s="162" t="s">
        <v>231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40"/>
      <c r="R170" s="241"/>
      <c r="S170" s="242"/>
    </row>
    <row r="171" spans="1:19" ht="17.25" thickBot="1">
      <c r="A171" s="130" t="s">
        <v>248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43"/>
      <c r="R171" s="244"/>
      <c r="S171" s="245"/>
    </row>
    <row r="172" spans="1:19" ht="17.25" thickBot="1">
      <c r="A172" s="132" t="s">
        <v>295</v>
      </c>
      <c r="B172" s="304">
        <f>$B$37</f>
        <v>100000</v>
      </c>
      <c r="C172" s="305"/>
      <c r="D172" s="26" t="s">
        <v>296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296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296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296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46"/>
      <c r="R172" s="247"/>
      <c r="S172" s="248"/>
    </row>
    <row r="174" spans="1:19" ht="17.25" thickBot="1"/>
    <row r="175" spans="1:19" ht="17.25" thickBot="1">
      <c r="A175" s="262" t="s">
        <v>280</v>
      </c>
      <c r="B175" s="263"/>
      <c r="C175" s="263"/>
      <c r="D175" s="263"/>
      <c r="E175" s="263"/>
      <c r="F175" s="263"/>
      <c r="G175" s="263"/>
      <c r="H175" s="263"/>
      <c r="I175" s="263"/>
      <c r="J175" s="263"/>
      <c r="K175" s="263"/>
      <c r="L175" s="263"/>
      <c r="M175" s="263"/>
      <c r="N175" s="263"/>
      <c r="O175" s="264"/>
      <c r="Q175" s="261"/>
      <c r="R175" s="261"/>
      <c r="S175" s="261"/>
    </row>
    <row r="176" spans="1:19" ht="17.25" thickBot="1">
      <c r="A176" s="192" t="s">
        <v>292</v>
      </c>
      <c r="B176" s="262" t="s">
        <v>49</v>
      </c>
      <c r="C176" s="264"/>
      <c r="D176" s="262" t="s">
        <v>58</v>
      </c>
      <c r="E176" s="263"/>
      <c r="F176" s="264"/>
      <c r="G176" s="265">
        <f>_xlfn.IFNA(VLOOKUP(B176, 현재가테이블!$B$2:$D$200, 2, FALSE), "-")</f>
        <v>40538000</v>
      </c>
      <c r="H176" s="266"/>
      <c r="I176" s="267"/>
      <c r="J176" s="262" t="s">
        <v>59</v>
      </c>
      <c r="K176" s="263"/>
      <c r="L176" s="264"/>
      <c r="M176" s="268">
        <f>_xlfn.IFNA(VLOOKUP(B176, 현재가테이블!$B$2:$D$200, 3, FALSE), "-")</f>
        <v>-3.68275993E-2</v>
      </c>
      <c r="N176" s="269"/>
      <c r="O176" s="270"/>
      <c r="Q176" s="261"/>
      <c r="R176" s="261"/>
      <c r="S176" s="261"/>
    </row>
    <row r="177" spans="1:19" ht="17.25" thickBot="1">
      <c r="A177" s="306" t="s">
        <v>55</v>
      </c>
      <c r="B177" s="302" t="str">
        <f>TEXT($G$1, "[$-ko-KR]yyyy-mm-dd(ddd) ") &amp; "오전 00:00"</f>
        <v>2021-06-09(수) 오전 00:00</v>
      </c>
      <c r="C177" s="303"/>
      <c r="D177" s="275" t="str">
        <f>TEXT($G$1, "[$-ko-KR]yyyy-mm-dd(ddd) ") &amp; "오후 14:00"</f>
        <v>2021-06-09(수) 오후 14:00</v>
      </c>
      <c r="E177" s="276"/>
      <c r="F177" s="277"/>
      <c r="G177" s="275" t="str">
        <f>TEXT($G$1, "[$-ko-KR]yyyy-mm-dd(ddd) ") &amp; "오후 19:00"</f>
        <v>2021-06-09(수) 오후 19:00</v>
      </c>
      <c r="H177" s="276"/>
      <c r="I177" s="277"/>
      <c r="J177" s="275" t="str">
        <f>TEXT($G$1, "[$-ko-KR]yyyy-mm-dd(ddd) ") &amp; "오후 21:00"</f>
        <v>2021-06-09(수) 오후 21:00</v>
      </c>
      <c r="K177" s="276"/>
      <c r="L177" s="277"/>
      <c r="M177" s="275" t="str">
        <f>TEXT($G$1+1, "[$-ko-KR]yyyy-mm-dd(ddd) ") &amp; "오전 00:00"</f>
        <v>2021-06-10(목) 오전 00:00</v>
      </c>
      <c r="N177" s="276"/>
      <c r="O177" s="277"/>
      <c r="Q177" s="261"/>
      <c r="R177" s="261"/>
      <c r="S177" s="261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3" t="s">
        <v>58</v>
      </c>
      <c r="H178" s="194" t="s">
        <v>293</v>
      </c>
      <c r="I178" s="19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1"/>
      <c r="R178" s="251"/>
      <c r="S178" s="251"/>
    </row>
    <row r="179" spans="1:19" ht="17.25" thickBot="1">
      <c r="A179" s="161" t="s">
        <v>267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61"/>
      <c r="R179" s="261"/>
      <c r="S179" s="261"/>
    </row>
    <row r="180" spans="1:19" ht="17.25" thickBot="1">
      <c r="A180" s="162" t="s">
        <v>173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61"/>
      <c r="R180" s="261"/>
      <c r="S180" s="261"/>
    </row>
    <row r="181" spans="1:19" ht="17.25" thickBot="1">
      <c r="A181" s="162" t="s">
        <v>197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51"/>
      <c r="R181" s="251"/>
      <c r="S181" s="251"/>
    </row>
    <row r="182" spans="1:19" ht="17.25" thickBot="1">
      <c r="A182" s="162" t="s">
        <v>203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51"/>
      <c r="R182" s="251"/>
      <c r="S182" s="251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51"/>
      <c r="R183" s="251"/>
      <c r="S183" s="251"/>
    </row>
    <row r="184" spans="1:19" ht="17.25" thickBot="1">
      <c r="A184" s="162" t="s">
        <v>210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51"/>
      <c r="R184" s="251"/>
      <c r="S184" s="251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51"/>
      <c r="R185" s="251"/>
      <c r="S185" s="251"/>
    </row>
    <row r="186" spans="1:19" ht="17.25" thickBot="1">
      <c r="A186" s="162" t="s">
        <v>242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51"/>
      <c r="R186" s="251"/>
      <c r="S186" s="251"/>
    </row>
    <row r="187" spans="1:19" ht="17.25" thickBot="1">
      <c r="A187" s="162" t="s">
        <v>206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181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52"/>
      <c r="R188" s="253"/>
      <c r="S188" s="254"/>
    </row>
    <row r="189" spans="1:19">
      <c r="A189" s="161" t="s">
        <v>231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55"/>
      <c r="R189" s="256"/>
      <c r="S189" s="257"/>
    </row>
    <row r="190" spans="1:19" ht="17.25" thickBot="1">
      <c r="A190" s="162" t="s">
        <v>193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58"/>
      <c r="R190" s="259"/>
      <c r="S190" s="260"/>
    </row>
    <row r="191" spans="1:19" ht="17.25" thickBot="1">
      <c r="A191" s="162" t="s">
        <v>248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51"/>
      <c r="R191" s="251"/>
      <c r="S191" s="251"/>
    </row>
    <row r="192" spans="1:19" ht="17.25" thickBot="1">
      <c r="A192" s="162" t="s">
        <v>185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61"/>
      <c r="R192" s="261"/>
      <c r="S192" s="261"/>
    </row>
    <row r="193" spans="1:19" ht="17.25" thickBot="1">
      <c r="A193" s="163" t="s">
        <v>221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61"/>
      <c r="R193" s="261"/>
      <c r="S193" s="261"/>
    </row>
    <row r="194" spans="1:19" ht="17.25" thickBot="1">
      <c r="A194" s="162" t="s">
        <v>217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51"/>
      <c r="R194" s="251"/>
      <c r="S194" s="251"/>
    </row>
    <row r="195" spans="1:19" ht="17.25" thickBot="1">
      <c r="A195" s="162" t="s">
        <v>189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51"/>
      <c r="R195" s="251"/>
      <c r="S195" s="251"/>
    </row>
    <row r="196" spans="1:19" ht="17.25" thickBot="1">
      <c r="A196" s="162" t="s">
        <v>269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51"/>
      <c r="R196" s="251"/>
      <c r="S196" s="251"/>
    </row>
    <row r="197" spans="1:19">
      <c r="A197" s="162" t="s">
        <v>271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40"/>
      <c r="R197" s="241"/>
      <c r="S197" s="242"/>
    </row>
    <row r="198" spans="1:19" ht="17.25" thickBot="1">
      <c r="A198" s="130" t="s">
        <v>179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43"/>
      <c r="R198" s="244"/>
      <c r="S198" s="245"/>
    </row>
    <row r="199" spans="1:19" ht="17.25" thickBot="1">
      <c r="A199" s="132" t="s">
        <v>295</v>
      </c>
      <c r="B199" s="304">
        <f>$B$37</f>
        <v>100000</v>
      </c>
      <c r="C199" s="305"/>
      <c r="D199" s="26" t="s">
        <v>296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296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296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296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46"/>
      <c r="R199" s="247"/>
      <c r="S199" s="24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2" t="s">
        <v>0</v>
      </c>
      <c r="B1" s="263"/>
      <c r="C1" s="263"/>
      <c r="D1" s="263"/>
      <c r="E1" s="263"/>
      <c r="F1" s="264"/>
      <c r="G1" s="293">
        <v>44357</v>
      </c>
      <c r="H1" s="294"/>
      <c r="I1" s="295"/>
      <c r="J1" s="262" t="s">
        <v>1</v>
      </c>
      <c r="K1" s="263"/>
      <c r="L1" s="263"/>
      <c r="M1" s="263"/>
      <c r="N1" s="263"/>
      <c r="O1" s="264"/>
      <c r="Q1" s="262" t="s">
        <v>2</v>
      </c>
      <c r="R1" s="264"/>
    </row>
    <row r="2" spans="1:19" ht="17.25" customHeight="1">
      <c r="A2" s="117" t="s">
        <v>3</v>
      </c>
      <c r="B2" s="296" t="s">
        <v>8</v>
      </c>
      <c r="C2" s="297"/>
      <c r="D2" s="297"/>
      <c r="E2" s="297"/>
      <c r="F2" s="298"/>
      <c r="G2" s="290" t="s">
        <v>46</v>
      </c>
      <c r="H2" s="291"/>
      <c r="I2" s="292"/>
      <c r="J2" s="1" t="s">
        <v>3</v>
      </c>
      <c r="K2" s="296" t="s">
        <v>345</v>
      </c>
      <c r="L2" s="297"/>
      <c r="M2" s="297"/>
      <c r="N2" s="297"/>
      <c r="O2" s="298"/>
      <c r="Q2" s="2" t="s">
        <v>6</v>
      </c>
      <c r="R2" s="3">
        <v>0.375</v>
      </c>
    </row>
    <row r="3" spans="1:19" ht="17.25" customHeight="1" thickBot="1">
      <c r="A3" s="118" t="s">
        <v>7</v>
      </c>
      <c r="B3" s="287" t="s">
        <v>353</v>
      </c>
      <c r="C3" s="288"/>
      <c r="D3" s="288"/>
      <c r="E3" s="288"/>
      <c r="F3" s="289"/>
      <c r="G3" s="28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84"/>
      <c r="I3" s="285"/>
      <c r="J3" s="4" t="s">
        <v>7</v>
      </c>
      <c r="K3" s="287" t="s">
        <v>346</v>
      </c>
      <c r="L3" s="288"/>
      <c r="M3" s="288"/>
      <c r="N3" s="288"/>
      <c r="O3" s="28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7" t="s">
        <v>16</v>
      </c>
      <c r="C4" s="288"/>
      <c r="D4" s="288"/>
      <c r="E4" s="288"/>
      <c r="F4" s="289"/>
      <c r="G4" s="290" t="s">
        <v>44</v>
      </c>
      <c r="H4" s="291"/>
      <c r="I4" s="292"/>
      <c r="J4" s="4" t="s">
        <v>11</v>
      </c>
      <c r="K4" s="287" t="s">
        <v>347</v>
      </c>
      <c r="L4" s="288"/>
      <c r="M4" s="288"/>
      <c r="N4" s="288"/>
      <c r="O4" s="28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7" t="s">
        <v>344</v>
      </c>
      <c r="C5" s="288"/>
      <c r="D5" s="288"/>
      <c r="E5" s="288"/>
      <c r="F5" s="289"/>
      <c r="G5" s="28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84"/>
      <c r="I5" s="285"/>
      <c r="J5" s="4" t="s">
        <v>15</v>
      </c>
      <c r="K5" s="287" t="s">
        <v>348</v>
      </c>
      <c r="L5" s="288"/>
      <c r="M5" s="288"/>
      <c r="N5" s="288"/>
      <c r="O5" s="289"/>
    </row>
    <row r="6" spans="1:19">
      <c r="A6" s="118" t="s">
        <v>18</v>
      </c>
      <c r="B6" s="287"/>
      <c r="C6" s="288"/>
      <c r="D6" s="288"/>
      <c r="E6" s="288"/>
      <c r="F6" s="289"/>
      <c r="G6" s="290" t="s">
        <v>45</v>
      </c>
      <c r="H6" s="291"/>
      <c r="I6" s="292"/>
      <c r="J6" s="4" t="s">
        <v>18</v>
      </c>
      <c r="K6" s="287" t="s">
        <v>349</v>
      </c>
      <c r="L6" s="288"/>
      <c r="M6" s="288"/>
      <c r="N6" s="288"/>
      <c r="O6" s="289"/>
    </row>
    <row r="7" spans="1:19" ht="17.25" thickBot="1">
      <c r="A7" s="118" t="s">
        <v>21</v>
      </c>
      <c r="B7" s="287"/>
      <c r="C7" s="288"/>
      <c r="D7" s="288"/>
      <c r="E7" s="288"/>
      <c r="F7" s="289"/>
      <c r="G7" s="28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84"/>
      <c r="I7" s="285"/>
      <c r="J7" s="4" t="s">
        <v>21</v>
      </c>
      <c r="K7" s="287" t="s">
        <v>350</v>
      </c>
      <c r="L7" s="288"/>
      <c r="M7" s="288"/>
      <c r="N7" s="288"/>
      <c r="O7" s="289"/>
    </row>
    <row r="8" spans="1:19" ht="17.25" thickBot="1">
      <c r="A8" s="118" t="s">
        <v>24</v>
      </c>
      <c r="B8" s="287"/>
      <c r="C8" s="288"/>
      <c r="D8" s="288"/>
      <c r="E8" s="288"/>
      <c r="F8" s="289"/>
      <c r="G8" s="290" t="s">
        <v>280</v>
      </c>
      <c r="H8" s="291"/>
      <c r="I8" s="292"/>
      <c r="J8" s="4" t="s">
        <v>24</v>
      </c>
      <c r="K8" s="287"/>
      <c r="L8" s="288"/>
      <c r="M8" s="288"/>
      <c r="N8" s="288"/>
      <c r="O8" s="289"/>
      <c r="Q8" s="262" t="s">
        <v>27</v>
      </c>
      <c r="R8" s="264"/>
    </row>
    <row r="9" spans="1:19" ht="17.25" thickBot="1">
      <c r="A9" s="118" t="s">
        <v>28</v>
      </c>
      <c r="B9" s="287"/>
      <c r="C9" s="288"/>
      <c r="D9" s="288"/>
      <c r="E9" s="288"/>
      <c r="F9" s="289"/>
      <c r="G9" s="28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84"/>
      <c r="I9" s="285"/>
      <c r="J9" s="4" t="s">
        <v>28</v>
      </c>
      <c r="K9" s="287"/>
      <c r="L9" s="288"/>
      <c r="M9" s="288"/>
      <c r="N9" s="288"/>
      <c r="O9" s="289"/>
      <c r="Q9" s="2" t="s">
        <v>29</v>
      </c>
      <c r="R9" s="6">
        <v>10</v>
      </c>
    </row>
    <row r="10" spans="1:19">
      <c r="A10" s="118" t="s">
        <v>30</v>
      </c>
      <c r="B10" s="287"/>
      <c r="C10" s="288"/>
      <c r="D10" s="288"/>
      <c r="E10" s="288"/>
      <c r="F10" s="289"/>
      <c r="G10" s="290" t="s">
        <v>47</v>
      </c>
      <c r="H10" s="291"/>
      <c r="I10" s="292"/>
      <c r="J10" s="4" t="s">
        <v>30</v>
      </c>
      <c r="K10" s="287" t="s">
        <v>351</v>
      </c>
      <c r="L10" s="288"/>
      <c r="M10" s="288"/>
      <c r="N10" s="288"/>
      <c r="O10" s="289"/>
      <c r="Q10" s="2" t="s">
        <v>31</v>
      </c>
      <c r="R10" s="6">
        <v>100</v>
      </c>
    </row>
    <row r="11" spans="1:19" ht="17.25" thickBot="1">
      <c r="A11" s="119" t="s">
        <v>32</v>
      </c>
      <c r="B11" s="280" t="s">
        <v>352</v>
      </c>
      <c r="C11" s="281"/>
      <c r="D11" s="281"/>
      <c r="E11" s="281"/>
      <c r="F11" s="282"/>
      <c r="G11" s="28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84"/>
      <c r="I11" s="285"/>
      <c r="J11" s="7" t="s">
        <v>32</v>
      </c>
      <c r="K11" s="280" t="s">
        <v>343</v>
      </c>
      <c r="L11" s="281"/>
      <c r="M11" s="281"/>
      <c r="N11" s="281"/>
      <c r="O11" s="282"/>
      <c r="Q11" s="65" t="s">
        <v>33</v>
      </c>
      <c r="R11" s="8">
        <v>1000</v>
      </c>
    </row>
    <row r="12" spans="1:19" ht="17.25" thickBot="1"/>
    <row r="13" spans="1:19" ht="17.25" customHeight="1" thickBot="1">
      <c r="A13" s="262" t="s">
        <v>34</v>
      </c>
      <c r="B13" s="263"/>
      <c r="C13" s="263"/>
      <c r="D13" s="263"/>
      <c r="E13" s="263"/>
      <c r="F13" s="263"/>
      <c r="G13" s="263"/>
      <c r="H13" s="263"/>
      <c r="I13" s="263"/>
      <c r="J13" s="263"/>
      <c r="K13" s="263"/>
      <c r="L13" s="263"/>
      <c r="M13" s="263"/>
      <c r="N13" s="263"/>
      <c r="O13" s="264"/>
      <c r="Q13" s="261"/>
      <c r="R13" s="261"/>
      <c r="S13" s="261"/>
    </row>
    <row r="14" spans="1:19" ht="17.25" customHeight="1" thickBot="1">
      <c r="A14" s="196" t="s">
        <v>35</v>
      </c>
      <c r="B14" s="262" t="s">
        <v>36</v>
      </c>
      <c r="C14" s="264"/>
      <c r="D14" s="262" t="s">
        <v>37</v>
      </c>
      <c r="E14" s="263"/>
      <c r="F14" s="264"/>
      <c r="G14" s="265">
        <f>_xlfn.IFNA(VLOOKUP(B14, 현재가테이블!$B$2:$D$200, 2, FALSE), "-")</f>
        <v>40538000</v>
      </c>
      <c r="H14" s="266"/>
      <c r="I14" s="267"/>
      <c r="J14" s="262" t="s">
        <v>38</v>
      </c>
      <c r="K14" s="263"/>
      <c r="L14" s="264"/>
      <c r="M14" s="268">
        <f>_xlfn.IFNA(VLOOKUP(B14, 현재가테이블!$B$2:$D$200, 3, FALSE), "-")</f>
        <v>-3.68275993E-2</v>
      </c>
      <c r="N14" s="269"/>
      <c r="O14" s="270"/>
      <c r="Q14" s="261"/>
      <c r="R14" s="261"/>
      <c r="S14" s="261"/>
    </row>
    <row r="15" spans="1:19" ht="17.25" customHeight="1" thickBot="1">
      <c r="A15" s="299" t="s">
        <v>39</v>
      </c>
      <c r="B15" s="300" t="str">
        <f>TEXT($G$1, "[$-ko-KR]yyyy-mm-dd(ddd) ") &amp; "오전 00:00"</f>
        <v>2021-06-10(목) 오전 00:00</v>
      </c>
      <c r="C15" s="301"/>
      <c r="D15" s="275" t="str">
        <f>TEXT($G$1, "[$-ko-KR]yyyy-mm-dd(ddd) ") &amp; "오후 14:00"</f>
        <v>2021-06-10(목) 오후 14:00</v>
      </c>
      <c r="E15" s="276"/>
      <c r="F15" s="277"/>
      <c r="G15" s="275" t="str">
        <f>TEXT($G$1, "[$-ko-KR]yyyy-mm-dd(ddd) ") &amp; "오후 19:00"</f>
        <v>2021-06-10(목) 오후 19:00</v>
      </c>
      <c r="H15" s="276"/>
      <c r="I15" s="277"/>
      <c r="J15" s="275" t="str">
        <f>TEXT($G$1, "[$-ko-KR]yyyy-mm-dd(ddd) ") &amp; "오후 21:00"</f>
        <v>2021-06-10(목) 오후 21:00</v>
      </c>
      <c r="K15" s="276"/>
      <c r="L15" s="277"/>
      <c r="M15" s="275" t="str">
        <f>TEXT($G$1+1, "[$-ko-KR]yyyy-mm-dd(ddd) ") &amp; "오전 00:00"</f>
        <v>2021-06-11(금) 오전 00:00</v>
      </c>
      <c r="N15" s="276"/>
      <c r="O15" s="277"/>
      <c r="Q15" s="261"/>
      <c r="R15" s="261"/>
      <c r="S15" s="261"/>
    </row>
    <row r="16" spans="1:19" ht="17.25" customHeight="1" thickBot="1">
      <c r="A16" s="29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61"/>
      <c r="R17" s="261"/>
      <c r="S17" s="26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61"/>
      <c r="R18" s="261"/>
      <c r="S18" s="261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51"/>
      <c r="R19" s="251"/>
      <c r="S19" s="251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51"/>
      <c r="R20" s="251"/>
      <c r="S20" s="251"/>
    </row>
    <row r="21" spans="1:19" ht="17.25" customHeight="1" thickBot="1">
      <c r="A21" s="163" t="s">
        <v>242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51"/>
      <c r="R21" s="251"/>
      <c r="S21" s="251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51"/>
      <c r="R22" s="251"/>
      <c r="S22" s="251"/>
    </row>
    <row r="23" spans="1:19" ht="17.25" customHeight="1" thickBot="1">
      <c r="A23" s="162" t="s">
        <v>217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51"/>
      <c r="R23" s="251"/>
      <c r="S23" s="251"/>
    </row>
    <row r="24" spans="1:19" ht="17.25" customHeight="1" thickBot="1">
      <c r="A24" s="162" t="s">
        <v>265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51"/>
      <c r="R24" s="251"/>
      <c r="S24" s="251"/>
    </row>
    <row r="25" spans="1:19" ht="17.25" customHeight="1" thickBot="1">
      <c r="A25" s="162" t="s">
        <v>240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52"/>
      <c r="R26" s="253"/>
      <c r="S26" s="254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55"/>
      <c r="R27" s="256"/>
      <c r="S27" s="257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58"/>
      <c r="R28" s="259"/>
      <c r="S28" s="260"/>
    </row>
    <row r="29" spans="1:19" ht="17.25" customHeight="1" thickBot="1">
      <c r="A29" s="162" t="s">
        <v>221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51"/>
      <c r="R29" s="251"/>
      <c r="S29" s="251"/>
    </row>
    <row r="30" spans="1:19" ht="17.25" customHeight="1" thickBot="1">
      <c r="A30" s="162" t="s">
        <v>208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61"/>
      <c r="R30" s="261"/>
      <c r="S30" s="261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304">
        <v>100000</v>
      </c>
      <c r="C37" s="305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262" t="s">
        <v>44</v>
      </c>
      <c r="B40" s="263"/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4"/>
      <c r="Q40" s="261"/>
      <c r="R40" s="261"/>
      <c r="S40" s="261"/>
    </row>
    <row r="41" spans="1:19" ht="17.25" customHeight="1" thickBot="1">
      <c r="A41" s="196" t="s">
        <v>292</v>
      </c>
      <c r="B41" s="262" t="s">
        <v>49</v>
      </c>
      <c r="C41" s="264"/>
      <c r="D41" s="262" t="s">
        <v>58</v>
      </c>
      <c r="E41" s="263"/>
      <c r="F41" s="264"/>
      <c r="G41" s="265">
        <f>_xlfn.IFNA(VLOOKUP(B41, 현재가테이블!$B$2:$D$200, 2, FALSE), "-")</f>
        <v>40538000</v>
      </c>
      <c r="H41" s="266"/>
      <c r="I41" s="267"/>
      <c r="J41" s="262" t="s">
        <v>59</v>
      </c>
      <c r="K41" s="263"/>
      <c r="L41" s="264"/>
      <c r="M41" s="268">
        <f>_xlfn.IFNA(VLOOKUP(B41, 현재가테이블!$B$2:$D$200, 3, FALSE), "-")</f>
        <v>-3.68275993E-2</v>
      </c>
      <c r="N41" s="269"/>
      <c r="O41" s="270"/>
      <c r="Q41" s="261"/>
      <c r="R41" s="261"/>
      <c r="S41" s="261"/>
    </row>
    <row r="42" spans="1:19" ht="17.25" customHeight="1" thickBot="1">
      <c r="A42" s="306" t="s">
        <v>55</v>
      </c>
      <c r="B42" s="302" t="str">
        <f>TEXT($G$1, "[$-ko-KR]yyyy-mm-dd(ddd) ") &amp; "오전 00:00"</f>
        <v>2021-06-10(목) 오전 00:00</v>
      </c>
      <c r="C42" s="303"/>
      <c r="D42" s="275" t="str">
        <f>TEXT($G$1, "[$-ko-KR]yyyy-mm-dd(ddd) ") &amp; "오후 14:00"</f>
        <v>2021-06-10(목) 오후 14:00</v>
      </c>
      <c r="E42" s="276"/>
      <c r="F42" s="277"/>
      <c r="G42" s="275" t="str">
        <f>TEXT($G$1, "[$-ko-KR]yyyy-mm-dd(ddd) ") &amp; "오후 19:00"</f>
        <v>2021-06-10(목) 오후 19:00</v>
      </c>
      <c r="H42" s="276"/>
      <c r="I42" s="277"/>
      <c r="J42" s="275" t="str">
        <f>TEXT($G$1, "[$-ko-KR]yyyy-mm-dd(ddd) ") &amp; "오후 21:00"</f>
        <v>2021-06-10(목) 오후 21:00</v>
      </c>
      <c r="K42" s="276"/>
      <c r="L42" s="277"/>
      <c r="M42" s="275" t="str">
        <f>TEXT($G$1+1, "[$-ko-KR]yyyy-mm-dd(ddd) ") &amp; "오전 00:00"</f>
        <v>2021-06-11(금) 오전 00:00</v>
      </c>
      <c r="N42" s="276"/>
      <c r="O42" s="277"/>
      <c r="Q42" s="261"/>
      <c r="R42" s="261"/>
      <c r="S42" s="261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7" t="s">
        <v>58</v>
      </c>
      <c r="H43" s="198" t="s">
        <v>293</v>
      </c>
      <c r="I43" s="19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1"/>
      <c r="R43" s="251"/>
      <c r="S43" s="251"/>
    </row>
    <row r="44" spans="1:19" ht="17.25" customHeight="1" thickBot="1">
      <c r="A44" s="161" t="s">
        <v>217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61"/>
      <c r="R44" s="261"/>
      <c r="S44" s="261"/>
    </row>
    <row r="45" spans="1:19" ht="17.25" customHeight="1" thickBot="1">
      <c r="A45" s="162" t="s">
        <v>273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61"/>
      <c r="R45" s="261"/>
      <c r="S45" s="261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51"/>
      <c r="R46" s="251"/>
      <c r="S46" s="251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51"/>
      <c r="R47" s="251"/>
      <c r="S47" s="251"/>
    </row>
    <row r="48" spans="1:19" ht="17.25" customHeight="1" thickBot="1">
      <c r="A48" s="163" t="s">
        <v>167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51"/>
      <c r="R48" s="251"/>
      <c r="S48" s="251"/>
    </row>
    <row r="49" spans="1:19" ht="17.25" customHeight="1" thickBot="1">
      <c r="A49" s="162" t="s">
        <v>261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51"/>
      <c r="R49" s="251"/>
      <c r="S49" s="251"/>
    </row>
    <row r="50" spans="1:19" ht="17.25" customHeight="1" thickBot="1">
      <c r="A50" s="162" t="s">
        <v>259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51"/>
      <c r="R50" s="251"/>
      <c r="S50" s="251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51"/>
      <c r="R51" s="251"/>
      <c r="S51" s="251"/>
    </row>
    <row r="52" spans="1:19" ht="17.25" customHeight="1" thickBot="1">
      <c r="A52" s="162" t="s">
        <v>249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52"/>
      <c r="R53" s="253"/>
      <c r="S53" s="254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55"/>
      <c r="R54" s="256"/>
      <c r="S54" s="257"/>
    </row>
    <row r="55" spans="1:19" ht="17.25" customHeight="1" thickBot="1">
      <c r="A55" s="162" t="s">
        <v>212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58"/>
      <c r="R55" s="259"/>
      <c r="S55" s="260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51"/>
      <c r="R56" s="251"/>
      <c r="S56" s="251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61"/>
      <c r="R57" s="261"/>
      <c r="S57" s="261"/>
    </row>
    <row r="58" spans="1:19" ht="17.25" customHeight="1" thickBot="1">
      <c r="A58" s="163" t="s">
        <v>195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61"/>
      <c r="R58" s="261"/>
      <c r="S58" s="261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51"/>
      <c r="R59" s="251"/>
      <c r="S59" s="251"/>
    </row>
    <row r="60" spans="1:19" ht="17.25" customHeight="1" thickBot="1">
      <c r="A60" s="162" t="s">
        <v>219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51"/>
      <c r="R60" s="251"/>
      <c r="S60" s="251"/>
    </row>
    <row r="61" spans="1:19" ht="17.25" customHeight="1" thickBot="1">
      <c r="A61" s="162" t="s">
        <v>225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51"/>
      <c r="R61" s="251"/>
      <c r="S61" s="251"/>
    </row>
    <row r="62" spans="1:19" ht="17.25" customHeight="1">
      <c r="A62" s="162" t="s">
        <v>215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40"/>
      <c r="R62" s="241"/>
      <c r="S62" s="242"/>
    </row>
    <row r="63" spans="1:19" ht="17.25" customHeight="1" thickBot="1">
      <c r="A63" s="130" t="s">
        <v>197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43"/>
      <c r="R63" s="244"/>
      <c r="S63" s="245"/>
    </row>
    <row r="64" spans="1:19" ht="17.25" customHeight="1" thickBot="1">
      <c r="A64" s="132" t="s">
        <v>295</v>
      </c>
      <c r="B64" s="304">
        <f>$B$37</f>
        <v>100000</v>
      </c>
      <c r="C64" s="305"/>
      <c r="D64" s="26" t="s">
        <v>296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296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296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296</v>
      </c>
      <c r="N64" s="27">
        <f>IF(COUNT(N44:N63), SUM(N44:N63) / COUNT(N44:N63), 0)</f>
        <v>8.4786452953680466E-2</v>
      </c>
      <c r="O64" s="28">
        <f>SUM(O44:O63)</f>
        <v>169572.9059073609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262" t="s">
        <v>45</v>
      </c>
      <c r="B67" s="263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4"/>
      <c r="Q67" s="261"/>
      <c r="R67" s="261"/>
      <c r="S67" s="261"/>
    </row>
    <row r="68" spans="1:19" ht="17.25" thickBot="1">
      <c r="A68" s="196" t="s">
        <v>292</v>
      </c>
      <c r="B68" s="262" t="s">
        <v>49</v>
      </c>
      <c r="C68" s="264"/>
      <c r="D68" s="262" t="s">
        <v>58</v>
      </c>
      <c r="E68" s="263"/>
      <c r="F68" s="264"/>
      <c r="G68" s="265">
        <f>_xlfn.IFNA(VLOOKUP(B68, 현재가테이블!$B$2:$D$200, 2, FALSE), "-")</f>
        <v>40538000</v>
      </c>
      <c r="H68" s="266"/>
      <c r="I68" s="267"/>
      <c r="J68" s="262" t="s">
        <v>59</v>
      </c>
      <c r="K68" s="263"/>
      <c r="L68" s="264"/>
      <c r="M68" s="268">
        <f>_xlfn.IFNA(VLOOKUP(B68, 현재가테이블!$B$2:$D$200, 3, FALSE), "-")</f>
        <v>-3.68275993E-2</v>
      </c>
      <c r="N68" s="269"/>
      <c r="O68" s="270"/>
      <c r="Q68" s="261"/>
      <c r="R68" s="261"/>
      <c r="S68" s="261"/>
    </row>
    <row r="69" spans="1:19" ht="17.25" thickBot="1">
      <c r="A69" s="306" t="s">
        <v>55</v>
      </c>
      <c r="B69" s="302" t="str">
        <f>TEXT($G$1, "[$-ko-KR]yyyy-mm-dd(ddd) ") &amp; "오전 00:00"</f>
        <v>2021-06-10(목) 오전 00:00</v>
      </c>
      <c r="C69" s="303"/>
      <c r="D69" s="275" t="str">
        <f>TEXT($G$1, "[$-ko-KR]yyyy-mm-dd(ddd) ") &amp; "오후 14:00"</f>
        <v>2021-06-10(목) 오후 14:00</v>
      </c>
      <c r="E69" s="276"/>
      <c r="F69" s="277"/>
      <c r="G69" s="275" t="str">
        <f>TEXT($G$1, "[$-ko-KR]yyyy-mm-dd(ddd) ") &amp; "오후 19:00"</f>
        <v>2021-06-10(목) 오후 19:00</v>
      </c>
      <c r="H69" s="276"/>
      <c r="I69" s="277"/>
      <c r="J69" s="275" t="str">
        <f>TEXT($G$1, "[$-ko-KR]yyyy-mm-dd(ddd) ") &amp; "오후 21:00"</f>
        <v>2021-06-10(목) 오후 21:00</v>
      </c>
      <c r="K69" s="276"/>
      <c r="L69" s="277"/>
      <c r="M69" s="275" t="str">
        <f>TEXT($G$1+1, "[$-ko-KR]yyyy-mm-dd(ddd) ") &amp; "오전 00:00"</f>
        <v>2021-06-11(금) 오전 00:00</v>
      </c>
      <c r="N69" s="276"/>
      <c r="O69" s="277"/>
      <c r="Q69" s="261"/>
      <c r="R69" s="261"/>
      <c r="S69" s="261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7" t="s">
        <v>58</v>
      </c>
      <c r="H70" s="198" t="s">
        <v>293</v>
      </c>
      <c r="I70" s="19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1"/>
      <c r="R70" s="251"/>
      <c r="S70" s="251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61"/>
      <c r="R71" s="261"/>
      <c r="S71" s="261"/>
    </row>
    <row r="72" spans="1:19" ht="17.25" thickBot="1">
      <c r="A72" s="162" t="s">
        <v>275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61"/>
      <c r="R72" s="261"/>
      <c r="S72" s="261"/>
    </row>
    <row r="73" spans="1:19" ht="17.25" thickBot="1">
      <c r="A73" s="162" t="s">
        <v>265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51"/>
      <c r="R73" s="251"/>
      <c r="S73" s="251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51"/>
      <c r="R74" s="251"/>
      <c r="S74" s="251"/>
    </row>
    <row r="75" spans="1:19" ht="17.25" thickBot="1">
      <c r="A75" s="163" t="s">
        <v>208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51"/>
      <c r="R75" s="251"/>
      <c r="S75" s="251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51"/>
      <c r="R76" s="251"/>
      <c r="S76" s="251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51"/>
      <c r="R77" s="251"/>
      <c r="S77" s="251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51"/>
      <c r="R78" s="251"/>
      <c r="S78" s="251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251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52"/>
      <c r="R80" s="253"/>
      <c r="S80" s="254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55"/>
      <c r="R81" s="256"/>
      <c r="S81" s="257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58"/>
      <c r="R82" s="259"/>
      <c r="S82" s="260"/>
    </row>
    <row r="83" spans="1:19" ht="17.25" thickBot="1">
      <c r="A83" s="162" t="s">
        <v>291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51"/>
      <c r="R83" s="251"/>
      <c r="S83" s="251"/>
    </row>
    <row r="84" spans="1:19" ht="17.25" thickBot="1">
      <c r="A84" s="162" t="s">
        <v>236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61"/>
      <c r="R84" s="261"/>
      <c r="S84" s="261"/>
    </row>
    <row r="85" spans="1:19" ht="17.25" thickBot="1">
      <c r="A85" s="163" t="s">
        <v>234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61"/>
      <c r="R85" s="261"/>
      <c r="S85" s="261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51"/>
      <c r="R86" s="251"/>
      <c r="S86" s="251"/>
    </row>
    <row r="87" spans="1:19" ht="17.25" thickBot="1">
      <c r="A87" s="162" t="s">
        <v>257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51"/>
      <c r="R87" s="251"/>
      <c r="S87" s="251"/>
    </row>
    <row r="88" spans="1:19" ht="17.25" thickBot="1">
      <c r="A88" s="162" t="s">
        <v>242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51"/>
      <c r="R88" s="251"/>
      <c r="S88" s="251"/>
    </row>
    <row r="89" spans="1:19">
      <c r="A89" s="162" t="s">
        <v>173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40"/>
      <c r="R89" s="241"/>
      <c r="S89" s="242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43"/>
      <c r="R90" s="244"/>
      <c r="S90" s="245"/>
    </row>
    <row r="91" spans="1:19" ht="17.25" thickBot="1">
      <c r="A91" s="132" t="s">
        <v>295</v>
      </c>
      <c r="B91" s="304">
        <f>$B$37</f>
        <v>100000</v>
      </c>
      <c r="C91" s="305"/>
      <c r="D91" s="26" t="s">
        <v>296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296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296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296</v>
      </c>
      <c r="N91" s="27">
        <f>IF(COUNT(N71:N90), SUM(N71:N90) / COUNT(N71:N90), 0)</f>
        <v>1.5616726505872435E-2</v>
      </c>
      <c r="O91" s="28">
        <f>SUM(O71:O90)</f>
        <v>31233.453011744874</v>
      </c>
      <c r="Q91" s="246"/>
      <c r="R91" s="247"/>
      <c r="S91" s="248"/>
    </row>
    <row r="93" spans="1:19" ht="17.25" thickBot="1"/>
    <row r="94" spans="1:19" ht="17.25" thickBot="1">
      <c r="A94" s="262" t="s">
        <v>46</v>
      </c>
      <c r="B94" s="263"/>
      <c r="C94" s="263"/>
      <c r="D94" s="263"/>
      <c r="E94" s="263"/>
      <c r="F94" s="263"/>
      <c r="G94" s="263"/>
      <c r="H94" s="263"/>
      <c r="I94" s="263"/>
      <c r="J94" s="263"/>
      <c r="K94" s="263"/>
      <c r="L94" s="263"/>
      <c r="M94" s="263"/>
      <c r="N94" s="263"/>
      <c r="O94" s="264"/>
      <c r="Q94" s="261"/>
      <c r="R94" s="261"/>
      <c r="S94" s="261"/>
    </row>
    <row r="95" spans="1:19" ht="17.25" thickBot="1">
      <c r="A95" s="196" t="s">
        <v>292</v>
      </c>
      <c r="B95" s="262" t="s">
        <v>49</v>
      </c>
      <c r="C95" s="264"/>
      <c r="D95" s="262" t="s">
        <v>58</v>
      </c>
      <c r="E95" s="263"/>
      <c r="F95" s="264"/>
      <c r="G95" s="265">
        <f>_xlfn.IFNA(VLOOKUP(B95, 현재가테이블!$B$2:$D$200, 2, FALSE), "-")</f>
        <v>40538000</v>
      </c>
      <c r="H95" s="266"/>
      <c r="I95" s="267"/>
      <c r="J95" s="262" t="s">
        <v>59</v>
      </c>
      <c r="K95" s="263"/>
      <c r="L95" s="264"/>
      <c r="M95" s="268">
        <f>_xlfn.IFNA(VLOOKUP(B95, 현재가테이블!$B$2:$D$200, 3, FALSE), "-")</f>
        <v>-3.68275993E-2</v>
      </c>
      <c r="N95" s="269"/>
      <c r="O95" s="270"/>
      <c r="Q95" s="261"/>
      <c r="R95" s="261"/>
      <c r="S95" s="261"/>
    </row>
    <row r="96" spans="1:19" ht="17.25" thickBot="1">
      <c r="A96" s="306" t="s">
        <v>55</v>
      </c>
      <c r="B96" s="302" t="str">
        <f>TEXT($G$1, "[$-ko-KR]yyyy-mm-dd(ddd) ") &amp; "오전 00:00"</f>
        <v>2021-06-10(목) 오전 00:00</v>
      </c>
      <c r="C96" s="303"/>
      <c r="D96" s="275" t="str">
        <f>TEXT($G$1, "[$-ko-KR]yyyy-mm-dd(ddd) ") &amp; "오후 14:00"</f>
        <v>2021-06-10(목) 오후 14:00</v>
      </c>
      <c r="E96" s="276"/>
      <c r="F96" s="277"/>
      <c r="G96" s="275" t="str">
        <f>TEXT($G$1, "[$-ko-KR]yyyy-mm-dd(ddd) ") &amp; "오후 19:00"</f>
        <v>2021-06-10(목) 오후 19:00</v>
      </c>
      <c r="H96" s="276"/>
      <c r="I96" s="277"/>
      <c r="J96" s="275" t="str">
        <f>TEXT($G$1, "[$-ko-KR]yyyy-mm-dd(ddd) ") &amp; "오후 21:00"</f>
        <v>2021-06-10(목) 오후 21:00</v>
      </c>
      <c r="K96" s="276"/>
      <c r="L96" s="277"/>
      <c r="M96" s="275" t="str">
        <f>TEXT($G$1+1, "[$-ko-KR]yyyy-mm-dd(ddd) ") &amp; "오전 00:00"</f>
        <v>2021-06-11(금) 오전 00:00</v>
      </c>
      <c r="N96" s="276"/>
      <c r="O96" s="277"/>
      <c r="Q96" s="261"/>
      <c r="R96" s="261"/>
      <c r="S96" s="261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7" t="s">
        <v>58</v>
      </c>
      <c r="H97" s="198" t="s">
        <v>293</v>
      </c>
      <c r="I97" s="19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1"/>
      <c r="R97" s="251"/>
      <c r="S97" s="251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61"/>
      <c r="R98" s="261"/>
      <c r="S98" s="261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61"/>
      <c r="R99" s="261"/>
      <c r="S99" s="261"/>
    </row>
    <row r="100" spans="1:19" ht="17.25" thickBot="1">
      <c r="A100" s="162" t="s">
        <v>244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51"/>
      <c r="R100" s="251"/>
      <c r="S100" s="251"/>
    </row>
    <row r="101" spans="1:19" ht="17.25" thickBot="1">
      <c r="A101" s="162" t="s">
        <v>267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51"/>
      <c r="R101" s="251"/>
      <c r="S101" s="251"/>
    </row>
    <row r="102" spans="1:19" ht="17.25" thickBot="1">
      <c r="A102" s="163" t="s">
        <v>275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51"/>
      <c r="R102" s="251"/>
      <c r="S102" s="251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51"/>
      <c r="R103" s="251"/>
      <c r="S103" s="251"/>
    </row>
    <row r="104" spans="1:19" ht="17.25" thickBot="1">
      <c r="A104" s="162" t="s">
        <v>217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51"/>
      <c r="R104" s="251"/>
      <c r="S104" s="251"/>
    </row>
    <row r="105" spans="1:19" ht="17.25" thickBot="1">
      <c r="A105" s="162" t="s">
        <v>265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51"/>
      <c r="R105" s="251"/>
      <c r="S105" s="251"/>
    </row>
    <row r="106" spans="1:19" ht="17.25" thickBot="1">
      <c r="A106" s="162" t="s">
        <v>240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52"/>
      <c r="R107" s="253"/>
      <c r="S107" s="254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55"/>
      <c r="R108" s="256"/>
      <c r="S108" s="257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58"/>
      <c r="R109" s="259"/>
      <c r="S109" s="260"/>
    </row>
    <row r="110" spans="1:19" ht="17.25" thickBot="1">
      <c r="A110" s="162" t="s">
        <v>221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51"/>
      <c r="R110" s="251"/>
      <c r="S110" s="251"/>
    </row>
    <row r="111" spans="1:19" ht="17.25" thickBot="1">
      <c r="A111" s="162" t="s">
        <v>208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61"/>
      <c r="R111" s="261"/>
      <c r="S111" s="261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61"/>
      <c r="R112" s="261"/>
      <c r="S112" s="261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51"/>
      <c r="R113" s="251"/>
      <c r="S113" s="251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51"/>
      <c r="R114" s="251"/>
      <c r="S114" s="251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51"/>
      <c r="R115" s="251"/>
      <c r="S115" s="251"/>
    </row>
    <row r="116" spans="1:19">
      <c r="A116" s="162" t="s">
        <v>161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40"/>
      <c r="R116" s="241"/>
      <c r="S116" s="242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43"/>
      <c r="R117" s="244"/>
      <c r="S117" s="245"/>
    </row>
    <row r="118" spans="1:19" ht="17.25" thickBot="1">
      <c r="A118" s="132" t="s">
        <v>295</v>
      </c>
      <c r="B118" s="304">
        <f>$B$37</f>
        <v>100000</v>
      </c>
      <c r="C118" s="305"/>
      <c r="D118" s="26" t="s">
        <v>296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296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296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296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246"/>
      <c r="R118" s="247"/>
      <c r="S118" s="248"/>
    </row>
    <row r="120" spans="1:19" ht="17.25" thickBot="1"/>
    <row r="121" spans="1:19" ht="17.25" thickBot="1">
      <c r="A121" s="262" t="s">
        <v>283</v>
      </c>
      <c r="B121" s="263"/>
      <c r="C121" s="263"/>
      <c r="D121" s="263"/>
      <c r="E121" s="263"/>
      <c r="F121" s="263"/>
      <c r="G121" s="263"/>
      <c r="H121" s="263"/>
      <c r="I121" s="263"/>
      <c r="J121" s="263"/>
      <c r="K121" s="263"/>
      <c r="L121" s="263"/>
      <c r="M121" s="263"/>
      <c r="N121" s="263"/>
      <c r="O121" s="264"/>
      <c r="Q121" s="261"/>
      <c r="R121" s="261"/>
      <c r="S121" s="261"/>
    </row>
    <row r="122" spans="1:19" ht="17.25" thickBot="1">
      <c r="A122" s="196" t="s">
        <v>292</v>
      </c>
      <c r="B122" s="262" t="s">
        <v>49</v>
      </c>
      <c r="C122" s="264"/>
      <c r="D122" s="262" t="s">
        <v>58</v>
      </c>
      <c r="E122" s="263"/>
      <c r="F122" s="264"/>
      <c r="G122" s="265">
        <f>_xlfn.IFNA(VLOOKUP(B122, 현재가테이블!$B$2:$D$200, 2, FALSE), "-")</f>
        <v>40538000</v>
      </c>
      <c r="H122" s="266"/>
      <c r="I122" s="267"/>
      <c r="J122" s="262" t="s">
        <v>59</v>
      </c>
      <c r="K122" s="263"/>
      <c r="L122" s="264"/>
      <c r="M122" s="268">
        <f>_xlfn.IFNA(VLOOKUP(B122, 현재가테이블!$B$2:$D$200, 3, FALSE), "-")</f>
        <v>-3.68275993E-2</v>
      </c>
      <c r="N122" s="269"/>
      <c r="O122" s="270"/>
      <c r="Q122" s="261"/>
      <c r="R122" s="261"/>
      <c r="S122" s="261"/>
    </row>
    <row r="123" spans="1:19" ht="17.25" thickBot="1">
      <c r="A123" s="306" t="s">
        <v>55</v>
      </c>
      <c r="B123" s="302" t="str">
        <f>TEXT($G$1, "[$-ko-KR]yyyy-mm-dd(ddd) ") &amp; "오전 00:00"</f>
        <v>2021-06-10(목) 오전 00:00</v>
      </c>
      <c r="C123" s="303"/>
      <c r="D123" s="275" t="str">
        <f>TEXT($G$1, "[$-ko-KR]yyyy-mm-dd(ddd) ") &amp; "오후 14:00"</f>
        <v>2021-06-10(목) 오후 14:00</v>
      </c>
      <c r="E123" s="276"/>
      <c r="F123" s="277"/>
      <c r="G123" s="275" t="str">
        <f>TEXT($G$1, "[$-ko-KR]yyyy-mm-dd(ddd) ") &amp; "오후 19:00"</f>
        <v>2021-06-10(목) 오후 19:00</v>
      </c>
      <c r="H123" s="276"/>
      <c r="I123" s="277"/>
      <c r="J123" s="275" t="str">
        <f>TEXT($G$1, "[$-ko-KR]yyyy-mm-dd(ddd) ") &amp; "오후 21:00"</f>
        <v>2021-06-10(목) 오후 21:00</v>
      </c>
      <c r="K123" s="276"/>
      <c r="L123" s="277"/>
      <c r="M123" s="275" t="str">
        <f>TEXT($G$1+1, "[$-ko-KR]yyyy-mm-dd(ddd) ") &amp; "오전 00:00"</f>
        <v>2021-06-11(금) 오전 00:00</v>
      </c>
      <c r="N123" s="276"/>
      <c r="O123" s="277"/>
      <c r="Q123" s="261"/>
      <c r="R123" s="261"/>
      <c r="S123" s="261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7" t="s">
        <v>58</v>
      </c>
      <c r="H124" s="198" t="s">
        <v>293</v>
      </c>
      <c r="I124" s="19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1"/>
      <c r="R124" s="251"/>
      <c r="S124" s="251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61"/>
      <c r="R125" s="261"/>
      <c r="S125" s="261"/>
    </row>
    <row r="126" spans="1:19" ht="17.25" thickBot="1">
      <c r="A126" s="162" t="s">
        <v>249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61"/>
      <c r="R126" s="261"/>
      <c r="S126" s="261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51"/>
      <c r="R127" s="251"/>
      <c r="S127" s="251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51"/>
      <c r="R128" s="251"/>
      <c r="S128" s="251"/>
    </row>
    <row r="129" spans="1:19" ht="17.25" thickBot="1">
      <c r="A129" s="163" t="s">
        <v>212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51"/>
      <c r="R129" s="251"/>
      <c r="S129" s="251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51"/>
      <c r="R130" s="251"/>
      <c r="S130" s="251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51"/>
      <c r="R131" s="251"/>
      <c r="S131" s="251"/>
    </row>
    <row r="132" spans="1:19" ht="17.25" thickBot="1">
      <c r="A132" s="162" t="s">
        <v>195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51"/>
      <c r="R132" s="251"/>
      <c r="S132" s="251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219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52"/>
      <c r="R134" s="253"/>
      <c r="S134" s="254"/>
    </row>
    <row r="135" spans="1:19">
      <c r="A135" s="161" t="s">
        <v>225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55"/>
      <c r="R135" s="256"/>
      <c r="S135" s="257"/>
    </row>
    <row r="136" spans="1:19" ht="17.25" thickBot="1">
      <c r="A136" s="162" t="s">
        <v>215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58"/>
      <c r="R136" s="259"/>
      <c r="S136" s="260"/>
    </row>
    <row r="137" spans="1:19" ht="17.25" thickBot="1">
      <c r="A137" s="162" t="s">
        <v>197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51"/>
      <c r="R137" s="251"/>
      <c r="S137" s="251"/>
    </row>
    <row r="138" spans="1:19" ht="17.25" thickBot="1">
      <c r="A138" s="162" t="s">
        <v>263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61"/>
      <c r="R138" s="261"/>
      <c r="S138" s="261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61"/>
      <c r="R139" s="261"/>
      <c r="S139" s="261"/>
    </row>
    <row r="140" spans="1:19" ht="17.25" thickBot="1">
      <c r="A140" s="162" t="s">
        <v>210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51"/>
      <c r="R140" s="251"/>
      <c r="S140" s="251"/>
    </row>
    <row r="141" spans="1:19" ht="17.25" thickBot="1">
      <c r="A141" s="162" t="s">
        <v>255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51"/>
      <c r="R141" s="251"/>
      <c r="S141" s="251"/>
    </row>
    <row r="142" spans="1:19" ht="17.25" thickBot="1">
      <c r="A142" s="162" t="s">
        <v>185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51"/>
      <c r="R142" s="251"/>
      <c r="S142" s="251"/>
    </row>
    <row r="143" spans="1:19">
      <c r="A143" s="162" t="s">
        <v>233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40"/>
      <c r="R143" s="241"/>
      <c r="S143" s="242"/>
    </row>
    <row r="144" spans="1:19" ht="17.25" thickBot="1">
      <c r="A144" s="130" t="s">
        <v>171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43"/>
      <c r="R144" s="244"/>
      <c r="S144" s="245"/>
    </row>
    <row r="145" spans="1:19" ht="17.25" thickBot="1">
      <c r="A145" s="132" t="s">
        <v>295</v>
      </c>
      <c r="B145" s="304">
        <f>$B$37</f>
        <v>100000</v>
      </c>
      <c r="C145" s="305"/>
      <c r="D145" s="26" t="s">
        <v>296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296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296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296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246"/>
      <c r="R145" s="247"/>
      <c r="S145" s="248"/>
    </row>
    <row r="147" spans="1:19" ht="17.25" thickBot="1"/>
    <row r="148" spans="1:19" ht="17.25" thickBot="1">
      <c r="A148" s="262" t="s">
        <v>284</v>
      </c>
      <c r="B148" s="263"/>
      <c r="C148" s="263"/>
      <c r="D148" s="263"/>
      <c r="E148" s="263"/>
      <c r="F148" s="263"/>
      <c r="G148" s="263"/>
      <c r="H148" s="263"/>
      <c r="I148" s="263"/>
      <c r="J148" s="263"/>
      <c r="K148" s="263"/>
      <c r="L148" s="263"/>
      <c r="M148" s="263"/>
      <c r="N148" s="263"/>
      <c r="O148" s="264"/>
      <c r="Q148" s="261"/>
      <c r="R148" s="261"/>
      <c r="S148" s="261"/>
    </row>
    <row r="149" spans="1:19" ht="17.25" thickBot="1">
      <c r="A149" s="196" t="s">
        <v>292</v>
      </c>
      <c r="B149" s="262" t="s">
        <v>49</v>
      </c>
      <c r="C149" s="264"/>
      <c r="D149" s="262" t="s">
        <v>58</v>
      </c>
      <c r="E149" s="263"/>
      <c r="F149" s="264"/>
      <c r="G149" s="265">
        <f>_xlfn.IFNA(VLOOKUP(B149, 현재가테이블!$B$2:$D$200, 2, FALSE), "-")</f>
        <v>40538000</v>
      </c>
      <c r="H149" s="266"/>
      <c r="I149" s="267"/>
      <c r="J149" s="262" t="s">
        <v>59</v>
      </c>
      <c r="K149" s="263"/>
      <c r="L149" s="264"/>
      <c r="M149" s="268">
        <f>_xlfn.IFNA(VLOOKUP(B149, 현재가테이블!$B$2:$D$200, 3, FALSE), "-")</f>
        <v>-3.68275993E-2</v>
      </c>
      <c r="N149" s="269"/>
      <c r="O149" s="270"/>
      <c r="Q149" s="261"/>
      <c r="R149" s="261"/>
      <c r="S149" s="261"/>
    </row>
    <row r="150" spans="1:19" ht="17.25" thickBot="1">
      <c r="A150" s="306" t="s">
        <v>55</v>
      </c>
      <c r="B150" s="302" t="str">
        <f>TEXT($G$1, "[$-ko-KR]yyyy-mm-dd(ddd) ") &amp; "오전 00:00"</f>
        <v>2021-06-10(목) 오전 00:00</v>
      </c>
      <c r="C150" s="303"/>
      <c r="D150" s="275" t="str">
        <f>TEXT($G$1, "[$-ko-KR]yyyy-mm-dd(ddd) ") &amp; "오후 14:00"</f>
        <v>2021-06-10(목) 오후 14:00</v>
      </c>
      <c r="E150" s="276"/>
      <c r="F150" s="277"/>
      <c r="G150" s="275" t="str">
        <f>TEXT($G$1, "[$-ko-KR]yyyy-mm-dd(ddd) ") &amp; "오후 19:00"</f>
        <v>2021-06-10(목) 오후 19:00</v>
      </c>
      <c r="H150" s="276"/>
      <c r="I150" s="277"/>
      <c r="J150" s="275" t="str">
        <f>TEXT($G$1, "[$-ko-KR]yyyy-mm-dd(ddd) ") &amp; "오후 21:00"</f>
        <v>2021-06-10(목) 오후 21:00</v>
      </c>
      <c r="K150" s="276"/>
      <c r="L150" s="277"/>
      <c r="M150" s="275" t="str">
        <f>TEXT($G$1+1, "[$-ko-KR]yyyy-mm-dd(ddd) ") &amp; "오전 00:00"</f>
        <v>2021-06-11(금) 오전 00:00</v>
      </c>
      <c r="N150" s="276"/>
      <c r="O150" s="277"/>
      <c r="Q150" s="261"/>
      <c r="R150" s="261"/>
      <c r="S150" s="261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7" t="s">
        <v>58</v>
      </c>
      <c r="H151" s="198" t="s">
        <v>293</v>
      </c>
      <c r="I151" s="19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1"/>
      <c r="R151" s="251"/>
      <c r="S151" s="251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61"/>
      <c r="R152" s="261"/>
      <c r="S152" s="261"/>
    </row>
    <row r="153" spans="1:19" ht="17.25" thickBot="1">
      <c r="A153" s="162" t="s">
        <v>223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61"/>
      <c r="R153" s="261"/>
      <c r="S153" s="261"/>
    </row>
    <row r="154" spans="1:19" ht="17.25" thickBot="1">
      <c r="A154" s="162" t="s">
        <v>199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51"/>
      <c r="R154" s="251"/>
      <c r="S154" s="251"/>
    </row>
    <row r="155" spans="1:19" ht="17.25" thickBot="1">
      <c r="A155" s="162" t="s">
        <v>279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51"/>
      <c r="R155" s="251"/>
      <c r="S155" s="251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51"/>
      <c r="R156" s="251"/>
      <c r="S156" s="251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51"/>
      <c r="R157" s="251"/>
      <c r="S157" s="251"/>
    </row>
    <row r="158" spans="1:19" ht="17.25" thickBot="1">
      <c r="A158" s="162" t="s">
        <v>253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51"/>
      <c r="R158" s="251"/>
      <c r="S158" s="251"/>
    </row>
    <row r="159" spans="1:19" ht="17.25" thickBot="1">
      <c r="A159" s="162" t="s">
        <v>246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51"/>
      <c r="R159" s="251"/>
      <c r="S159" s="251"/>
    </row>
    <row r="160" spans="1:19" ht="17.25" thickBot="1">
      <c r="A160" s="162" t="s">
        <v>227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229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52"/>
      <c r="R161" s="253"/>
      <c r="S161" s="254"/>
    </row>
    <row r="162" spans="1:19">
      <c r="A162" s="161" t="s">
        <v>201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55"/>
      <c r="R162" s="256"/>
      <c r="S162" s="257"/>
    </row>
    <row r="163" spans="1:19" ht="17.25" thickBot="1">
      <c r="A163" s="162" t="s">
        <v>231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58"/>
      <c r="R163" s="259"/>
      <c r="S163" s="260"/>
    </row>
    <row r="164" spans="1:19" ht="17.25" thickBot="1">
      <c r="A164" s="162" t="s">
        <v>277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51"/>
      <c r="R164" s="251"/>
      <c r="S164" s="251"/>
    </row>
    <row r="165" spans="1:19" ht="17.25" thickBot="1">
      <c r="A165" s="162" t="s">
        <v>248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61"/>
      <c r="R165" s="261"/>
      <c r="S165" s="261"/>
    </row>
    <row r="166" spans="1:19" ht="17.25" thickBot="1">
      <c r="A166" s="163" t="s">
        <v>181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61"/>
      <c r="R166" s="261"/>
      <c r="S166" s="261"/>
    </row>
    <row r="167" spans="1:19" ht="17.25" thickBot="1">
      <c r="A167" s="162" t="s">
        <v>169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51"/>
      <c r="R167" s="251"/>
      <c r="S167" s="251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51"/>
      <c r="R168" s="251"/>
      <c r="S168" s="251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51"/>
      <c r="R169" s="251"/>
      <c r="S169" s="251"/>
    </row>
    <row r="170" spans="1:19">
      <c r="A170" s="162" t="s">
        <v>206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40"/>
      <c r="R170" s="241"/>
      <c r="S170" s="242"/>
    </row>
    <row r="171" spans="1:19" ht="17.25" thickBot="1">
      <c r="A171" s="130" t="s">
        <v>214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43"/>
      <c r="R171" s="244"/>
      <c r="S171" s="245"/>
    </row>
    <row r="172" spans="1:19" ht="17.25" thickBot="1">
      <c r="A172" s="132" t="s">
        <v>295</v>
      </c>
      <c r="B172" s="304">
        <f>$B$37</f>
        <v>100000</v>
      </c>
      <c r="C172" s="305"/>
      <c r="D172" s="26" t="s">
        <v>296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296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296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296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246"/>
      <c r="R172" s="247"/>
      <c r="S172" s="248"/>
    </row>
    <row r="174" spans="1:19" ht="17.25" thickBot="1"/>
    <row r="175" spans="1:19" ht="17.25" thickBot="1">
      <c r="A175" s="262" t="s">
        <v>280</v>
      </c>
      <c r="B175" s="263"/>
      <c r="C175" s="263"/>
      <c r="D175" s="263"/>
      <c r="E175" s="263"/>
      <c r="F175" s="263"/>
      <c r="G175" s="263"/>
      <c r="H175" s="263"/>
      <c r="I175" s="263"/>
      <c r="J175" s="263"/>
      <c r="K175" s="263"/>
      <c r="L175" s="263"/>
      <c r="M175" s="263"/>
      <c r="N175" s="263"/>
      <c r="O175" s="264"/>
      <c r="Q175" s="261"/>
      <c r="R175" s="261"/>
      <c r="S175" s="261"/>
    </row>
    <row r="176" spans="1:19" ht="17.25" thickBot="1">
      <c r="A176" s="196" t="s">
        <v>292</v>
      </c>
      <c r="B176" s="262" t="s">
        <v>49</v>
      </c>
      <c r="C176" s="264"/>
      <c r="D176" s="262" t="s">
        <v>58</v>
      </c>
      <c r="E176" s="263"/>
      <c r="F176" s="264"/>
      <c r="G176" s="265">
        <f>_xlfn.IFNA(VLOOKUP(B176, 현재가테이블!$B$2:$D$200, 2, FALSE), "-")</f>
        <v>40538000</v>
      </c>
      <c r="H176" s="266"/>
      <c r="I176" s="267"/>
      <c r="J176" s="262" t="s">
        <v>59</v>
      </c>
      <c r="K176" s="263"/>
      <c r="L176" s="264"/>
      <c r="M176" s="268">
        <f>_xlfn.IFNA(VLOOKUP(B176, 현재가테이블!$B$2:$D$200, 3, FALSE), "-")</f>
        <v>-3.68275993E-2</v>
      </c>
      <c r="N176" s="269"/>
      <c r="O176" s="270"/>
      <c r="Q176" s="261"/>
      <c r="R176" s="261"/>
      <c r="S176" s="261"/>
    </row>
    <row r="177" spans="1:19" ht="17.25" thickBot="1">
      <c r="A177" s="306" t="s">
        <v>55</v>
      </c>
      <c r="B177" s="302" t="str">
        <f>TEXT($G$1, "[$-ko-KR]yyyy-mm-dd(ddd) ") &amp; "오전 00:00"</f>
        <v>2021-06-10(목) 오전 00:00</v>
      </c>
      <c r="C177" s="303"/>
      <c r="D177" s="275" t="str">
        <f>TEXT($G$1, "[$-ko-KR]yyyy-mm-dd(ddd) ") &amp; "오후 14:00"</f>
        <v>2021-06-10(목) 오후 14:00</v>
      </c>
      <c r="E177" s="276"/>
      <c r="F177" s="277"/>
      <c r="G177" s="275" t="str">
        <f>TEXT($G$1, "[$-ko-KR]yyyy-mm-dd(ddd) ") &amp; "오후 19:00"</f>
        <v>2021-06-10(목) 오후 19:00</v>
      </c>
      <c r="H177" s="276"/>
      <c r="I177" s="277"/>
      <c r="J177" s="275" t="str">
        <f>TEXT($G$1, "[$-ko-KR]yyyy-mm-dd(ddd) ") &amp; "오후 21:00"</f>
        <v>2021-06-10(목) 오후 21:00</v>
      </c>
      <c r="K177" s="276"/>
      <c r="L177" s="277"/>
      <c r="M177" s="275" t="str">
        <f>TEXT($G$1+1, "[$-ko-KR]yyyy-mm-dd(ddd) ") &amp; "오전 00:00"</f>
        <v>2021-06-11(금) 오전 00:00</v>
      </c>
      <c r="N177" s="276"/>
      <c r="O177" s="277"/>
      <c r="Q177" s="261"/>
      <c r="R177" s="261"/>
      <c r="S177" s="261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7" t="s">
        <v>58</v>
      </c>
      <c r="H178" s="198" t="s">
        <v>293</v>
      </c>
      <c r="I178" s="19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1"/>
      <c r="R178" s="251"/>
      <c r="S178" s="251"/>
    </row>
    <row r="179" spans="1:19" ht="17.25" thickBot="1">
      <c r="A179" s="161" t="s">
        <v>169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61"/>
      <c r="R179" s="261"/>
      <c r="S179" s="261"/>
    </row>
    <row r="180" spans="1:19" ht="17.25" thickBot="1">
      <c r="A180" s="162" t="s">
        <v>197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61"/>
      <c r="R180" s="261"/>
      <c r="S180" s="261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51"/>
      <c r="R181" s="251"/>
      <c r="S181" s="251"/>
    </row>
    <row r="182" spans="1:19" ht="17.25" thickBot="1">
      <c r="A182" s="162" t="s">
        <v>263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51"/>
      <c r="R182" s="251"/>
      <c r="S182" s="251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51"/>
      <c r="R183" s="251"/>
      <c r="S183" s="251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51"/>
      <c r="R184" s="251"/>
      <c r="S184" s="251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51"/>
      <c r="R185" s="251"/>
      <c r="S185" s="251"/>
    </row>
    <row r="186" spans="1:19" ht="17.25" thickBot="1">
      <c r="A186" s="162" t="s">
        <v>210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51"/>
      <c r="R186" s="251"/>
      <c r="S186" s="251"/>
    </row>
    <row r="187" spans="1:19" ht="17.25" thickBot="1">
      <c r="A187" s="162" t="s">
        <v>203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206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52"/>
      <c r="R188" s="253"/>
      <c r="S188" s="254"/>
    </row>
    <row r="189" spans="1:19">
      <c r="A189" s="161" t="s">
        <v>255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55"/>
      <c r="R189" s="256"/>
      <c r="S189" s="257"/>
    </row>
    <row r="190" spans="1:19" ht="17.25" thickBot="1">
      <c r="A190" s="162" t="s">
        <v>214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58"/>
      <c r="R190" s="259"/>
      <c r="S190" s="260"/>
    </row>
    <row r="191" spans="1:19" ht="17.25" thickBot="1">
      <c r="A191" s="162" t="s">
        <v>185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51"/>
      <c r="R191" s="251"/>
      <c r="S191" s="251"/>
    </row>
    <row r="192" spans="1:19" ht="17.25" thickBot="1">
      <c r="A192" s="162" t="s">
        <v>233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61"/>
      <c r="R192" s="261"/>
      <c r="S192" s="261"/>
    </row>
    <row r="193" spans="1:19" ht="17.25" thickBot="1">
      <c r="A193" s="163" t="s">
        <v>171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61"/>
      <c r="R193" s="261"/>
      <c r="S193" s="261"/>
    </row>
    <row r="194" spans="1:19" ht="17.25" thickBot="1">
      <c r="A194" s="162" t="s">
        <v>193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51"/>
      <c r="R194" s="251"/>
      <c r="S194" s="251"/>
    </row>
    <row r="195" spans="1:19" ht="17.25" thickBot="1">
      <c r="A195" s="162" t="s">
        <v>269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51"/>
      <c r="R195" s="251"/>
      <c r="S195" s="251"/>
    </row>
    <row r="196" spans="1:19" ht="17.25" thickBot="1">
      <c r="A196" s="162" t="s">
        <v>179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51"/>
      <c r="R196" s="251"/>
      <c r="S196" s="251"/>
    </row>
    <row r="197" spans="1:19">
      <c r="A197" s="162" t="s">
        <v>189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40"/>
      <c r="R197" s="241"/>
      <c r="S197" s="242"/>
    </row>
    <row r="198" spans="1:19" ht="17.25" thickBot="1">
      <c r="A198" s="130" t="s">
        <v>271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43"/>
      <c r="R198" s="244"/>
      <c r="S198" s="245"/>
    </row>
    <row r="199" spans="1:19" ht="17.25" thickBot="1">
      <c r="A199" s="132" t="s">
        <v>295</v>
      </c>
      <c r="B199" s="304">
        <f>$B$37</f>
        <v>100000</v>
      </c>
      <c r="C199" s="305"/>
      <c r="D199" s="26" t="s">
        <v>296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296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296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296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246"/>
      <c r="R199" s="247"/>
      <c r="S199" s="24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11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2" t="s">
        <v>0</v>
      </c>
      <c r="B1" s="263"/>
      <c r="C1" s="263"/>
      <c r="D1" s="263"/>
      <c r="E1" s="263"/>
      <c r="F1" s="264"/>
      <c r="G1" s="293">
        <v>44358</v>
      </c>
      <c r="H1" s="294"/>
      <c r="I1" s="295"/>
      <c r="J1" s="262" t="s">
        <v>1</v>
      </c>
      <c r="K1" s="263"/>
      <c r="L1" s="263"/>
      <c r="M1" s="263"/>
      <c r="N1" s="263"/>
      <c r="O1" s="264"/>
      <c r="Q1" s="262" t="s">
        <v>2</v>
      </c>
      <c r="R1" s="264"/>
    </row>
    <row r="2" spans="1:19" ht="17.25" customHeight="1">
      <c r="A2" s="117" t="s">
        <v>3</v>
      </c>
      <c r="B2" s="296" t="s">
        <v>8</v>
      </c>
      <c r="C2" s="297"/>
      <c r="D2" s="297"/>
      <c r="E2" s="297"/>
      <c r="F2" s="298"/>
      <c r="G2" s="290" t="s">
        <v>46</v>
      </c>
      <c r="H2" s="291"/>
      <c r="I2" s="292"/>
      <c r="J2" s="1" t="s">
        <v>3</v>
      </c>
      <c r="K2" s="296" t="s">
        <v>345</v>
      </c>
      <c r="L2" s="297"/>
      <c r="M2" s="297"/>
      <c r="N2" s="297"/>
      <c r="O2" s="298"/>
      <c r="Q2" s="2" t="s">
        <v>6</v>
      </c>
      <c r="R2" s="3">
        <v>0.375</v>
      </c>
    </row>
    <row r="3" spans="1:19" ht="17.25" customHeight="1" thickBot="1">
      <c r="A3" s="118" t="s">
        <v>7</v>
      </c>
      <c r="B3" s="287" t="s">
        <v>353</v>
      </c>
      <c r="C3" s="288"/>
      <c r="D3" s="288"/>
      <c r="E3" s="288"/>
      <c r="F3" s="289"/>
      <c r="G3" s="28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84"/>
      <c r="I3" s="285"/>
      <c r="J3" s="4" t="s">
        <v>7</v>
      </c>
      <c r="K3" s="287" t="s">
        <v>346</v>
      </c>
      <c r="L3" s="288"/>
      <c r="M3" s="288"/>
      <c r="N3" s="288"/>
      <c r="O3" s="28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7" t="s">
        <v>16</v>
      </c>
      <c r="C4" s="288"/>
      <c r="D4" s="288"/>
      <c r="E4" s="288"/>
      <c r="F4" s="289"/>
      <c r="G4" s="290" t="s">
        <v>44</v>
      </c>
      <c r="H4" s="291"/>
      <c r="I4" s="292"/>
      <c r="J4" s="4" t="s">
        <v>11</v>
      </c>
      <c r="K4" s="287" t="s">
        <v>347</v>
      </c>
      <c r="L4" s="288"/>
      <c r="M4" s="288"/>
      <c r="N4" s="288"/>
      <c r="O4" s="28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7" t="s">
        <v>344</v>
      </c>
      <c r="C5" s="288"/>
      <c r="D5" s="288"/>
      <c r="E5" s="288"/>
      <c r="F5" s="289"/>
      <c r="G5" s="28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84"/>
      <c r="I5" s="285"/>
      <c r="J5" s="4" t="s">
        <v>15</v>
      </c>
      <c r="K5" s="287" t="s">
        <v>348</v>
      </c>
      <c r="L5" s="288"/>
      <c r="M5" s="288"/>
      <c r="N5" s="288"/>
      <c r="O5" s="289"/>
    </row>
    <row r="6" spans="1:19">
      <c r="A6" s="118" t="s">
        <v>18</v>
      </c>
      <c r="B6" s="287"/>
      <c r="C6" s="288"/>
      <c r="D6" s="288"/>
      <c r="E6" s="288"/>
      <c r="F6" s="289"/>
      <c r="G6" s="290" t="s">
        <v>45</v>
      </c>
      <c r="H6" s="291"/>
      <c r="I6" s="292"/>
      <c r="J6" s="4" t="s">
        <v>18</v>
      </c>
      <c r="K6" s="287" t="s">
        <v>349</v>
      </c>
      <c r="L6" s="288"/>
      <c r="M6" s="288"/>
      <c r="N6" s="288"/>
      <c r="O6" s="289"/>
    </row>
    <row r="7" spans="1:19" ht="17.25" thickBot="1">
      <c r="A7" s="118" t="s">
        <v>21</v>
      </c>
      <c r="B7" s="287"/>
      <c r="C7" s="288"/>
      <c r="D7" s="288"/>
      <c r="E7" s="288"/>
      <c r="F7" s="289"/>
      <c r="G7" s="28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84"/>
      <c r="I7" s="285"/>
      <c r="J7" s="4" t="s">
        <v>21</v>
      </c>
      <c r="K7" s="287" t="s">
        <v>350</v>
      </c>
      <c r="L7" s="288"/>
      <c r="M7" s="288"/>
      <c r="N7" s="288"/>
      <c r="O7" s="289"/>
    </row>
    <row r="8" spans="1:19" ht="17.25" thickBot="1">
      <c r="A8" s="118" t="s">
        <v>24</v>
      </c>
      <c r="B8" s="287"/>
      <c r="C8" s="288"/>
      <c r="D8" s="288"/>
      <c r="E8" s="288"/>
      <c r="F8" s="289"/>
      <c r="G8" s="290" t="s">
        <v>280</v>
      </c>
      <c r="H8" s="291"/>
      <c r="I8" s="292"/>
      <c r="J8" s="4" t="s">
        <v>24</v>
      </c>
      <c r="K8" s="287"/>
      <c r="L8" s="288"/>
      <c r="M8" s="288"/>
      <c r="N8" s="288"/>
      <c r="O8" s="289"/>
      <c r="Q8" s="262" t="s">
        <v>27</v>
      </c>
      <c r="R8" s="264"/>
    </row>
    <row r="9" spans="1:19" ht="17.25" thickBot="1">
      <c r="A9" s="118" t="s">
        <v>28</v>
      </c>
      <c r="B9" s="287"/>
      <c r="C9" s="288"/>
      <c r="D9" s="288"/>
      <c r="E9" s="288"/>
      <c r="F9" s="289"/>
      <c r="G9" s="28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84"/>
      <c r="I9" s="285"/>
      <c r="J9" s="4" t="s">
        <v>28</v>
      </c>
      <c r="K9" s="287"/>
      <c r="L9" s="288"/>
      <c r="M9" s="288"/>
      <c r="N9" s="288"/>
      <c r="O9" s="289"/>
      <c r="Q9" s="2" t="s">
        <v>29</v>
      </c>
      <c r="R9" s="6">
        <v>10</v>
      </c>
    </row>
    <row r="10" spans="1:19">
      <c r="A10" s="118" t="s">
        <v>30</v>
      </c>
      <c r="B10" s="287"/>
      <c r="C10" s="288"/>
      <c r="D10" s="288"/>
      <c r="E10" s="288"/>
      <c r="F10" s="289"/>
      <c r="G10" s="290" t="s">
        <v>47</v>
      </c>
      <c r="H10" s="291"/>
      <c r="I10" s="292"/>
      <c r="J10" s="4" t="s">
        <v>30</v>
      </c>
      <c r="K10" s="287" t="s">
        <v>351</v>
      </c>
      <c r="L10" s="288"/>
      <c r="M10" s="288"/>
      <c r="N10" s="288"/>
      <c r="O10" s="289"/>
      <c r="Q10" s="2" t="s">
        <v>31</v>
      </c>
      <c r="R10" s="6">
        <v>100</v>
      </c>
    </row>
    <row r="11" spans="1:19" ht="17.25" thickBot="1">
      <c r="A11" s="119" t="s">
        <v>32</v>
      </c>
      <c r="B11" s="280" t="s">
        <v>352</v>
      </c>
      <c r="C11" s="281"/>
      <c r="D11" s="281"/>
      <c r="E11" s="281"/>
      <c r="F11" s="282"/>
      <c r="G11" s="28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84"/>
      <c r="I11" s="285"/>
      <c r="J11" s="7" t="s">
        <v>32</v>
      </c>
      <c r="K11" s="280" t="s">
        <v>343</v>
      </c>
      <c r="L11" s="281"/>
      <c r="M11" s="281"/>
      <c r="N11" s="281"/>
      <c r="O11" s="282"/>
      <c r="Q11" s="65" t="s">
        <v>33</v>
      </c>
      <c r="R11" s="8">
        <v>1000</v>
      </c>
    </row>
    <row r="12" spans="1:19" ht="17.25" thickBot="1"/>
    <row r="13" spans="1:19" ht="17.25" customHeight="1" thickBot="1">
      <c r="A13" s="262" t="s">
        <v>34</v>
      </c>
      <c r="B13" s="263"/>
      <c r="C13" s="263"/>
      <c r="D13" s="263"/>
      <c r="E13" s="263"/>
      <c r="F13" s="263"/>
      <c r="G13" s="263"/>
      <c r="H13" s="263"/>
      <c r="I13" s="263"/>
      <c r="J13" s="263"/>
      <c r="K13" s="263"/>
      <c r="L13" s="263"/>
      <c r="M13" s="263"/>
      <c r="N13" s="263"/>
      <c r="O13" s="264"/>
      <c r="Q13" s="261"/>
      <c r="R13" s="261"/>
      <c r="S13" s="261"/>
    </row>
    <row r="14" spans="1:19" ht="17.25" customHeight="1" thickBot="1">
      <c r="A14" s="200" t="s">
        <v>35</v>
      </c>
      <c r="B14" s="262" t="s">
        <v>36</v>
      </c>
      <c r="C14" s="264"/>
      <c r="D14" s="262" t="s">
        <v>37</v>
      </c>
      <c r="E14" s="263"/>
      <c r="F14" s="264"/>
      <c r="G14" s="265">
        <f>_xlfn.IFNA(VLOOKUP(B14, 현재가테이블!$B$2:$D$200, 2, FALSE), "-")</f>
        <v>40538000</v>
      </c>
      <c r="H14" s="266"/>
      <c r="I14" s="267"/>
      <c r="J14" s="262" t="s">
        <v>38</v>
      </c>
      <c r="K14" s="263"/>
      <c r="L14" s="264"/>
      <c r="M14" s="268">
        <f>_xlfn.IFNA(VLOOKUP(B14, 현재가테이블!$B$2:$D$200, 3, FALSE), "-")</f>
        <v>-3.68275993E-2</v>
      </c>
      <c r="N14" s="269"/>
      <c r="O14" s="270"/>
      <c r="Q14" s="261"/>
      <c r="R14" s="261"/>
      <c r="S14" s="261"/>
    </row>
    <row r="15" spans="1:19" ht="17.25" customHeight="1" thickBot="1">
      <c r="A15" s="299" t="s">
        <v>39</v>
      </c>
      <c r="B15" s="300" t="str">
        <f>TEXT($G$1, "[$-ko-KR]yyyy-mm-dd(ddd) ") &amp; "오전 00:00"</f>
        <v>2021-06-11(금) 오전 00:00</v>
      </c>
      <c r="C15" s="301"/>
      <c r="D15" s="275" t="str">
        <f>TEXT($G$1, "[$-ko-KR]yyyy-mm-dd(ddd) ") &amp; "오후 14:00"</f>
        <v>2021-06-11(금) 오후 14:00</v>
      </c>
      <c r="E15" s="276"/>
      <c r="F15" s="277"/>
      <c r="G15" s="275" t="str">
        <f>TEXT($G$1, "[$-ko-KR]yyyy-mm-dd(ddd) ") &amp; "오후 19:00"</f>
        <v>2021-06-11(금) 오후 19:00</v>
      </c>
      <c r="H15" s="276"/>
      <c r="I15" s="277"/>
      <c r="J15" s="275" t="str">
        <f>TEXT($G$1, "[$-ko-KR]yyyy-mm-dd(ddd) ") &amp; "오후 21:00"</f>
        <v>2021-06-11(금) 오후 21:00</v>
      </c>
      <c r="K15" s="276"/>
      <c r="L15" s="277"/>
      <c r="M15" s="275" t="str">
        <f>TEXT($G$1+1, "[$-ko-KR]yyyy-mm-dd(ddd) ") &amp; "오전 00:00"</f>
        <v>2021-06-12(토) 오전 00:00</v>
      </c>
      <c r="N15" s="276"/>
      <c r="O15" s="277"/>
      <c r="Q15" s="261"/>
      <c r="R15" s="261"/>
      <c r="S15" s="261"/>
    </row>
    <row r="16" spans="1:19" ht="17.25" customHeight="1" thickBot="1">
      <c r="A16" s="29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61"/>
      <c r="R17" s="261"/>
      <c r="S17" s="26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61"/>
      <c r="R18" s="261"/>
      <c r="S18" s="261"/>
    </row>
    <row r="19" spans="1:19" ht="17.25" customHeight="1" thickBot="1">
      <c r="A19" s="162" t="s">
        <v>201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51"/>
      <c r="R19" s="251"/>
      <c r="S19" s="251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51"/>
      <c r="R20" s="251"/>
      <c r="S20" s="251"/>
    </row>
    <row r="21" spans="1:19" ht="17.25" customHeight="1" thickBot="1">
      <c r="A21" s="163" t="s">
        <v>242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51"/>
      <c r="R21" s="251"/>
      <c r="S21" s="25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304">
        <v>100000</v>
      </c>
      <c r="C37" s="305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262" t="s">
        <v>44</v>
      </c>
      <c r="B40" s="263"/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4"/>
      <c r="Q40" s="261"/>
      <c r="R40" s="261"/>
      <c r="S40" s="261"/>
    </row>
    <row r="41" spans="1:19" ht="17.25" customHeight="1" thickBot="1">
      <c r="A41" s="200" t="s">
        <v>292</v>
      </c>
      <c r="B41" s="262" t="s">
        <v>49</v>
      </c>
      <c r="C41" s="264"/>
      <c r="D41" s="262" t="s">
        <v>58</v>
      </c>
      <c r="E41" s="263"/>
      <c r="F41" s="264"/>
      <c r="G41" s="265">
        <f>_xlfn.IFNA(VLOOKUP(B41, 현재가테이블!$B$2:$D$200, 2, FALSE), "-")</f>
        <v>40538000</v>
      </c>
      <c r="H41" s="266"/>
      <c r="I41" s="267"/>
      <c r="J41" s="262" t="s">
        <v>59</v>
      </c>
      <c r="K41" s="263"/>
      <c r="L41" s="264"/>
      <c r="M41" s="268">
        <f>_xlfn.IFNA(VLOOKUP(B41, 현재가테이블!$B$2:$D$200, 3, FALSE), "-")</f>
        <v>-3.68275993E-2</v>
      </c>
      <c r="N41" s="269"/>
      <c r="O41" s="270"/>
      <c r="Q41" s="261"/>
      <c r="R41" s="261"/>
      <c r="S41" s="261"/>
    </row>
    <row r="42" spans="1:19" ht="17.25" customHeight="1" thickBot="1">
      <c r="A42" s="306" t="s">
        <v>55</v>
      </c>
      <c r="B42" s="302" t="str">
        <f>TEXT($G$1, "[$-ko-KR]yyyy-mm-dd(ddd) ") &amp; "오전 00:00"</f>
        <v>2021-06-11(금) 오전 00:00</v>
      </c>
      <c r="C42" s="303"/>
      <c r="D42" s="275" t="str">
        <f>TEXT($G$1, "[$-ko-KR]yyyy-mm-dd(ddd) ") &amp; "오후 14:00"</f>
        <v>2021-06-11(금) 오후 14:00</v>
      </c>
      <c r="E42" s="276"/>
      <c r="F42" s="277"/>
      <c r="G42" s="275" t="str">
        <f>TEXT($G$1, "[$-ko-KR]yyyy-mm-dd(ddd) ") &amp; "오후 19:00"</f>
        <v>2021-06-11(금) 오후 19:00</v>
      </c>
      <c r="H42" s="276"/>
      <c r="I42" s="277"/>
      <c r="J42" s="275" t="str">
        <f>TEXT($G$1, "[$-ko-KR]yyyy-mm-dd(ddd) ") &amp; "오후 21:00"</f>
        <v>2021-06-11(금) 오후 21:00</v>
      </c>
      <c r="K42" s="276"/>
      <c r="L42" s="277"/>
      <c r="M42" s="275" t="str">
        <f>TEXT($G$1+1, "[$-ko-KR]yyyy-mm-dd(ddd) ") &amp; "오전 00:00"</f>
        <v>2021-06-12(토) 오전 00:00</v>
      </c>
      <c r="N42" s="276"/>
      <c r="O42" s="277"/>
      <c r="Q42" s="261"/>
      <c r="R42" s="261"/>
      <c r="S42" s="261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1" t="s">
        <v>58</v>
      </c>
      <c r="H43" s="202" t="s">
        <v>293</v>
      </c>
      <c r="I43" s="20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1"/>
      <c r="R43" s="251"/>
      <c r="S43" s="251"/>
    </row>
    <row r="44" spans="1:19" ht="17.25" customHeight="1" thickBot="1">
      <c r="A44" s="161" t="s">
        <v>249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61"/>
      <c r="R44" s="261"/>
      <c r="S44" s="261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61"/>
      <c r="R45" s="261"/>
      <c r="S45" s="261"/>
    </row>
    <row r="46" spans="1:19" ht="17.25" customHeight="1" thickBot="1">
      <c r="A46" s="162" t="s">
        <v>185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51"/>
      <c r="R46" s="251"/>
      <c r="S46" s="251"/>
    </row>
    <row r="47" spans="1:19" ht="17.25" customHeight="1" thickBot="1">
      <c r="A47" s="162" t="s">
        <v>263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51"/>
      <c r="R47" s="251"/>
      <c r="S47" s="251"/>
    </row>
    <row r="48" spans="1:19" ht="17.25" customHeight="1" thickBot="1">
      <c r="A48" s="163" t="s">
        <v>217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51"/>
      <c r="R48" s="251"/>
      <c r="S48" s="251"/>
    </row>
    <row r="49" spans="1:19" ht="17.25" customHeight="1" thickBot="1">
      <c r="A49" s="162" t="s">
        <v>261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51"/>
      <c r="R49" s="251"/>
      <c r="S49" s="251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51"/>
      <c r="R50" s="251"/>
      <c r="S50" s="251"/>
    </row>
    <row r="51" spans="1:19" ht="17.25" customHeight="1" thickBot="1">
      <c r="A51" s="162" t="s">
        <v>259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51"/>
      <c r="R51" s="251"/>
      <c r="S51" s="251"/>
    </row>
    <row r="52" spans="1:19" ht="17.25" customHeight="1" thickBot="1">
      <c r="A52" s="162" t="s">
        <v>215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219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52"/>
      <c r="R53" s="253"/>
      <c r="S53" s="254"/>
    </row>
    <row r="54" spans="1:19" ht="17.25" customHeight="1">
      <c r="A54" s="161" t="s">
        <v>255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55"/>
      <c r="R54" s="256"/>
      <c r="S54" s="257"/>
    </row>
    <row r="55" spans="1:19" ht="17.25" customHeight="1" thickBot="1">
      <c r="A55" s="162" t="s">
        <v>197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58"/>
      <c r="R55" s="259"/>
      <c r="S55" s="260"/>
    </row>
    <row r="56" spans="1:19" ht="17.25" customHeight="1" thickBot="1">
      <c r="A56" s="162" t="s">
        <v>212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51"/>
      <c r="R56" s="251"/>
      <c r="S56" s="251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61"/>
      <c r="R57" s="261"/>
      <c r="S57" s="261"/>
    </row>
    <row r="58" spans="1:19" ht="17.25" customHeight="1" thickBot="1">
      <c r="A58" s="163" t="s">
        <v>210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61"/>
      <c r="R58" s="261"/>
      <c r="S58" s="261"/>
    </row>
    <row r="59" spans="1:19" ht="17.25" customHeight="1" thickBot="1">
      <c r="A59" s="162" t="s">
        <v>225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51"/>
      <c r="R59" s="251"/>
      <c r="S59" s="251"/>
    </row>
    <row r="60" spans="1:19" ht="17.25" customHeight="1" thickBot="1">
      <c r="A60" s="162" t="s">
        <v>195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51"/>
      <c r="R60" s="251"/>
      <c r="S60" s="251"/>
    </row>
    <row r="61" spans="1:19" ht="17.25" customHeight="1" thickBot="1">
      <c r="A61" s="162" t="s">
        <v>233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51"/>
      <c r="R61" s="251"/>
      <c r="S61" s="251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240"/>
      <c r="R62" s="241"/>
      <c r="S62" s="242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243"/>
      <c r="R63" s="244"/>
      <c r="S63" s="245"/>
    </row>
    <row r="64" spans="1:19" ht="17.25" customHeight="1" thickBot="1">
      <c r="A64" s="132" t="s">
        <v>295</v>
      </c>
      <c r="B64" s="304">
        <f>$B$37</f>
        <v>100000</v>
      </c>
      <c r="C64" s="305"/>
      <c r="D64" s="26" t="s">
        <v>296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296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296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296</v>
      </c>
      <c r="N64" s="27">
        <f>IF(COUNT(N44:N63), SUM(N44:N63) / COUNT(N44:N63), 0)</f>
        <v>-0.13806992503164922</v>
      </c>
      <c r="O64" s="28">
        <f>SUM(O44:O63)</f>
        <v>-276139.85006329842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262" t="s">
        <v>45</v>
      </c>
      <c r="B67" s="263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4"/>
      <c r="Q67" s="261"/>
      <c r="R67" s="261"/>
      <c r="S67" s="261"/>
    </row>
    <row r="68" spans="1:19" ht="17.25" thickBot="1">
      <c r="A68" s="200" t="s">
        <v>292</v>
      </c>
      <c r="B68" s="262" t="s">
        <v>49</v>
      </c>
      <c r="C68" s="264"/>
      <c r="D68" s="262" t="s">
        <v>58</v>
      </c>
      <c r="E68" s="263"/>
      <c r="F68" s="264"/>
      <c r="G68" s="265">
        <f>_xlfn.IFNA(VLOOKUP(B68, 현재가테이블!$B$2:$D$200, 2, FALSE), "-")</f>
        <v>40538000</v>
      </c>
      <c r="H68" s="266"/>
      <c r="I68" s="267"/>
      <c r="J68" s="262" t="s">
        <v>59</v>
      </c>
      <c r="K68" s="263"/>
      <c r="L68" s="264"/>
      <c r="M68" s="268">
        <f>_xlfn.IFNA(VLOOKUP(B68, 현재가테이블!$B$2:$D$200, 3, FALSE), "-")</f>
        <v>-3.68275993E-2</v>
      </c>
      <c r="N68" s="269"/>
      <c r="O68" s="270"/>
      <c r="Q68" s="261"/>
      <c r="R68" s="261"/>
      <c r="S68" s="261"/>
    </row>
    <row r="69" spans="1:19" ht="17.25" thickBot="1">
      <c r="A69" s="306" t="s">
        <v>55</v>
      </c>
      <c r="B69" s="302" t="str">
        <f>TEXT($G$1, "[$-ko-KR]yyyy-mm-dd(ddd) ") &amp; "오전 00:00"</f>
        <v>2021-06-11(금) 오전 00:00</v>
      </c>
      <c r="C69" s="303"/>
      <c r="D69" s="275" t="str">
        <f>TEXT($G$1, "[$-ko-KR]yyyy-mm-dd(ddd) ") &amp; "오후 14:00"</f>
        <v>2021-06-11(금) 오후 14:00</v>
      </c>
      <c r="E69" s="276"/>
      <c r="F69" s="277"/>
      <c r="G69" s="275" t="str">
        <f>TEXT($G$1, "[$-ko-KR]yyyy-mm-dd(ddd) ") &amp; "오후 19:00"</f>
        <v>2021-06-11(금) 오후 19:00</v>
      </c>
      <c r="H69" s="276"/>
      <c r="I69" s="277"/>
      <c r="J69" s="275" t="str">
        <f>TEXT($G$1, "[$-ko-KR]yyyy-mm-dd(ddd) ") &amp; "오후 21:00"</f>
        <v>2021-06-11(금) 오후 21:00</v>
      </c>
      <c r="K69" s="276"/>
      <c r="L69" s="277"/>
      <c r="M69" s="275" t="str">
        <f>TEXT($G$1+1, "[$-ko-KR]yyyy-mm-dd(ddd) ") &amp; "오전 00:00"</f>
        <v>2021-06-12(토) 오전 00:00</v>
      </c>
      <c r="N69" s="276"/>
      <c r="O69" s="277"/>
      <c r="Q69" s="261"/>
      <c r="R69" s="261"/>
      <c r="S69" s="261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1" t="s">
        <v>58</v>
      </c>
      <c r="H70" s="202" t="s">
        <v>293</v>
      </c>
      <c r="I70" s="20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1"/>
      <c r="R70" s="251"/>
      <c r="S70" s="251"/>
    </row>
    <row r="71" spans="1:19" ht="17.25" thickBot="1">
      <c r="A71" s="161" t="s">
        <v>214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61"/>
      <c r="R71" s="261"/>
      <c r="S71" s="261"/>
    </row>
    <row r="72" spans="1:19" ht="17.25" thickBot="1">
      <c r="A72" s="162" t="s">
        <v>246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61"/>
      <c r="R72" s="261"/>
      <c r="S72" s="261"/>
    </row>
    <row r="73" spans="1:19" ht="17.25" thickBot="1">
      <c r="A73" s="162" t="s">
        <v>199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51"/>
      <c r="R73" s="251"/>
      <c r="S73" s="251"/>
    </row>
    <row r="74" spans="1:19" ht="17.25" thickBot="1">
      <c r="A74" s="162" t="s">
        <v>277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51"/>
      <c r="R74" s="251"/>
      <c r="S74" s="251"/>
    </row>
    <row r="75" spans="1:19" ht="17.25" thickBot="1">
      <c r="A75" s="163" t="s">
        <v>173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51"/>
      <c r="R75" s="251"/>
      <c r="S75" s="251"/>
    </row>
    <row r="76" spans="1:19" ht="17.25" thickBot="1">
      <c r="A76" s="162" t="s">
        <v>279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51"/>
      <c r="R76" s="251"/>
      <c r="S76" s="251"/>
    </row>
    <row r="77" spans="1:19" ht="17.25" thickBot="1">
      <c r="A77" s="162" t="s">
        <v>229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51"/>
      <c r="R77" s="251"/>
      <c r="S77" s="251"/>
    </row>
    <row r="78" spans="1:19" ht="17.25" thickBot="1">
      <c r="A78" s="162" t="s">
        <v>234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51"/>
      <c r="R78" s="251"/>
      <c r="S78" s="251"/>
    </row>
    <row r="79" spans="1:19" ht="17.25" thickBot="1">
      <c r="A79" s="162" t="s">
        <v>201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208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52"/>
      <c r="R80" s="253"/>
      <c r="S80" s="254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55"/>
      <c r="R81" s="256"/>
      <c r="S81" s="257"/>
    </row>
    <row r="82" spans="1:19" ht="17.25" thickBot="1">
      <c r="A82" s="162" t="s">
        <v>227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58"/>
      <c r="R82" s="259"/>
      <c r="S82" s="260"/>
    </row>
    <row r="83" spans="1:19" ht="17.25" thickBot="1">
      <c r="A83" s="162" t="s">
        <v>242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51"/>
      <c r="R83" s="251"/>
      <c r="S83" s="251"/>
    </row>
    <row r="84" spans="1:19" ht="17.25" thickBot="1">
      <c r="A84" s="162" t="s">
        <v>206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61"/>
      <c r="R84" s="261"/>
      <c r="S84" s="261"/>
    </row>
    <row r="85" spans="1:19" ht="17.25" thickBot="1">
      <c r="A85" s="163" t="s">
        <v>275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61"/>
      <c r="R85" s="261"/>
      <c r="S85" s="261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51"/>
      <c r="R86" s="251"/>
      <c r="S86" s="251"/>
    </row>
    <row r="87" spans="1:19" ht="17.25" thickBot="1">
      <c r="A87" s="162" t="s">
        <v>248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51"/>
      <c r="R87" s="251"/>
      <c r="S87" s="251"/>
    </row>
    <row r="88" spans="1:19" ht="17.25" thickBot="1">
      <c r="A88" s="162" t="s">
        <v>181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51"/>
      <c r="R88" s="251"/>
      <c r="S88" s="251"/>
    </row>
    <row r="89" spans="1:19">
      <c r="A89" s="162" t="s">
        <v>236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240"/>
      <c r="R89" s="241"/>
      <c r="S89" s="242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243"/>
      <c r="R90" s="244"/>
      <c r="S90" s="245"/>
    </row>
    <row r="91" spans="1:19" ht="17.25" thickBot="1">
      <c r="A91" s="132" t="s">
        <v>295</v>
      </c>
      <c r="B91" s="304">
        <f>$B$37</f>
        <v>100000</v>
      </c>
      <c r="C91" s="305"/>
      <c r="D91" s="26" t="s">
        <v>296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296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296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296</v>
      </c>
      <c r="N91" s="27">
        <f>IF(COUNT(N71:N90), SUM(N71:N90) / COUNT(N71:N90), 0)</f>
        <v>-0.15492847968106063</v>
      </c>
      <c r="O91" s="28">
        <f>SUM(O71:O90)</f>
        <v>-309856.95936212136</v>
      </c>
      <c r="Q91" s="246"/>
      <c r="R91" s="247"/>
      <c r="S91" s="248"/>
    </row>
    <row r="93" spans="1:19" ht="17.25" thickBot="1"/>
    <row r="94" spans="1:19" ht="17.25" thickBot="1">
      <c r="A94" s="262" t="s">
        <v>46</v>
      </c>
      <c r="B94" s="263"/>
      <c r="C94" s="263"/>
      <c r="D94" s="263"/>
      <c r="E94" s="263"/>
      <c r="F94" s="263"/>
      <c r="G94" s="263"/>
      <c r="H94" s="263"/>
      <c r="I94" s="263"/>
      <c r="J94" s="263"/>
      <c r="K94" s="263"/>
      <c r="L94" s="263"/>
      <c r="M94" s="263"/>
      <c r="N94" s="263"/>
      <c r="O94" s="264"/>
      <c r="Q94" s="261"/>
      <c r="R94" s="261"/>
      <c r="S94" s="261"/>
    </row>
    <row r="95" spans="1:19" ht="17.25" thickBot="1">
      <c r="A95" s="200" t="s">
        <v>292</v>
      </c>
      <c r="B95" s="262" t="s">
        <v>49</v>
      </c>
      <c r="C95" s="264"/>
      <c r="D95" s="262" t="s">
        <v>58</v>
      </c>
      <c r="E95" s="263"/>
      <c r="F95" s="264"/>
      <c r="G95" s="265">
        <f>_xlfn.IFNA(VLOOKUP(B95, 현재가테이블!$B$2:$D$200, 2, FALSE), "-")</f>
        <v>40538000</v>
      </c>
      <c r="H95" s="266"/>
      <c r="I95" s="267"/>
      <c r="J95" s="262" t="s">
        <v>59</v>
      </c>
      <c r="K95" s="263"/>
      <c r="L95" s="264"/>
      <c r="M95" s="268">
        <f>_xlfn.IFNA(VLOOKUP(B95, 현재가테이블!$B$2:$D$200, 3, FALSE), "-")</f>
        <v>-3.68275993E-2</v>
      </c>
      <c r="N95" s="269"/>
      <c r="O95" s="270"/>
      <c r="Q95" s="261"/>
      <c r="R95" s="261"/>
      <c r="S95" s="261"/>
    </row>
    <row r="96" spans="1:19" ht="17.25" thickBot="1">
      <c r="A96" s="306" t="s">
        <v>55</v>
      </c>
      <c r="B96" s="302" t="str">
        <f>TEXT($G$1, "[$-ko-KR]yyyy-mm-dd(ddd) ") &amp; "오전 00:00"</f>
        <v>2021-06-11(금) 오전 00:00</v>
      </c>
      <c r="C96" s="303"/>
      <c r="D96" s="275" t="str">
        <f>TEXT($G$1, "[$-ko-KR]yyyy-mm-dd(ddd) ") &amp; "오후 14:00"</f>
        <v>2021-06-11(금) 오후 14:00</v>
      </c>
      <c r="E96" s="276"/>
      <c r="F96" s="277"/>
      <c r="G96" s="275" t="str">
        <f>TEXT($G$1, "[$-ko-KR]yyyy-mm-dd(ddd) ") &amp; "오후 19:00"</f>
        <v>2021-06-11(금) 오후 19:00</v>
      </c>
      <c r="H96" s="276"/>
      <c r="I96" s="277"/>
      <c r="J96" s="275" t="str">
        <f>TEXT($G$1, "[$-ko-KR]yyyy-mm-dd(ddd) ") &amp; "오후 21:00"</f>
        <v>2021-06-11(금) 오후 21:00</v>
      </c>
      <c r="K96" s="276"/>
      <c r="L96" s="277"/>
      <c r="M96" s="275" t="str">
        <f>TEXT($G$1+1, "[$-ko-KR]yyyy-mm-dd(ddd) ") &amp; "오전 00:00"</f>
        <v>2021-06-12(토) 오전 00:00</v>
      </c>
      <c r="N96" s="276"/>
      <c r="O96" s="277"/>
      <c r="Q96" s="261"/>
      <c r="R96" s="261"/>
      <c r="S96" s="261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1" t="s">
        <v>58</v>
      </c>
      <c r="H97" s="202" t="s">
        <v>293</v>
      </c>
      <c r="I97" s="20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1"/>
      <c r="R97" s="251"/>
      <c r="S97" s="251"/>
    </row>
    <row r="98" spans="1:19" ht="17.25" thickBot="1">
      <c r="A98" s="161" t="s">
        <v>249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61"/>
      <c r="R98" s="261"/>
      <c r="S98" s="261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61"/>
      <c r="R99" s="261"/>
      <c r="S99" s="261"/>
    </row>
    <row r="100" spans="1:19" ht="17.25" thickBot="1">
      <c r="A100" s="162" t="s">
        <v>185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51"/>
      <c r="R100" s="251"/>
      <c r="S100" s="251"/>
    </row>
    <row r="101" spans="1:19" ht="17.25" thickBot="1">
      <c r="A101" s="162" t="s">
        <v>214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51"/>
      <c r="R101" s="251"/>
      <c r="S101" s="251"/>
    </row>
    <row r="102" spans="1:19" ht="17.25" thickBot="1">
      <c r="A102" s="163" t="s">
        <v>263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51"/>
      <c r="R102" s="251"/>
      <c r="S102" s="251"/>
    </row>
    <row r="103" spans="1:19" ht="17.25" thickBot="1">
      <c r="A103" s="162" t="s">
        <v>217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51"/>
      <c r="R103" s="251"/>
      <c r="S103" s="251"/>
    </row>
    <row r="104" spans="1:19" ht="17.25" thickBot="1">
      <c r="A104" s="162" t="s">
        <v>261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51"/>
      <c r="R104" s="251"/>
      <c r="S104" s="251"/>
    </row>
    <row r="105" spans="1:19" ht="17.25" thickBot="1">
      <c r="A105" s="162" t="s">
        <v>246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51"/>
      <c r="R105" s="251"/>
      <c r="S105" s="251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259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52"/>
      <c r="R107" s="253"/>
      <c r="S107" s="254"/>
    </row>
    <row r="108" spans="1:19">
      <c r="A108" s="161" t="s">
        <v>215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55"/>
      <c r="R108" s="256"/>
      <c r="S108" s="257"/>
    </row>
    <row r="109" spans="1:19" ht="17.25" thickBot="1">
      <c r="A109" s="162" t="s">
        <v>219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58"/>
      <c r="R109" s="259"/>
      <c r="S109" s="260"/>
    </row>
    <row r="110" spans="1:19" ht="17.25" thickBot="1">
      <c r="A110" s="162" t="s">
        <v>255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51"/>
      <c r="R110" s="251"/>
      <c r="S110" s="251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61"/>
      <c r="R111" s="261"/>
      <c r="S111" s="261"/>
    </row>
    <row r="112" spans="1:19" ht="17.25" thickBot="1">
      <c r="A112" s="163" t="s">
        <v>197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61"/>
      <c r="R112" s="261"/>
      <c r="S112" s="261"/>
    </row>
    <row r="113" spans="1:19" ht="17.25" thickBot="1">
      <c r="A113" s="162" t="s">
        <v>199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51"/>
      <c r="R113" s="251"/>
      <c r="S113" s="251"/>
    </row>
    <row r="114" spans="1:19" ht="17.25" thickBot="1">
      <c r="A114" s="162" t="s">
        <v>212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51"/>
      <c r="R114" s="251"/>
      <c r="S114" s="251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51"/>
      <c r="R115" s="251"/>
      <c r="S115" s="251"/>
    </row>
    <row r="116" spans="1:19">
      <c r="A116" s="162" t="s">
        <v>277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240"/>
      <c r="R116" s="241"/>
      <c r="S116" s="242"/>
    </row>
    <row r="117" spans="1:19" ht="17.25" thickBot="1">
      <c r="A117" s="130" t="s">
        <v>161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243"/>
      <c r="R117" s="244"/>
      <c r="S117" s="245"/>
    </row>
    <row r="118" spans="1:19" ht="17.25" thickBot="1">
      <c r="A118" s="132" t="s">
        <v>295</v>
      </c>
      <c r="B118" s="304">
        <f>$B$37</f>
        <v>100000</v>
      </c>
      <c r="C118" s="305"/>
      <c r="D118" s="26" t="s">
        <v>296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296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296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296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246"/>
      <c r="R118" s="247"/>
      <c r="S118" s="248"/>
    </row>
    <row r="120" spans="1:19" ht="17.25" thickBot="1"/>
    <row r="121" spans="1:19" ht="17.25" thickBot="1">
      <c r="A121" s="262" t="s">
        <v>283</v>
      </c>
      <c r="B121" s="263"/>
      <c r="C121" s="263"/>
      <c r="D121" s="263"/>
      <c r="E121" s="263"/>
      <c r="F121" s="263"/>
      <c r="G121" s="263"/>
      <c r="H121" s="263"/>
      <c r="I121" s="263"/>
      <c r="J121" s="263"/>
      <c r="K121" s="263"/>
      <c r="L121" s="263"/>
      <c r="M121" s="263"/>
      <c r="N121" s="263"/>
      <c r="O121" s="264"/>
      <c r="Q121" s="261"/>
      <c r="R121" s="261"/>
      <c r="S121" s="261"/>
    </row>
    <row r="122" spans="1:19" ht="17.25" thickBot="1">
      <c r="A122" s="200" t="s">
        <v>292</v>
      </c>
      <c r="B122" s="262" t="s">
        <v>49</v>
      </c>
      <c r="C122" s="264"/>
      <c r="D122" s="262" t="s">
        <v>58</v>
      </c>
      <c r="E122" s="263"/>
      <c r="F122" s="264"/>
      <c r="G122" s="265">
        <f>_xlfn.IFNA(VLOOKUP(B122, 현재가테이블!$B$2:$D$200, 2, FALSE), "-")</f>
        <v>40538000</v>
      </c>
      <c r="H122" s="266"/>
      <c r="I122" s="267"/>
      <c r="J122" s="262" t="s">
        <v>59</v>
      </c>
      <c r="K122" s="263"/>
      <c r="L122" s="264"/>
      <c r="M122" s="268">
        <f>_xlfn.IFNA(VLOOKUP(B122, 현재가테이블!$B$2:$D$200, 3, FALSE), "-")</f>
        <v>-3.68275993E-2</v>
      </c>
      <c r="N122" s="269"/>
      <c r="O122" s="270"/>
      <c r="Q122" s="261"/>
      <c r="R122" s="261"/>
      <c r="S122" s="261"/>
    </row>
    <row r="123" spans="1:19" ht="17.25" thickBot="1">
      <c r="A123" s="306" t="s">
        <v>55</v>
      </c>
      <c r="B123" s="302" t="str">
        <f>TEXT($G$1, "[$-ko-KR]yyyy-mm-dd(ddd) ") &amp; "오전 00:00"</f>
        <v>2021-06-11(금) 오전 00:00</v>
      </c>
      <c r="C123" s="303"/>
      <c r="D123" s="275" t="str">
        <f>TEXT($G$1, "[$-ko-KR]yyyy-mm-dd(ddd) ") &amp; "오후 14:00"</f>
        <v>2021-06-11(금) 오후 14:00</v>
      </c>
      <c r="E123" s="276"/>
      <c r="F123" s="277"/>
      <c r="G123" s="275" t="str">
        <f>TEXT($G$1, "[$-ko-KR]yyyy-mm-dd(ddd) ") &amp; "오후 19:00"</f>
        <v>2021-06-11(금) 오후 19:00</v>
      </c>
      <c r="H123" s="276"/>
      <c r="I123" s="277"/>
      <c r="J123" s="275" t="str">
        <f>TEXT($G$1, "[$-ko-KR]yyyy-mm-dd(ddd) ") &amp; "오후 21:00"</f>
        <v>2021-06-11(금) 오후 21:00</v>
      </c>
      <c r="K123" s="276"/>
      <c r="L123" s="277"/>
      <c r="M123" s="275" t="str">
        <f>TEXT($G$1+1, "[$-ko-KR]yyyy-mm-dd(ddd) ") &amp; "오전 00:00"</f>
        <v>2021-06-12(토) 오전 00:00</v>
      </c>
      <c r="N123" s="276"/>
      <c r="O123" s="277"/>
      <c r="Q123" s="261"/>
      <c r="R123" s="261"/>
      <c r="S123" s="261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1" t="s">
        <v>58</v>
      </c>
      <c r="H124" s="202" t="s">
        <v>293</v>
      </c>
      <c r="I124" s="20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1"/>
      <c r="R124" s="251"/>
      <c r="S124" s="251"/>
    </row>
    <row r="125" spans="1:19" ht="17.25" thickBot="1">
      <c r="A125" s="161" t="s">
        <v>259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61"/>
      <c r="R125" s="261"/>
      <c r="S125" s="261"/>
    </row>
    <row r="126" spans="1:19" ht="17.25" thickBot="1">
      <c r="A126" s="162" t="s">
        <v>215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61"/>
      <c r="R126" s="261"/>
      <c r="S126" s="261"/>
    </row>
    <row r="127" spans="1:19" ht="17.25" thickBot="1">
      <c r="A127" s="162" t="s">
        <v>219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51"/>
      <c r="R127" s="251"/>
      <c r="S127" s="251"/>
    </row>
    <row r="128" spans="1:19" ht="17.25" thickBot="1">
      <c r="A128" s="162" t="s">
        <v>255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51"/>
      <c r="R128" s="251"/>
      <c r="S128" s="251"/>
    </row>
    <row r="129" spans="1:19" ht="17.25" thickBot="1">
      <c r="A129" s="163" t="s">
        <v>197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51"/>
      <c r="R129" s="251"/>
      <c r="S129" s="251"/>
    </row>
    <row r="130" spans="1:19" ht="17.25" thickBot="1">
      <c r="A130" s="162" t="s">
        <v>212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51"/>
      <c r="R130" s="251"/>
      <c r="S130" s="251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51"/>
      <c r="R131" s="251"/>
      <c r="S131" s="251"/>
    </row>
    <row r="132" spans="1:19" ht="17.25" thickBot="1">
      <c r="A132" s="162" t="s">
        <v>210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51"/>
      <c r="R132" s="251"/>
      <c r="S132" s="251"/>
    </row>
    <row r="133" spans="1:19" ht="17.25" thickBot="1">
      <c r="A133" s="162" t="s">
        <v>225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195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52"/>
      <c r="R134" s="253"/>
      <c r="S134" s="254"/>
    </row>
    <row r="135" spans="1:19">
      <c r="A135" s="161" t="s">
        <v>233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55"/>
      <c r="R135" s="256"/>
      <c r="S135" s="257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58"/>
      <c r="R136" s="259"/>
      <c r="S136" s="260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51"/>
      <c r="R137" s="251"/>
      <c r="S137" s="251"/>
    </row>
    <row r="138" spans="1:19" ht="17.25" thickBot="1">
      <c r="A138" s="162" t="s">
        <v>171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61"/>
      <c r="R138" s="261"/>
      <c r="S138" s="261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61"/>
      <c r="R139" s="261"/>
      <c r="S139" s="261"/>
    </row>
    <row r="140" spans="1:19" ht="17.25" thickBot="1">
      <c r="A140" s="162" t="s">
        <v>167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51"/>
      <c r="R140" s="251"/>
      <c r="S140" s="251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51"/>
      <c r="R141" s="251"/>
      <c r="S141" s="251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51"/>
      <c r="R142" s="251"/>
      <c r="S142" s="251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240"/>
      <c r="R143" s="241"/>
      <c r="S143" s="242"/>
    </row>
    <row r="144" spans="1:19" ht="17.25" thickBot="1">
      <c r="A144" s="130" t="s">
        <v>273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243"/>
      <c r="R144" s="244"/>
      <c r="S144" s="245"/>
    </row>
    <row r="145" spans="1:19" ht="17.25" thickBot="1">
      <c r="A145" s="132" t="s">
        <v>295</v>
      </c>
      <c r="B145" s="304">
        <f>$B$37</f>
        <v>100000</v>
      </c>
      <c r="C145" s="305"/>
      <c r="D145" s="26" t="s">
        <v>296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296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296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296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246"/>
      <c r="R145" s="247"/>
      <c r="S145" s="248"/>
    </row>
    <row r="147" spans="1:19" ht="17.25" thickBot="1"/>
    <row r="148" spans="1:19" ht="17.25" thickBot="1">
      <c r="A148" s="262" t="s">
        <v>284</v>
      </c>
      <c r="B148" s="263"/>
      <c r="C148" s="263"/>
      <c r="D148" s="263"/>
      <c r="E148" s="263"/>
      <c r="F148" s="263"/>
      <c r="G148" s="263"/>
      <c r="H148" s="263"/>
      <c r="I148" s="263"/>
      <c r="J148" s="263"/>
      <c r="K148" s="263"/>
      <c r="L148" s="263"/>
      <c r="M148" s="263"/>
      <c r="N148" s="263"/>
      <c r="O148" s="264"/>
      <c r="Q148" s="261"/>
      <c r="R148" s="261"/>
      <c r="S148" s="261"/>
    </row>
    <row r="149" spans="1:19" ht="17.25" thickBot="1">
      <c r="A149" s="200" t="s">
        <v>292</v>
      </c>
      <c r="B149" s="262" t="s">
        <v>49</v>
      </c>
      <c r="C149" s="264"/>
      <c r="D149" s="262" t="s">
        <v>58</v>
      </c>
      <c r="E149" s="263"/>
      <c r="F149" s="264"/>
      <c r="G149" s="265">
        <f>_xlfn.IFNA(VLOOKUP(B149, 현재가테이블!$B$2:$D$200, 2, FALSE), "-")</f>
        <v>40538000</v>
      </c>
      <c r="H149" s="266"/>
      <c r="I149" s="267"/>
      <c r="J149" s="262" t="s">
        <v>59</v>
      </c>
      <c r="K149" s="263"/>
      <c r="L149" s="264"/>
      <c r="M149" s="268">
        <f>_xlfn.IFNA(VLOOKUP(B149, 현재가테이블!$B$2:$D$200, 3, FALSE), "-")</f>
        <v>-3.68275993E-2</v>
      </c>
      <c r="N149" s="269"/>
      <c r="O149" s="270"/>
      <c r="Q149" s="261"/>
      <c r="R149" s="261"/>
      <c r="S149" s="261"/>
    </row>
    <row r="150" spans="1:19" ht="17.25" thickBot="1">
      <c r="A150" s="306" t="s">
        <v>55</v>
      </c>
      <c r="B150" s="302" t="str">
        <f>TEXT($G$1, "[$-ko-KR]yyyy-mm-dd(ddd) ") &amp; "오전 00:00"</f>
        <v>2021-06-11(금) 오전 00:00</v>
      </c>
      <c r="C150" s="303"/>
      <c r="D150" s="275" t="str">
        <f>TEXT($G$1, "[$-ko-KR]yyyy-mm-dd(ddd) ") &amp; "오후 14:00"</f>
        <v>2021-06-11(금) 오후 14:00</v>
      </c>
      <c r="E150" s="276"/>
      <c r="F150" s="277"/>
      <c r="G150" s="275" t="str">
        <f>TEXT($G$1, "[$-ko-KR]yyyy-mm-dd(ddd) ") &amp; "오후 19:00"</f>
        <v>2021-06-11(금) 오후 19:00</v>
      </c>
      <c r="H150" s="276"/>
      <c r="I150" s="277"/>
      <c r="J150" s="275" t="str">
        <f>TEXT($G$1, "[$-ko-KR]yyyy-mm-dd(ddd) ") &amp; "오후 21:00"</f>
        <v>2021-06-11(금) 오후 21:00</v>
      </c>
      <c r="K150" s="276"/>
      <c r="L150" s="277"/>
      <c r="M150" s="275" t="str">
        <f>TEXT($G$1+1, "[$-ko-KR]yyyy-mm-dd(ddd) ") &amp; "오전 00:00"</f>
        <v>2021-06-12(토) 오전 00:00</v>
      </c>
      <c r="N150" s="276"/>
      <c r="O150" s="277"/>
      <c r="Q150" s="261"/>
      <c r="R150" s="261"/>
      <c r="S150" s="261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1" t="s">
        <v>58</v>
      </c>
      <c r="H151" s="202" t="s">
        <v>293</v>
      </c>
      <c r="I151" s="20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1"/>
      <c r="R151" s="251"/>
      <c r="S151" s="251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61"/>
      <c r="R152" s="261"/>
      <c r="S152" s="261"/>
    </row>
    <row r="153" spans="1:19" ht="17.25" thickBot="1">
      <c r="A153" s="162" t="s">
        <v>231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61"/>
      <c r="R153" s="261"/>
      <c r="S153" s="261"/>
    </row>
    <row r="154" spans="1:19" ht="17.25" thickBot="1">
      <c r="A154" s="162" t="s">
        <v>223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51"/>
      <c r="R154" s="251"/>
      <c r="S154" s="251"/>
    </row>
    <row r="155" spans="1:19" ht="17.25" thickBot="1">
      <c r="A155" s="162" t="s">
        <v>251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51"/>
      <c r="R155" s="251"/>
      <c r="S155" s="251"/>
    </row>
    <row r="156" spans="1:19" ht="17.25" thickBot="1">
      <c r="A156" s="163" t="s">
        <v>265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51"/>
      <c r="R156" s="251"/>
      <c r="S156" s="251"/>
    </row>
    <row r="157" spans="1:19" ht="17.25" thickBot="1">
      <c r="A157" s="162" t="s">
        <v>253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51"/>
      <c r="R157" s="251"/>
      <c r="S157" s="251"/>
    </row>
    <row r="158" spans="1:19" ht="17.25" thickBot="1">
      <c r="A158" s="162" t="s">
        <v>257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51"/>
      <c r="R158" s="251"/>
      <c r="S158" s="251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51"/>
      <c r="R159" s="251"/>
      <c r="S159" s="251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52"/>
      <c r="R161" s="253"/>
      <c r="S161" s="254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55"/>
      <c r="R162" s="256"/>
      <c r="S162" s="257"/>
    </row>
    <row r="163" spans="1:19" ht="17.25" thickBot="1">
      <c r="A163" s="162" t="s">
        <v>291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58"/>
      <c r="R163" s="259"/>
      <c r="S163" s="260"/>
    </row>
    <row r="164" spans="1:19" ht="17.25" thickBot="1">
      <c r="A164" s="162" t="s">
        <v>169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51"/>
      <c r="R164" s="251"/>
      <c r="S164" s="251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61"/>
      <c r="R165" s="261"/>
      <c r="S165" s="261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61"/>
      <c r="R166" s="261"/>
      <c r="S166" s="261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51"/>
      <c r="R167" s="251"/>
      <c r="S167" s="251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51"/>
      <c r="R168" s="251"/>
      <c r="S168" s="251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51"/>
      <c r="R169" s="251"/>
      <c r="S169" s="251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240"/>
      <c r="R170" s="241"/>
      <c r="S170" s="242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243"/>
      <c r="R171" s="244"/>
      <c r="S171" s="245"/>
    </row>
    <row r="172" spans="1:19" ht="17.25" thickBot="1">
      <c r="A172" s="132" t="s">
        <v>295</v>
      </c>
      <c r="B172" s="304">
        <f>$B$37</f>
        <v>100000</v>
      </c>
      <c r="C172" s="305"/>
      <c r="D172" s="26" t="s">
        <v>296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296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296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296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246"/>
      <c r="R172" s="247"/>
      <c r="S172" s="248"/>
    </row>
    <row r="174" spans="1:19" ht="17.25" thickBot="1"/>
    <row r="175" spans="1:19" ht="17.25" thickBot="1">
      <c r="A175" s="262" t="s">
        <v>280</v>
      </c>
      <c r="B175" s="263"/>
      <c r="C175" s="263"/>
      <c r="D175" s="263"/>
      <c r="E175" s="263"/>
      <c r="F175" s="263"/>
      <c r="G175" s="263"/>
      <c r="H175" s="263"/>
      <c r="I175" s="263"/>
      <c r="J175" s="263"/>
      <c r="K175" s="263"/>
      <c r="L175" s="263"/>
      <c r="M175" s="263"/>
      <c r="N175" s="263"/>
      <c r="O175" s="264"/>
      <c r="Q175" s="261"/>
      <c r="R175" s="261"/>
      <c r="S175" s="261"/>
    </row>
    <row r="176" spans="1:19" ht="17.25" thickBot="1">
      <c r="A176" s="200" t="s">
        <v>292</v>
      </c>
      <c r="B176" s="262" t="s">
        <v>49</v>
      </c>
      <c r="C176" s="264"/>
      <c r="D176" s="262" t="s">
        <v>58</v>
      </c>
      <c r="E176" s="263"/>
      <c r="F176" s="264"/>
      <c r="G176" s="265">
        <f>_xlfn.IFNA(VLOOKUP(B176, 현재가테이블!$B$2:$D$200, 2, FALSE), "-")</f>
        <v>40538000</v>
      </c>
      <c r="H176" s="266"/>
      <c r="I176" s="267"/>
      <c r="J176" s="262" t="s">
        <v>59</v>
      </c>
      <c r="K176" s="263"/>
      <c r="L176" s="264"/>
      <c r="M176" s="268">
        <f>_xlfn.IFNA(VLOOKUP(B176, 현재가테이블!$B$2:$D$200, 3, FALSE), "-")</f>
        <v>-3.68275993E-2</v>
      </c>
      <c r="N176" s="269"/>
      <c r="O176" s="270"/>
      <c r="Q176" s="261"/>
      <c r="R176" s="261"/>
      <c r="S176" s="261"/>
    </row>
    <row r="177" spans="1:19" ht="17.25" thickBot="1">
      <c r="A177" s="306" t="s">
        <v>55</v>
      </c>
      <c r="B177" s="302" t="str">
        <f>TEXT($G$1, "[$-ko-KR]yyyy-mm-dd(ddd) ") &amp; "오전 00:00"</f>
        <v>2021-06-11(금) 오전 00:00</v>
      </c>
      <c r="C177" s="303"/>
      <c r="D177" s="275" t="str">
        <f>TEXT($G$1, "[$-ko-KR]yyyy-mm-dd(ddd) ") &amp; "오후 14:00"</f>
        <v>2021-06-11(금) 오후 14:00</v>
      </c>
      <c r="E177" s="276"/>
      <c r="F177" s="277"/>
      <c r="G177" s="275" t="str">
        <f>TEXT($G$1, "[$-ko-KR]yyyy-mm-dd(ddd) ") &amp; "오후 19:00"</f>
        <v>2021-06-11(금) 오후 19:00</v>
      </c>
      <c r="H177" s="276"/>
      <c r="I177" s="277"/>
      <c r="J177" s="275" t="str">
        <f>TEXT($G$1, "[$-ko-KR]yyyy-mm-dd(ddd) ") &amp; "오후 21:00"</f>
        <v>2021-06-11(금) 오후 21:00</v>
      </c>
      <c r="K177" s="276"/>
      <c r="L177" s="277"/>
      <c r="M177" s="275" t="str">
        <f>TEXT($G$1+1, "[$-ko-KR]yyyy-mm-dd(ddd) ") &amp; "오전 00:00"</f>
        <v>2021-06-12(토) 오전 00:00</v>
      </c>
      <c r="N177" s="276"/>
      <c r="O177" s="277"/>
      <c r="Q177" s="261"/>
      <c r="R177" s="261"/>
      <c r="S177" s="261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1" t="s">
        <v>58</v>
      </c>
      <c r="H178" s="202" t="s">
        <v>293</v>
      </c>
      <c r="I178" s="20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1"/>
      <c r="R178" s="251"/>
      <c r="S178" s="251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61"/>
      <c r="R179" s="261"/>
      <c r="S179" s="261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61"/>
      <c r="R180" s="261"/>
      <c r="S180" s="261"/>
    </row>
    <row r="181" spans="1:19" ht="17.25" thickBot="1">
      <c r="A181" s="162" t="s">
        <v>177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51"/>
      <c r="R181" s="251"/>
      <c r="S181" s="251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51"/>
      <c r="R182" s="251"/>
      <c r="S182" s="251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51"/>
      <c r="R183" s="251"/>
      <c r="S183" s="251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51"/>
      <c r="R184" s="251"/>
      <c r="S184" s="251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51"/>
      <c r="R185" s="251"/>
      <c r="S185" s="251"/>
    </row>
    <row r="186" spans="1:19" ht="17.25" thickBot="1">
      <c r="A186" s="162" t="s">
        <v>244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51"/>
      <c r="R186" s="251"/>
      <c r="S186" s="251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52"/>
      <c r="R188" s="253"/>
      <c r="S188" s="254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55"/>
      <c r="R189" s="256"/>
      <c r="S189" s="257"/>
    </row>
    <row r="190" spans="1:19" ht="17.25" thickBot="1">
      <c r="A190" s="162" t="s">
        <v>191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58"/>
      <c r="R190" s="259"/>
      <c r="S190" s="260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51"/>
      <c r="R191" s="251"/>
      <c r="S191" s="251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61"/>
      <c r="R192" s="261"/>
      <c r="S192" s="261"/>
    </row>
    <row r="193" spans="1:19" ht="17.25" thickBot="1">
      <c r="A193" s="163" t="s">
        <v>271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61"/>
      <c r="R193" s="261"/>
      <c r="S193" s="261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51"/>
      <c r="R194" s="251"/>
      <c r="S194" s="251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51"/>
      <c r="R195" s="251"/>
      <c r="S195" s="251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51"/>
      <c r="R196" s="251"/>
      <c r="S196" s="251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240"/>
      <c r="R197" s="241"/>
      <c r="S197" s="242"/>
    </row>
    <row r="198" spans="1:19" ht="17.25" thickBot="1">
      <c r="A198" s="130" t="s">
        <v>189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243"/>
      <c r="R198" s="244"/>
      <c r="S198" s="245"/>
    </row>
    <row r="199" spans="1:19" ht="17.25" thickBot="1">
      <c r="A199" s="132" t="s">
        <v>295</v>
      </c>
      <c r="B199" s="304">
        <f>$B$37</f>
        <v>100000</v>
      </c>
      <c r="C199" s="305"/>
      <c r="D199" s="26" t="s">
        <v>296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296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296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296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246"/>
      <c r="R199" s="247"/>
      <c r="S199" s="24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2" t="s">
        <v>0</v>
      </c>
      <c r="B1" s="263"/>
      <c r="C1" s="263"/>
      <c r="D1" s="263"/>
      <c r="E1" s="263"/>
      <c r="F1" s="264"/>
      <c r="G1" s="293">
        <v>44359</v>
      </c>
      <c r="H1" s="294"/>
      <c r="I1" s="295"/>
      <c r="J1" s="262" t="s">
        <v>1</v>
      </c>
      <c r="K1" s="263"/>
      <c r="L1" s="263"/>
      <c r="M1" s="263"/>
      <c r="N1" s="263"/>
      <c r="O1" s="264"/>
      <c r="Q1" s="262" t="s">
        <v>2</v>
      </c>
      <c r="R1" s="264"/>
    </row>
    <row r="2" spans="1:19" ht="17.25" customHeight="1">
      <c r="A2" s="117" t="s">
        <v>3</v>
      </c>
      <c r="B2" s="296" t="s">
        <v>8</v>
      </c>
      <c r="C2" s="297"/>
      <c r="D2" s="297"/>
      <c r="E2" s="297"/>
      <c r="F2" s="298"/>
      <c r="G2" s="290" t="s">
        <v>46</v>
      </c>
      <c r="H2" s="291"/>
      <c r="I2" s="292"/>
      <c r="J2" s="1" t="s">
        <v>3</v>
      </c>
      <c r="K2" s="296" t="s">
        <v>345</v>
      </c>
      <c r="L2" s="297"/>
      <c r="M2" s="297"/>
      <c r="N2" s="297"/>
      <c r="O2" s="298"/>
      <c r="Q2" s="2" t="s">
        <v>6</v>
      </c>
      <c r="R2" s="3">
        <v>0.375</v>
      </c>
    </row>
    <row r="3" spans="1:19" ht="17.25" customHeight="1" thickBot="1">
      <c r="A3" s="118" t="s">
        <v>7</v>
      </c>
      <c r="B3" s="287" t="s">
        <v>353</v>
      </c>
      <c r="C3" s="288"/>
      <c r="D3" s="288"/>
      <c r="E3" s="288"/>
      <c r="F3" s="289"/>
      <c r="G3" s="28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284"/>
      <c r="I3" s="285"/>
      <c r="J3" s="4" t="s">
        <v>7</v>
      </c>
      <c r="K3" s="287" t="s">
        <v>346</v>
      </c>
      <c r="L3" s="288"/>
      <c r="M3" s="288"/>
      <c r="N3" s="288"/>
      <c r="O3" s="28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7" t="s">
        <v>16</v>
      </c>
      <c r="C4" s="288"/>
      <c r="D4" s="288"/>
      <c r="E4" s="288"/>
      <c r="F4" s="289"/>
      <c r="G4" s="290" t="s">
        <v>44</v>
      </c>
      <c r="H4" s="291"/>
      <c r="I4" s="292"/>
      <c r="J4" s="4" t="s">
        <v>11</v>
      </c>
      <c r="K4" s="287" t="s">
        <v>347</v>
      </c>
      <c r="L4" s="288"/>
      <c r="M4" s="288"/>
      <c r="N4" s="288"/>
      <c r="O4" s="28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7" t="s">
        <v>344</v>
      </c>
      <c r="C5" s="288"/>
      <c r="D5" s="288"/>
      <c r="E5" s="288"/>
      <c r="F5" s="289"/>
      <c r="G5" s="28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284"/>
      <c r="I5" s="285"/>
      <c r="J5" s="4" t="s">
        <v>15</v>
      </c>
      <c r="K5" s="287" t="s">
        <v>348</v>
      </c>
      <c r="L5" s="288"/>
      <c r="M5" s="288"/>
      <c r="N5" s="288"/>
      <c r="O5" s="289"/>
    </row>
    <row r="6" spans="1:19">
      <c r="A6" s="118" t="s">
        <v>18</v>
      </c>
      <c r="B6" s="287"/>
      <c r="C6" s="288"/>
      <c r="D6" s="288"/>
      <c r="E6" s="288"/>
      <c r="F6" s="289"/>
      <c r="G6" s="290" t="s">
        <v>45</v>
      </c>
      <c r="H6" s="291"/>
      <c r="I6" s="292"/>
      <c r="J6" s="4" t="s">
        <v>18</v>
      </c>
      <c r="K6" s="287" t="s">
        <v>349</v>
      </c>
      <c r="L6" s="288"/>
      <c r="M6" s="288"/>
      <c r="N6" s="288"/>
      <c r="O6" s="289"/>
    </row>
    <row r="7" spans="1:19" ht="17.25" thickBot="1">
      <c r="A7" s="118" t="s">
        <v>21</v>
      </c>
      <c r="B7" s="287"/>
      <c r="C7" s="288"/>
      <c r="D7" s="288"/>
      <c r="E7" s="288"/>
      <c r="F7" s="289"/>
      <c r="G7" s="28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284"/>
      <c r="I7" s="285"/>
      <c r="J7" s="4" t="s">
        <v>21</v>
      </c>
      <c r="K7" s="287" t="s">
        <v>350</v>
      </c>
      <c r="L7" s="288"/>
      <c r="M7" s="288"/>
      <c r="N7" s="288"/>
      <c r="O7" s="289"/>
    </row>
    <row r="8" spans="1:19" ht="17.25" thickBot="1">
      <c r="A8" s="118" t="s">
        <v>24</v>
      </c>
      <c r="B8" s="287"/>
      <c r="C8" s="288"/>
      <c r="D8" s="288"/>
      <c r="E8" s="288"/>
      <c r="F8" s="289"/>
      <c r="G8" s="290" t="s">
        <v>280</v>
      </c>
      <c r="H8" s="291"/>
      <c r="I8" s="292"/>
      <c r="J8" s="4" t="s">
        <v>24</v>
      </c>
      <c r="K8" s="287"/>
      <c r="L8" s="288"/>
      <c r="M8" s="288"/>
      <c r="N8" s="288"/>
      <c r="O8" s="289"/>
      <c r="Q8" s="262" t="s">
        <v>27</v>
      </c>
      <c r="R8" s="264"/>
    </row>
    <row r="9" spans="1:19" ht="17.25" thickBot="1">
      <c r="A9" s="118" t="s">
        <v>28</v>
      </c>
      <c r="B9" s="287"/>
      <c r="C9" s="288"/>
      <c r="D9" s="288"/>
      <c r="E9" s="288"/>
      <c r="F9" s="289"/>
      <c r="G9" s="28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284"/>
      <c r="I9" s="285"/>
      <c r="J9" s="4" t="s">
        <v>28</v>
      </c>
      <c r="K9" s="287"/>
      <c r="L9" s="288"/>
      <c r="M9" s="288"/>
      <c r="N9" s="288"/>
      <c r="O9" s="289"/>
      <c r="Q9" s="2" t="s">
        <v>29</v>
      </c>
      <c r="R9" s="6">
        <v>10</v>
      </c>
    </row>
    <row r="10" spans="1:19">
      <c r="A10" s="118" t="s">
        <v>30</v>
      </c>
      <c r="B10" s="287"/>
      <c r="C10" s="288"/>
      <c r="D10" s="288"/>
      <c r="E10" s="288"/>
      <c r="F10" s="289"/>
      <c r="G10" s="290" t="s">
        <v>47</v>
      </c>
      <c r="H10" s="291"/>
      <c r="I10" s="292"/>
      <c r="J10" s="4" t="s">
        <v>30</v>
      </c>
      <c r="K10" s="287" t="s">
        <v>351</v>
      </c>
      <c r="L10" s="288"/>
      <c r="M10" s="288"/>
      <c r="N10" s="288"/>
      <c r="O10" s="289"/>
      <c r="Q10" s="2" t="s">
        <v>31</v>
      </c>
      <c r="R10" s="6">
        <v>100</v>
      </c>
    </row>
    <row r="11" spans="1:19" ht="17.25" thickBot="1">
      <c r="A11" s="119" t="s">
        <v>32</v>
      </c>
      <c r="B11" s="280" t="s">
        <v>352</v>
      </c>
      <c r="C11" s="281"/>
      <c r="D11" s="281"/>
      <c r="E11" s="281"/>
      <c r="F11" s="282"/>
      <c r="G11" s="28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284"/>
      <c r="I11" s="285"/>
      <c r="J11" s="7" t="s">
        <v>32</v>
      </c>
      <c r="K11" s="280" t="s">
        <v>343</v>
      </c>
      <c r="L11" s="281"/>
      <c r="M11" s="281"/>
      <c r="N11" s="281"/>
      <c r="O11" s="282"/>
      <c r="Q11" s="65" t="s">
        <v>33</v>
      </c>
      <c r="R11" s="8">
        <v>1000</v>
      </c>
    </row>
    <row r="12" spans="1:19" ht="17.25" thickBot="1"/>
    <row r="13" spans="1:19" ht="17.25" customHeight="1" thickBot="1">
      <c r="A13" s="262" t="s">
        <v>34</v>
      </c>
      <c r="B13" s="263"/>
      <c r="C13" s="263"/>
      <c r="D13" s="263"/>
      <c r="E13" s="263"/>
      <c r="F13" s="263"/>
      <c r="G13" s="263"/>
      <c r="H13" s="263"/>
      <c r="I13" s="263"/>
      <c r="J13" s="263"/>
      <c r="K13" s="263"/>
      <c r="L13" s="263"/>
      <c r="M13" s="263"/>
      <c r="N13" s="263"/>
      <c r="O13" s="264"/>
      <c r="Q13" s="261"/>
      <c r="R13" s="261"/>
      <c r="S13" s="261"/>
    </row>
    <row r="14" spans="1:19" ht="17.25" customHeight="1" thickBot="1">
      <c r="A14" s="204" t="s">
        <v>35</v>
      </c>
      <c r="B14" s="262" t="s">
        <v>36</v>
      </c>
      <c r="C14" s="264"/>
      <c r="D14" s="262" t="s">
        <v>37</v>
      </c>
      <c r="E14" s="263"/>
      <c r="F14" s="264"/>
      <c r="G14" s="265">
        <f>_xlfn.IFNA(VLOOKUP(B14, 현재가테이블!$B$2:$D$200, 2, FALSE), "-")</f>
        <v>40538000</v>
      </c>
      <c r="H14" s="266"/>
      <c r="I14" s="267"/>
      <c r="J14" s="262" t="s">
        <v>38</v>
      </c>
      <c r="K14" s="263"/>
      <c r="L14" s="264"/>
      <c r="M14" s="268">
        <f>_xlfn.IFNA(VLOOKUP(B14, 현재가테이블!$B$2:$D$200, 3, FALSE), "-")</f>
        <v>-3.68275993E-2</v>
      </c>
      <c r="N14" s="269"/>
      <c r="O14" s="270"/>
      <c r="Q14" s="261"/>
      <c r="R14" s="261"/>
      <c r="S14" s="261"/>
    </row>
    <row r="15" spans="1:19" ht="17.25" customHeight="1" thickBot="1">
      <c r="A15" s="299" t="s">
        <v>39</v>
      </c>
      <c r="B15" s="300" t="str">
        <f>TEXT($G$1, "[$-ko-KR]yyyy-mm-dd(ddd) ") &amp; "오전 00:00"</f>
        <v>2021-06-12(토) 오전 00:00</v>
      </c>
      <c r="C15" s="301"/>
      <c r="D15" s="275" t="str">
        <f>TEXT($G$1, "[$-ko-KR]yyyy-mm-dd(ddd) ") &amp; "오후 14:00"</f>
        <v>2021-06-12(토) 오후 14:00</v>
      </c>
      <c r="E15" s="276"/>
      <c r="F15" s="277"/>
      <c r="G15" s="275" t="str">
        <f>TEXT($G$1, "[$-ko-KR]yyyy-mm-dd(ddd) ") &amp; "오후 19:00"</f>
        <v>2021-06-12(토) 오후 19:00</v>
      </c>
      <c r="H15" s="276"/>
      <c r="I15" s="277"/>
      <c r="J15" s="275" t="str">
        <f>TEXT($G$1, "[$-ko-KR]yyyy-mm-dd(ddd) ") &amp; "오후 21:00"</f>
        <v>2021-06-12(토) 오후 21:00</v>
      </c>
      <c r="K15" s="276"/>
      <c r="L15" s="277"/>
      <c r="M15" s="275" t="str">
        <f>TEXT($G$1+1, "[$-ko-KR]yyyy-mm-dd(ddd) ") &amp; "오전 00:00"</f>
        <v>2021-06-13(일) 오전 00:00</v>
      </c>
      <c r="N15" s="276"/>
      <c r="O15" s="277"/>
      <c r="Q15" s="261"/>
      <c r="R15" s="261"/>
      <c r="S15" s="261"/>
    </row>
    <row r="16" spans="1:19" ht="17.25" customHeight="1" thickBot="1">
      <c r="A16" s="29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61"/>
      <c r="R17" s="261"/>
      <c r="S17" s="26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61"/>
      <c r="R18" s="261"/>
      <c r="S18" s="261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51"/>
      <c r="R19" s="251"/>
      <c r="S19" s="251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51"/>
      <c r="R20" s="251"/>
      <c r="S20" s="251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51"/>
      <c r="R21" s="251"/>
      <c r="S21" s="25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304">
        <v>100000</v>
      </c>
      <c r="C37" s="305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262" t="s">
        <v>44</v>
      </c>
      <c r="B40" s="263"/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4"/>
      <c r="Q40" s="261"/>
      <c r="R40" s="261"/>
      <c r="S40" s="261"/>
    </row>
    <row r="41" spans="1:19" ht="17.25" customHeight="1" thickBot="1">
      <c r="A41" s="204" t="s">
        <v>292</v>
      </c>
      <c r="B41" s="262" t="s">
        <v>49</v>
      </c>
      <c r="C41" s="264"/>
      <c r="D41" s="262" t="s">
        <v>58</v>
      </c>
      <c r="E41" s="263"/>
      <c r="F41" s="264"/>
      <c r="G41" s="265">
        <f>_xlfn.IFNA(VLOOKUP(B41, 현재가테이블!$B$2:$D$200, 2, FALSE), "-")</f>
        <v>40538000</v>
      </c>
      <c r="H41" s="266"/>
      <c r="I41" s="267"/>
      <c r="J41" s="262" t="s">
        <v>59</v>
      </c>
      <c r="K41" s="263"/>
      <c r="L41" s="264"/>
      <c r="M41" s="268">
        <f>_xlfn.IFNA(VLOOKUP(B41, 현재가테이블!$B$2:$D$200, 3, FALSE), "-")</f>
        <v>-3.68275993E-2</v>
      </c>
      <c r="N41" s="269"/>
      <c r="O41" s="270"/>
      <c r="Q41" s="261"/>
      <c r="R41" s="261"/>
      <c r="S41" s="261"/>
    </row>
    <row r="42" spans="1:19" ht="17.25" customHeight="1" thickBot="1">
      <c r="A42" s="306" t="s">
        <v>55</v>
      </c>
      <c r="B42" s="302" t="str">
        <f>TEXT($G$1, "[$-ko-KR]yyyy-mm-dd(ddd) ") &amp; "오전 00:00"</f>
        <v>2021-06-12(토) 오전 00:00</v>
      </c>
      <c r="C42" s="303"/>
      <c r="D42" s="275" t="str">
        <f>TEXT($G$1, "[$-ko-KR]yyyy-mm-dd(ddd) ") &amp; "오후 14:00"</f>
        <v>2021-06-12(토) 오후 14:00</v>
      </c>
      <c r="E42" s="276"/>
      <c r="F42" s="277"/>
      <c r="G42" s="275" t="str">
        <f>TEXT($G$1, "[$-ko-KR]yyyy-mm-dd(ddd) ") &amp; "오후 19:00"</f>
        <v>2021-06-12(토) 오후 19:00</v>
      </c>
      <c r="H42" s="276"/>
      <c r="I42" s="277"/>
      <c r="J42" s="275" t="str">
        <f>TEXT($G$1, "[$-ko-KR]yyyy-mm-dd(ddd) ") &amp; "오후 21:00"</f>
        <v>2021-06-12(토) 오후 21:00</v>
      </c>
      <c r="K42" s="276"/>
      <c r="L42" s="277"/>
      <c r="M42" s="275" t="str">
        <f>TEXT($G$1+1, "[$-ko-KR]yyyy-mm-dd(ddd) ") &amp; "오전 00:00"</f>
        <v>2021-06-13(일) 오전 00:00</v>
      </c>
      <c r="N42" s="276"/>
      <c r="O42" s="277"/>
      <c r="Q42" s="261"/>
      <c r="R42" s="261"/>
      <c r="S42" s="261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5" t="s">
        <v>58</v>
      </c>
      <c r="H43" s="206" t="s">
        <v>293</v>
      </c>
      <c r="I43" s="20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1"/>
      <c r="R43" s="251"/>
      <c r="S43" s="251"/>
    </row>
    <row r="44" spans="1:19" ht="17.25" customHeight="1" thickBot="1">
      <c r="A44" s="161" t="s">
        <v>261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61"/>
      <c r="R44" s="261"/>
      <c r="S44" s="261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61"/>
      <c r="R45" s="261"/>
      <c r="S45" s="261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51"/>
      <c r="R46" s="251"/>
      <c r="S46" s="251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51"/>
      <c r="R47" s="251"/>
      <c r="S47" s="251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51"/>
      <c r="R48" s="251"/>
      <c r="S48" s="251"/>
    </row>
    <row r="49" spans="1:19" ht="17.25" customHeight="1" thickBot="1">
      <c r="A49" s="162" t="s">
        <v>273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51"/>
      <c r="R49" s="251"/>
      <c r="S49" s="251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51"/>
      <c r="R50" s="251"/>
      <c r="S50" s="251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51"/>
      <c r="R51" s="251"/>
      <c r="S51" s="251"/>
    </row>
    <row r="52" spans="1:19" ht="17.25" customHeight="1" thickBot="1">
      <c r="A52" s="162" t="s">
        <v>259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167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52"/>
      <c r="R53" s="253"/>
      <c r="S53" s="254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55"/>
      <c r="R54" s="256"/>
      <c r="S54" s="257"/>
    </row>
    <row r="55" spans="1:19" ht="17.25" customHeight="1" thickBot="1">
      <c r="A55" s="162" t="s">
        <v>217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258"/>
      <c r="R55" s="259"/>
      <c r="S55" s="260"/>
    </row>
    <row r="56" spans="1:19" ht="17.25" customHeight="1" thickBot="1">
      <c r="A56" s="162" t="s">
        <v>255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51"/>
      <c r="R56" s="251"/>
      <c r="S56" s="251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61"/>
      <c r="R57" s="261"/>
      <c r="S57" s="261"/>
    </row>
    <row r="58" spans="1:19" ht="17.25" customHeight="1" thickBot="1">
      <c r="A58" s="163" t="s">
        <v>195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61"/>
      <c r="R58" s="261"/>
      <c r="S58" s="261"/>
    </row>
    <row r="59" spans="1:19" ht="17.25" customHeight="1" thickBot="1">
      <c r="A59" s="162" t="s">
        <v>210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51"/>
      <c r="R59" s="251"/>
      <c r="S59" s="251"/>
    </row>
    <row r="60" spans="1:19" ht="17.25" customHeight="1" thickBot="1">
      <c r="A60" s="162" t="s">
        <v>225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51"/>
      <c r="R60" s="251"/>
      <c r="S60" s="251"/>
    </row>
    <row r="61" spans="1:19" ht="17.25" customHeight="1" thickBot="1">
      <c r="A61" s="162" t="s">
        <v>185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51"/>
      <c r="R61" s="251"/>
      <c r="S61" s="251"/>
    </row>
    <row r="62" spans="1:19" ht="17.25" customHeight="1">
      <c r="A62" s="162" t="s">
        <v>197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240"/>
      <c r="R62" s="241"/>
      <c r="S62" s="242"/>
    </row>
    <row r="63" spans="1:19" ht="17.25" customHeight="1" thickBot="1">
      <c r="A63" s="130" t="s">
        <v>212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243"/>
      <c r="R63" s="244"/>
      <c r="S63" s="245"/>
    </row>
    <row r="64" spans="1:19" ht="17.25" customHeight="1" thickBot="1">
      <c r="A64" s="132" t="s">
        <v>295</v>
      </c>
      <c r="B64" s="304">
        <f>$B$37</f>
        <v>100000</v>
      </c>
      <c r="C64" s="305"/>
      <c r="D64" s="26" t="s">
        <v>296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296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296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296</v>
      </c>
      <c r="N64" s="27">
        <f>IF(COUNT(N44:N63), SUM(N44:N63) / COUNT(N44:N63), 0)</f>
        <v>-0.10913330710605953</v>
      </c>
      <c r="O64" s="28">
        <f>SUM(O44:O63)</f>
        <v>-218266.61421211908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262" t="s">
        <v>45</v>
      </c>
      <c r="B67" s="263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4"/>
      <c r="Q67" s="261"/>
      <c r="R67" s="261"/>
      <c r="S67" s="261"/>
    </row>
    <row r="68" spans="1:19" ht="17.25" thickBot="1">
      <c r="A68" s="204" t="s">
        <v>292</v>
      </c>
      <c r="B68" s="262" t="s">
        <v>49</v>
      </c>
      <c r="C68" s="264"/>
      <c r="D68" s="262" t="s">
        <v>58</v>
      </c>
      <c r="E68" s="263"/>
      <c r="F68" s="264"/>
      <c r="G68" s="265">
        <f>_xlfn.IFNA(VLOOKUP(B68, 현재가테이블!$B$2:$D$200, 2, FALSE), "-")</f>
        <v>40538000</v>
      </c>
      <c r="H68" s="266"/>
      <c r="I68" s="267"/>
      <c r="J68" s="262" t="s">
        <v>59</v>
      </c>
      <c r="K68" s="263"/>
      <c r="L68" s="264"/>
      <c r="M68" s="268">
        <f>_xlfn.IFNA(VLOOKUP(B68, 현재가테이블!$B$2:$D$200, 3, FALSE), "-")</f>
        <v>-3.68275993E-2</v>
      </c>
      <c r="N68" s="269"/>
      <c r="O68" s="270"/>
      <c r="Q68" s="261"/>
      <c r="R68" s="261"/>
      <c r="S68" s="261"/>
    </row>
    <row r="69" spans="1:19" ht="17.25" thickBot="1">
      <c r="A69" s="306" t="s">
        <v>55</v>
      </c>
      <c r="B69" s="302" t="str">
        <f>TEXT($G$1, "[$-ko-KR]yyyy-mm-dd(ddd) ") &amp; "오전 00:00"</f>
        <v>2021-06-12(토) 오전 00:00</v>
      </c>
      <c r="C69" s="303"/>
      <c r="D69" s="275" t="str">
        <f>TEXT($G$1, "[$-ko-KR]yyyy-mm-dd(ddd) ") &amp; "오후 14:00"</f>
        <v>2021-06-12(토) 오후 14:00</v>
      </c>
      <c r="E69" s="276"/>
      <c r="F69" s="277"/>
      <c r="G69" s="275" t="str">
        <f>TEXT($G$1, "[$-ko-KR]yyyy-mm-dd(ddd) ") &amp; "오후 19:00"</f>
        <v>2021-06-12(토) 오후 19:00</v>
      </c>
      <c r="H69" s="276"/>
      <c r="I69" s="277"/>
      <c r="J69" s="275" t="str">
        <f>TEXT($G$1, "[$-ko-KR]yyyy-mm-dd(ddd) ") &amp; "오후 21:00"</f>
        <v>2021-06-12(토) 오후 21:00</v>
      </c>
      <c r="K69" s="276"/>
      <c r="L69" s="277"/>
      <c r="M69" s="275" t="str">
        <f>TEXT($G$1+1, "[$-ko-KR]yyyy-mm-dd(ddd) ") &amp; "오전 00:00"</f>
        <v>2021-06-13(일) 오전 00:00</v>
      </c>
      <c r="N69" s="276"/>
      <c r="O69" s="277"/>
      <c r="Q69" s="261"/>
      <c r="R69" s="261"/>
      <c r="S69" s="261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5" t="s">
        <v>58</v>
      </c>
      <c r="H70" s="206" t="s">
        <v>293</v>
      </c>
      <c r="I70" s="20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1"/>
      <c r="R70" s="251"/>
      <c r="S70" s="251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61"/>
      <c r="R71" s="261"/>
      <c r="S71" s="261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61"/>
      <c r="R72" s="261"/>
      <c r="S72" s="261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51"/>
      <c r="R73" s="251"/>
      <c r="S73" s="251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51"/>
      <c r="R74" s="251"/>
      <c r="S74" s="251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51"/>
      <c r="R75" s="251"/>
      <c r="S75" s="251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51"/>
      <c r="R76" s="251"/>
      <c r="S76" s="251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51"/>
      <c r="R77" s="251"/>
      <c r="S77" s="251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51"/>
      <c r="R78" s="251"/>
      <c r="S78" s="251"/>
    </row>
    <row r="79" spans="1:19" ht="17.25" thickBot="1">
      <c r="A79" s="162" t="s">
        <v>251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52"/>
      <c r="R80" s="253"/>
      <c r="S80" s="254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55"/>
      <c r="R81" s="256"/>
      <c r="S81" s="257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258"/>
      <c r="R82" s="259"/>
      <c r="S82" s="260"/>
    </row>
    <row r="83" spans="1:19" ht="17.25" thickBot="1">
      <c r="A83" s="162" t="s">
        <v>291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51"/>
      <c r="R83" s="251"/>
      <c r="S83" s="251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61"/>
      <c r="R84" s="261"/>
      <c r="S84" s="261"/>
    </row>
    <row r="85" spans="1:19" ht="17.25" thickBot="1">
      <c r="A85" s="163" t="s">
        <v>265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61"/>
      <c r="R85" s="261"/>
      <c r="S85" s="261"/>
    </row>
    <row r="86" spans="1:19" ht="17.25" thickBot="1">
      <c r="A86" s="162" t="s">
        <v>169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51"/>
      <c r="R86" s="251"/>
      <c r="S86" s="251"/>
    </row>
    <row r="87" spans="1:19" ht="17.25" thickBot="1">
      <c r="A87" s="162" t="s">
        <v>181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51"/>
      <c r="R87" s="251"/>
      <c r="S87" s="251"/>
    </row>
    <row r="88" spans="1:19" ht="17.25" thickBot="1">
      <c r="A88" s="162" t="s">
        <v>257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51"/>
      <c r="R88" s="251"/>
      <c r="S88" s="251"/>
    </row>
    <row r="89" spans="1:19">
      <c r="A89" s="162" t="s">
        <v>227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240"/>
      <c r="R89" s="241"/>
      <c r="S89" s="242"/>
    </row>
    <row r="90" spans="1:19" ht="17.25" thickBot="1">
      <c r="A90" s="130" t="s">
        <v>253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243"/>
      <c r="R90" s="244"/>
      <c r="S90" s="245"/>
    </row>
    <row r="91" spans="1:19" ht="17.25" thickBot="1">
      <c r="A91" s="132" t="s">
        <v>295</v>
      </c>
      <c r="B91" s="304">
        <f>$B$37</f>
        <v>100000</v>
      </c>
      <c r="C91" s="305"/>
      <c r="D91" s="26" t="s">
        <v>296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296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296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296</v>
      </c>
      <c r="N91" s="27">
        <f>IF(COUNT(N71:N90), SUM(N71:N90) / COUNT(N71:N90), 0)</f>
        <v>-9.1172786264253777E-2</v>
      </c>
      <c r="O91" s="28">
        <f>SUM(O71:O90)</f>
        <v>-182345.57252850762</v>
      </c>
      <c r="Q91" s="246"/>
      <c r="R91" s="247"/>
      <c r="S91" s="248"/>
    </row>
    <row r="93" spans="1:19" ht="17.25" thickBot="1"/>
    <row r="94" spans="1:19" ht="17.25" thickBot="1">
      <c r="A94" s="262" t="s">
        <v>46</v>
      </c>
      <c r="B94" s="263"/>
      <c r="C94" s="263"/>
      <c r="D94" s="263"/>
      <c r="E94" s="263"/>
      <c r="F94" s="263"/>
      <c r="G94" s="263"/>
      <c r="H94" s="263"/>
      <c r="I94" s="263"/>
      <c r="J94" s="263"/>
      <c r="K94" s="263"/>
      <c r="L94" s="263"/>
      <c r="M94" s="263"/>
      <c r="N94" s="263"/>
      <c r="O94" s="264"/>
      <c r="Q94" s="261"/>
      <c r="R94" s="261"/>
      <c r="S94" s="261"/>
    </row>
    <row r="95" spans="1:19" ht="17.25" thickBot="1">
      <c r="A95" s="204" t="s">
        <v>292</v>
      </c>
      <c r="B95" s="262" t="s">
        <v>49</v>
      </c>
      <c r="C95" s="264"/>
      <c r="D95" s="262" t="s">
        <v>58</v>
      </c>
      <c r="E95" s="263"/>
      <c r="F95" s="264"/>
      <c r="G95" s="265">
        <f>_xlfn.IFNA(VLOOKUP(B95, 현재가테이블!$B$2:$D$200, 2, FALSE), "-")</f>
        <v>40538000</v>
      </c>
      <c r="H95" s="266"/>
      <c r="I95" s="267"/>
      <c r="J95" s="262" t="s">
        <v>59</v>
      </c>
      <c r="K95" s="263"/>
      <c r="L95" s="264"/>
      <c r="M95" s="268">
        <f>_xlfn.IFNA(VLOOKUP(B95, 현재가테이블!$B$2:$D$200, 3, FALSE), "-")</f>
        <v>-3.68275993E-2</v>
      </c>
      <c r="N95" s="269"/>
      <c r="O95" s="270"/>
      <c r="Q95" s="261"/>
      <c r="R95" s="261"/>
      <c r="S95" s="261"/>
    </row>
    <row r="96" spans="1:19" ht="17.25" thickBot="1">
      <c r="A96" s="306" t="s">
        <v>55</v>
      </c>
      <c r="B96" s="302" t="str">
        <f>TEXT($G$1, "[$-ko-KR]yyyy-mm-dd(ddd) ") &amp; "오전 00:00"</f>
        <v>2021-06-12(토) 오전 00:00</v>
      </c>
      <c r="C96" s="303"/>
      <c r="D96" s="275" t="str">
        <f>TEXT($G$1, "[$-ko-KR]yyyy-mm-dd(ddd) ") &amp; "오후 14:00"</f>
        <v>2021-06-12(토) 오후 14:00</v>
      </c>
      <c r="E96" s="276"/>
      <c r="F96" s="277"/>
      <c r="G96" s="275" t="str">
        <f>TEXT($G$1, "[$-ko-KR]yyyy-mm-dd(ddd) ") &amp; "오후 19:00"</f>
        <v>2021-06-12(토) 오후 19:00</v>
      </c>
      <c r="H96" s="276"/>
      <c r="I96" s="277"/>
      <c r="J96" s="275" t="str">
        <f>TEXT($G$1, "[$-ko-KR]yyyy-mm-dd(ddd) ") &amp; "오후 21:00"</f>
        <v>2021-06-12(토) 오후 21:00</v>
      </c>
      <c r="K96" s="276"/>
      <c r="L96" s="277"/>
      <c r="M96" s="275" t="str">
        <f>TEXT($G$1+1, "[$-ko-KR]yyyy-mm-dd(ddd) ") &amp; "오전 00:00"</f>
        <v>2021-06-13(일) 오전 00:00</v>
      </c>
      <c r="N96" s="276"/>
      <c r="O96" s="277"/>
      <c r="Q96" s="261"/>
      <c r="R96" s="261"/>
      <c r="S96" s="261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5" t="s">
        <v>58</v>
      </c>
      <c r="H97" s="206" t="s">
        <v>293</v>
      </c>
      <c r="I97" s="20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1"/>
      <c r="R97" s="251"/>
      <c r="S97" s="251"/>
    </row>
    <row r="98" spans="1:19" ht="17.25" thickBot="1">
      <c r="A98" s="161" t="s">
        <v>261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61"/>
      <c r="R98" s="261"/>
      <c r="S98" s="261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61"/>
      <c r="R99" s="261"/>
      <c r="S99" s="261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51"/>
      <c r="R100" s="251"/>
      <c r="S100" s="251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51"/>
      <c r="R101" s="251"/>
      <c r="S101" s="251"/>
    </row>
    <row r="102" spans="1:19" ht="17.25" thickBot="1">
      <c r="A102" s="163" t="s">
        <v>205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51"/>
      <c r="R102" s="251"/>
      <c r="S102" s="251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51"/>
      <c r="R103" s="251"/>
      <c r="S103" s="251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51"/>
      <c r="R104" s="251"/>
      <c r="S104" s="251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51"/>
      <c r="R105" s="251"/>
      <c r="S105" s="251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52"/>
      <c r="R107" s="253"/>
      <c r="S107" s="254"/>
    </row>
    <row r="108" spans="1:19">
      <c r="A108" s="161" t="s">
        <v>163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55"/>
      <c r="R108" s="256"/>
      <c r="S108" s="257"/>
    </row>
    <row r="109" spans="1:19" ht="17.25" thickBot="1">
      <c r="A109" s="162" t="s">
        <v>165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258"/>
      <c r="R109" s="259"/>
      <c r="S109" s="260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51"/>
      <c r="R110" s="251"/>
      <c r="S110" s="251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61"/>
      <c r="R111" s="261"/>
      <c r="S111" s="261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61"/>
      <c r="R112" s="261"/>
      <c r="S112" s="261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51"/>
      <c r="R113" s="251"/>
      <c r="S113" s="251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51"/>
      <c r="R114" s="251"/>
      <c r="S114" s="251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51"/>
      <c r="R115" s="251"/>
      <c r="S115" s="251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240"/>
      <c r="R116" s="241"/>
      <c r="S116" s="242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243"/>
      <c r="R117" s="244"/>
      <c r="S117" s="245"/>
    </row>
    <row r="118" spans="1:19" ht="17.25" thickBot="1">
      <c r="A118" s="132" t="s">
        <v>295</v>
      </c>
      <c r="B118" s="304">
        <f>$B$37</f>
        <v>100000</v>
      </c>
      <c r="C118" s="305"/>
      <c r="D118" s="26" t="s">
        <v>296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296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296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296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246"/>
      <c r="R118" s="247"/>
      <c r="S118" s="248"/>
    </row>
    <row r="120" spans="1:19" ht="17.25" thickBot="1"/>
    <row r="121" spans="1:19" ht="17.25" thickBot="1">
      <c r="A121" s="262" t="s">
        <v>283</v>
      </c>
      <c r="B121" s="263"/>
      <c r="C121" s="263"/>
      <c r="D121" s="263"/>
      <c r="E121" s="263"/>
      <c r="F121" s="263"/>
      <c r="G121" s="263"/>
      <c r="H121" s="263"/>
      <c r="I121" s="263"/>
      <c r="J121" s="263"/>
      <c r="K121" s="263"/>
      <c r="L121" s="263"/>
      <c r="M121" s="263"/>
      <c r="N121" s="263"/>
      <c r="O121" s="264"/>
      <c r="Q121" s="261"/>
      <c r="R121" s="261"/>
      <c r="S121" s="261"/>
    </row>
    <row r="122" spans="1:19" ht="17.25" thickBot="1">
      <c r="A122" s="204" t="s">
        <v>292</v>
      </c>
      <c r="B122" s="262" t="s">
        <v>49</v>
      </c>
      <c r="C122" s="264"/>
      <c r="D122" s="262" t="s">
        <v>58</v>
      </c>
      <c r="E122" s="263"/>
      <c r="F122" s="264"/>
      <c r="G122" s="265">
        <f>_xlfn.IFNA(VLOOKUP(B122, 현재가테이블!$B$2:$D$200, 2, FALSE), "-")</f>
        <v>40538000</v>
      </c>
      <c r="H122" s="266"/>
      <c r="I122" s="267"/>
      <c r="J122" s="262" t="s">
        <v>59</v>
      </c>
      <c r="K122" s="263"/>
      <c r="L122" s="264"/>
      <c r="M122" s="268">
        <f>_xlfn.IFNA(VLOOKUP(B122, 현재가테이블!$B$2:$D$200, 3, FALSE), "-")</f>
        <v>-3.68275993E-2</v>
      </c>
      <c r="N122" s="269"/>
      <c r="O122" s="270"/>
      <c r="Q122" s="261"/>
      <c r="R122" s="261"/>
      <c r="S122" s="261"/>
    </row>
    <row r="123" spans="1:19" ht="17.25" thickBot="1">
      <c r="A123" s="306" t="s">
        <v>55</v>
      </c>
      <c r="B123" s="302" t="str">
        <f>TEXT($G$1, "[$-ko-KR]yyyy-mm-dd(ddd) ") &amp; "오전 00:00"</f>
        <v>2021-06-12(토) 오전 00:00</v>
      </c>
      <c r="C123" s="303"/>
      <c r="D123" s="275" t="str">
        <f>TEXT($G$1, "[$-ko-KR]yyyy-mm-dd(ddd) ") &amp; "오후 14:00"</f>
        <v>2021-06-12(토) 오후 14:00</v>
      </c>
      <c r="E123" s="276"/>
      <c r="F123" s="277"/>
      <c r="G123" s="275" t="str">
        <f>TEXT($G$1, "[$-ko-KR]yyyy-mm-dd(ddd) ") &amp; "오후 19:00"</f>
        <v>2021-06-12(토) 오후 19:00</v>
      </c>
      <c r="H123" s="276"/>
      <c r="I123" s="277"/>
      <c r="J123" s="275" t="str">
        <f>TEXT($G$1, "[$-ko-KR]yyyy-mm-dd(ddd) ") &amp; "오후 21:00"</f>
        <v>2021-06-12(토) 오후 21:00</v>
      </c>
      <c r="K123" s="276"/>
      <c r="L123" s="277"/>
      <c r="M123" s="275" t="str">
        <f>TEXT($G$1+1, "[$-ko-KR]yyyy-mm-dd(ddd) ") &amp; "오전 00:00"</f>
        <v>2021-06-13(일) 오전 00:00</v>
      </c>
      <c r="N123" s="276"/>
      <c r="O123" s="277"/>
      <c r="Q123" s="261"/>
      <c r="R123" s="261"/>
      <c r="S123" s="261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5" t="s">
        <v>58</v>
      </c>
      <c r="H124" s="206" t="s">
        <v>293</v>
      </c>
      <c r="I124" s="20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1"/>
      <c r="R124" s="251"/>
      <c r="S124" s="251"/>
    </row>
    <row r="125" spans="1:19" ht="17.25" thickBot="1">
      <c r="A125" s="161" t="s">
        <v>167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61"/>
      <c r="R125" s="261"/>
      <c r="S125" s="261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61"/>
      <c r="R126" s="261"/>
      <c r="S126" s="261"/>
    </row>
    <row r="127" spans="1:19" ht="17.25" thickBot="1">
      <c r="A127" s="162" t="s">
        <v>217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51"/>
      <c r="R127" s="251"/>
      <c r="S127" s="251"/>
    </row>
    <row r="128" spans="1:19" ht="17.25" thickBot="1">
      <c r="A128" s="162" t="s">
        <v>255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51"/>
      <c r="R128" s="251"/>
      <c r="S128" s="251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51"/>
      <c r="R129" s="251"/>
      <c r="S129" s="251"/>
    </row>
    <row r="130" spans="1:19" ht="17.25" thickBot="1">
      <c r="A130" s="162" t="s">
        <v>195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51"/>
      <c r="R130" s="251"/>
      <c r="S130" s="251"/>
    </row>
    <row r="131" spans="1:19" ht="17.25" thickBot="1">
      <c r="A131" s="162" t="s">
        <v>210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51"/>
      <c r="R131" s="251"/>
      <c r="S131" s="251"/>
    </row>
    <row r="132" spans="1:19" ht="17.25" thickBot="1">
      <c r="A132" s="162" t="s">
        <v>225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51"/>
      <c r="R132" s="251"/>
      <c r="S132" s="251"/>
    </row>
    <row r="133" spans="1:19" ht="17.25" thickBot="1">
      <c r="A133" s="162" t="s">
        <v>185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197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52"/>
      <c r="R134" s="253"/>
      <c r="S134" s="254"/>
    </row>
    <row r="135" spans="1:19">
      <c r="A135" s="161" t="s">
        <v>212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55"/>
      <c r="R135" s="256"/>
      <c r="S135" s="257"/>
    </row>
    <row r="136" spans="1:19" ht="17.25" thickBot="1">
      <c r="A136" s="162" t="s">
        <v>219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258"/>
      <c r="R136" s="259"/>
      <c r="S136" s="260"/>
    </row>
    <row r="137" spans="1:19" ht="17.25" thickBot="1">
      <c r="A137" s="162" t="s">
        <v>263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51"/>
      <c r="R137" s="251"/>
      <c r="S137" s="251"/>
    </row>
    <row r="138" spans="1:19" ht="17.25" thickBot="1">
      <c r="A138" s="162" t="s">
        <v>277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61"/>
      <c r="R138" s="261"/>
      <c r="S138" s="261"/>
    </row>
    <row r="139" spans="1:19" ht="17.25" thickBot="1">
      <c r="A139" s="163" t="s">
        <v>246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61"/>
      <c r="R139" s="261"/>
      <c r="S139" s="261"/>
    </row>
    <row r="140" spans="1:19" ht="17.25" thickBot="1">
      <c r="A140" s="162" t="s">
        <v>233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51"/>
      <c r="R140" s="251"/>
      <c r="S140" s="251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51"/>
      <c r="R141" s="251"/>
      <c r="S141" s="251"/>
    </row>
    <row r="142" spans="1:19" ht="17.25" thickBot="1">
      <c r="A142" s="162" t="s">
        <v>215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51"/>
      <c r="R142" s="251"/>
      <c r="S142" s="251"/>
    </row>
    <row r="143" spans="1:19">
      <c r="A143" s="162" t="s">
        <v>171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240"/>
      <c r="R143" s="241"/>
      <c r="S143" s="242"/>
    </row>
    <row r="144" spans="1:19" ht="17.25" thickBot="1">
      <c r="A144" s="130" t="s">
        <v>249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243"/>
      <c r="R144" s="244"/>
      <c r="S144" s="245"/>
    </row>
    <row r="145" spans="1:19" ht="17.25" thickBot="1">
      <c r="A145" s="132" t="s">
        <v>295</v>
      </c>
      <c r="B145" s="304">
        <f>$B$37</f>
        <v>100000</v>
      </c>
      <c r="C145" s="305"/>
      <c r="D145" s="26" t="s">
        <v>296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296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296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296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246"/>
      <c r="R145" s="247"/>
      <c r="S145" s="248"/>
    </row>
    <row r="147" spans="1:19" ht="17.25" thickBot="1"/>
    <row r="148" spans="1:19" ht="17.25" thickBot="1">
      <c r="A148" s="262" t="s">
        <v>284</v>
      </c>
      <c r="B148" s="263"/>
      <c r="C148" s="263"/>
      <c r="D148" s="263"/>
      <c r="E148" s="263"/>
      <c r="F148" s="263"/>
      <c r="G148" s="263"/>
      <c r="H148" s="263"/>
      <c r="I148" s="263"/>
      <c r="J148" s="263"/>
      <c r="K148" s="263"/>
      <c r="L148" s="263"/>
      <c r="M148" s="263"/>
      <c r="N148" s="263"/>
      <c r="O148" s="264"/>
      <c r="Q148" s="261"/>
      <c r="R148" s="261"/>
      <c r="S148" s="261"/>
    </row>
    <row r="149" spans="1:19" ht="17.25" thickBot="1">
      <c r="A149" s="204" t="s">
        <v>292</v>
      </c>
      <c r="B149" s="262" t="s">
        <v>49</v>
      </c>
      <c r="C149" s="264"/>
      <c r="D149" s="262" t="s">
        <v>58</v>
      </c>
      <c r="E149" s="263"/>
      <c r="F149" s="264"/>
      <c r="G149" s="265">
        <f>_xlfn.IFNA(VLOOKUP(B149, 현재가테이블!$B$2:$D$200, 2, FALSE), "-")</f>
        <v>40538000</v>
      </c>
      <c r="H149" s="266"/>
      <c r="I149" s="267"/>
      <c r="J149" s="262" t="s">
        <v>59</v>
      </c>
      <c r="K149" s="263"/>
      <c r="L149" s="264"/>
      <c r="M149" s="268">
        <f>_xlfn.IFNA(VLOOKUP(B149, 현재가테이블!$B$2:$D$200, 3, FALSE), "-")</f>
        <v>-3.68275993E-2</v>
      </c>
      <c r="N149" s="269"/>
      <c r="O149" s="270"/>
      <c r="Q149" s="261"/>
      <c r="R149" s="261"/>
      <c r="S149" s="261"/>
    </row>
    <row r="150" spans="1:19" ht="17.25" thickBot="1">
      <c r="A150" s="306" t="s">
        <v>55</v>
      </c>
      <c r="B150" s="302" t="str">
        <f>TEXT($G$1, "[$-ko-KR]yyyy-mm-dd(ddd) ") &amp; "오전 00:00"</f>
        <v>2021-06-12(토) 오전 00:00</v>
      </c>
      <c r="C150" s="303"/>
      <c r="D150" s="275" t="str">
        <f>TEXT($G$1, "[$-ko-KR]yyyy-mm-dd(ddd) ") &amp; "오후 14:00"</f>
        <v>2021-06-12(토) 오후 14:00</v>
      </c>
      <c r="E150" s="276"/>
      <c r="F150" s="277"/>
      <c r="G150" s="275" t="str">
        <f>TEXT($G$1, "[$-ko-KR]yyyy-mm-dd(ddd) ") &amp; "오후 19:00"</f>
        <v>2021-06-12(토) 오후 19:00</v>
      </c>
      <c r="H150" s="276"/>
      <c r="I150" s="277"/>
      <c r="J150" s="275" t="str">
        <f>TEXT($G$1, "[$-ko-KR]yyyy-mm-dd(ddd) ") &amp; "오후 21:00"</f>
        <v>2021-06-12(토) 오후 21:00</v>
      </c>
      <c r="K150" s="276"/>
      <c r="L150" s="277"/>
      <c r="M150" s="275" t="str">
        <f>TEXT($G$1+1, "[$-ko-KR]yyyy-mm-dd(ddd) ") &amp; "오전 00:00"</f>
        <v>2021-06-13(일) 오전 00:00</v>
      </c>
      <c r="N150" s="276"/>
      <c r="O150" s="277"/>
      <c r="Q150" s="261"/>
      <c r="R150" s="261"/>
      <c r="S150" s="261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5" t="s">
        <v>58</v>
      </c>
      <c r="H151" s="206" t="s">
        <v>293</v>
      </c>
      <c r="I151" s="20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1"/>
      <c r="R151" s="251"/>
      <c r="S151" s="251"/>
    </row>
    <row r="152" spans="1:19" ht="17.25" thickBot="1">
      <c r="A152" s="161" t="s">
        <v>253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61"/>
      <c r="R152" s="261"/>
      <c r="S152" s="261"/>
    </row>
    <row r="153" spans="1:19" ht="17.25" thickBot="1">
      <c r="A153" s="162" t="s">
        <v>275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61"/>
      <c r="R153" s="261"/>
      <c r="S153" s="261"/>
    </row>
    <row r="154" spans="1:19" ht="17.25" thickBot="1">
      <c r="A154" s="162" t="s">
        <v>201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51"/>
      <c r="R154" s="251"/>
      <c r="S154" s="251"/>
    </row>
    <row r="155" spans="1:19" ht="17.25" thickBot="1">
      <c r="A155" s="162" t="s">
        <v>279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51"/>
      <c r="R155" s="251"/>
      <c r="S155" s="251"/>
    </row>
    <row r="156" spans="1:19" ht="17.25" thickBot="1">
      <c r="A156" s="163" t="s">
        <v>229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51"/>
      <c r="R156" s="251"/>
      <c r="S156" s="251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51"/>
      <c r="R157" s="251"/>
      <c r="S157" s="251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51"/>
      <c r="R158" s="251"/>
      <c r="S158" s="251"/>
    </row>
    <row r="159" spans="1:19" ht="17.25" thickBot="1">
      <c r="A159" s="162" t="s">
        <v>214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51"/>
      <c r="R159" s="251"/>
      <c r="S159" s="251"/>
    </row>
    <row r="160" spans="1:19" ht="17.25" thickBot="1">
      <c r="A160" s="162" t="s">
        <v>223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236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52"/>
      <c r="R161" s="253"/>
      <c r="S161" s="254"/>
    </row>
    <row r="162" spans="1:19">
      <c r="A162" s="161" t="s">
        <v>199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55"/>
      <c r="R162" s="256"/>
      <c r="S162" s="257"/>
    </row>
    <row r="163" spans="1:19" ht="17.25" thickBot="1">
      <c r="A163" s="162" t="s">
        <v>242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258"/>
      <c r="R163" s="259"/>
      <c r="S163" s="260"/>
    </row>
    <row r="164" spans="1:19" ht="17.25" thickBot="1">
      <c r="A164" s="162" t="s">
        <v>208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51"/>
      <c r="R164" s="251"/>
      <c r="S164" s="251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61"/>
      <c r="R165" s="261"/>
      <c r="S165" s="261"/>
    </row>
    <row r="166" spans="1:19" ht="17.25" thickBot="1">
      <c r="A166" s="163" t="s">
        <v>173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61"/>
      <c r="R166" s="261"/>
      <c r="S166" s="261"/>
    </row>
    <row r="167" spans="1:19" ht="17.25" thickBot="1">
      <c r="A167" s="162" t="s">
        <v>234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51"/>
      <c r="R167" s="251"/>
      <c r="S167" s="251"/>
    </row>
    <row r="168" spans="1:19" ht="17.25" thickBot="1">
      <c r="A168" s="162" t="s">
        <v>161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51"/>
      <c r="R168" s="251"/>
      <c r="S168" s="251"/>
    </row>
    <row r="169" spans="1:19" ht="17.25" thickBot="1">
      <c r="A169" s="162" t="s">
        <v>231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51"/>
      <c r="R169" s="251"/>
      <c r="S169" s="251"/>
    </row>
    <row r="170" spans="1:19">
      <c r="A170" s="162" t="s">
        <v>206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240"/>
      <c r="R170" s="241"/>
      <c r="S170" s="242"/>
    </row>
    <row r="171" spans="1:19" ht="17.25" thickBot="1">
      <c r="A171" s="130" t="s">
        <v>248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243"/>
      <c r="R171" s="244"/>
      <c r="S171" s="245"/>
    </row>
    <row r="172" spans="1:19" ht="17.25" thickBot="1">
      <c r="A172" s="132" t="s">
        <v>295</v>
      </c>
      <c r="B172" s="304">
        <f>$B$37</f>
        <v>100000</v>
      </c>
      <c r="C172" s="305"/>
      <c r="D172" s="26" t="s">
        <v>296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296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296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296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246"/>
      <c r="R172" s="247"/>
      <c r="S172" s="248"/>
    </row>
    <row r="174" spans="1:19" ht="17.25" thickBot="1"/>
    <row r="175" spans="1:19" ht="17.25" thickBot="1">
      <c r="A175" s="262" t="s">
        <v>280</v>
      </c>
      <c r="B175" s="263"/>
      <c r="C175" s="263"/>
      <c r="D175" s="263"/>
      <c r="E175" s="263"/>
      <c r="F175" s="263"/>
      <c r="G175" s="263"/>
      <c r="H175" s="263"/>
      <c r="I175" s="263"/>
      <c r="J175" s="263"/>
      <c r="K175" s="263"/>
      <c r="L175" s="263"/>
      <c r="M175" s="263"/>
      <c r="N175" s="263"/>
      <c r="O175" s="264"/>
      <c r="Q175" s="261"/>
      <c r="R175" s="261"/>
      <c r="S175" s="261"/>
    </row>
    <row r="176" spans="1:19" ht="17.25" thickBot="1">
      <c r="A176" s="204" t="s">
        <v>292</v>
      </c>
      <c r="B176" s="262" t="s">
        <v>49</v>
      </c>
      <c r="C176" s="264"/>
      <c r="D176" s="262" t="s">
        <v>58</v>
      </c>
      <c r="E176" s="263"/>
      <c r="F176" s="264"/>
      <c r="G176" s="265">
        <f>_xlfn.IFNA(VLOOKUP(B176, 현재가테이블!$B$2:$D$200, 2, FALSE), "-")</f>
        <v>40538000</v>
      </c>
      <c r="H176" s="266"/>
      <c r="I176" s="267"/>
      <c r="J176" s="262" t="s">
        <v>59</v>
      </c>
      <c r="K176" s="263"/>
      <c r="L176" s="264"/>
      <c r="M176" s="268">
        <f>_xlfn.IFNA(VLOOKUP(B176, 현재가테이블!$B$2:$D$200, 3, FALSE), "-")</f>
        <v>-3.68275993E-2</v>
      </c>
      <c r="N176" s="269"/>
      <c r="O176" s="270"/>
      <c r="Q176" s="261"/>
      <c r="R176" s="261"/>
      <c r="S176" s="261"/>
    </row>
    <row r="177" spans="1:19" ht="17.25" thickBot="1">
      <c r="A177" s="306" t="s">
        <v>55</v>
      </c>
      <c r="B177" s="302" t="str">
        <f>TEXT($G$1, "[$-ko-KR]yyyy-mm-dd(ddd) ") &amp; "오전 00:00"</f>
        <v>2021-06-12(토) 오전 00:00</v>
      </c>
      <c r="C177" s="303"/>
      <c r="D177" s="275" t="str">
        <f>TEXT($G$1, "[$-ko-KR]yyyy-mm-dd(ddd) ") &amp; "오후 14:00"</f>
        <v>2021-06-12(토) 오후 14:00</v>
      </c>
      <c r="E177" s="276"/>
      <c r="F177" s="277"/>
      <c r="G177" s="275" t="str">
        <f>TEXT($G$1, "[$-ko-KR]yyyy-mm-dd(ddd) ") &amp; "오후 19:00"</f>
        <v>2021-06-12(토) 오후 19:00</v>
      </c>
      <c r="H177" s="276"/>
      <c r="I177" s="277"/>
      <c r="J177" s="275" t="str">
        <f>TEXT($G$1, "[$-ko-KR]yyyy-mm-dd(ddd) ") &amp; "오후 21:00"</f>
        <v>2021-06-12(토) 오후 21:00</v>
      </c>
      <c r="K177" s="276"/>
      <c r="L177" s="277"/>
      <c r="M177" s="275" t="str">
        <f>TEXT($G$1+1, "[$-ko-KR]yyyy-mm-dd(ddd) ") &amp; "오전 00:00"</f>
        <v>2021-06-13(일) 오전 00:00</v>
      </c>
      <c r="N177" s="276"/>
      <c r="O177" s="277"/>
      <c r="Q177" s="261"/>
      <c r="R177" s="261"/>
      <c r="S177" s="261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5" t="s">
        <v>58</v>
      </c>
      <c r="H178" s="206" t="s">
        <v>293</v>
      </c>
      <c r="I178" s="20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1"/>
      <c r="R178" s="251"/>
      <c r="S178" s="251"/>
    </row>
    <row r="179" spans="1:19" ht="17.25" thickBot="1">
      <c r="A179" s="161" t="s">
        <v>219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61"/>
      <c r="R179" s="261"/>
      <c r="S179" s="261"/>
    </row>
    <row r="180" spans="1:19" ht="17.25" thickBot="1">
      <c r="A180" s="162" t="s">
        <v>242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61"/>
      <c r="R180" s="261"/>
      <c r="S180" s="261"/>
    </row>
    <row r="181" spans="1:19" ht="17.25" thickBot="1">
      <c r="A181" s="162" t="s">
        <v>189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51"/>
      <c r="R181" s="251"/>
      <c r="S181" s="251"/>
    </row>
    <row r="182" spans="1:19" ht="17.25" thickBot="1">
      <c r="A182" s="162" t="s">
        <v>208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51"/>
      <c r="R182" s="251"/>
      <c r="S182" s="251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51"/>
      <c r="R183" s="251"/>
      <c r="S183" s="251"/>
    </row>
    <row r="184" spans="1:19" ht="17.25" thickBot="1">
      <c r="A184" s="162" t="s">
        <v>244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51"/>
      <c r="R184" s="251"/>
      <c r="S184" s="251"/>
    </row>
    <row r="185" spans="1:19" ht="17.25" thickBot="1">
      <c r="A185" s="162" t="s">
        <v>173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51"/>
      <c r="R185" s="251"/>
      <c r="S185" s="251"/>
    </row>
    <row r="186" spans="1:19" ht="17.25" thickBot="1">
      <c r="A186" s="162" t="s">
        <v>263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51"/>
      <c r="R186" s="251"/>
      <c r="S186" s="251"/>
    </row>
    <row r="187" spans="1:19" ht="17.25" thickBot="1">
      <c r="A187" s="162" t="s">
        <v>234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277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52"/>
      <c r="R188" s="253"/>
      <c r="S188" s="254"/>
    </row>
    <row r="189" spans="1:19">
      <c r="A189" s="161" t="s">
        <v>161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55"/>
      <c r="R189" s="256"/>
      <c r="S189" s="257"/>
    </row>
    <row r="190" spans="1:19" ht="17.25" thickBot="1">
      <c r="A190" s="162" t="s">
        <v>246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258"/>
      <c r="R190" s="259"/>
      <c r="S190" s="260"/>
    </row>
    <row r="191" spans="1:19" ht="17.25" thickBot="1">
      <c r="A191" s="162" t="s">
        <v>231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51"/>
      <c r="R191" s="251"/>
      <c r="S191" s="251"/>
    </row>
    <row r="192" spans="1:19" ht="17.25" thickBot="1">
      <c r="A192" s="162" t="s">
        <v>206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61"/>
      <c r="R192" s="261"/>
      <c r="S192" s="261"/>
    </row>
    <row r="193" spans="1:19" ht="17.25" thickBot="1">
      <c r="A193" s="163" t="s">
        <v>233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61"/>
      <c r="R193" s="261"/>
      <c r="S193" s="261"/>
    </row>
    <row r="194" spans="1:19" ht="17.25" thickBot="1">
      <c r="A194" s="162" t="s">
        <v>248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51"/>
      <c r="R194" s="251"/>
      <c r="S194" s="251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51"/>
      <c r="R195" s="251"/>
      <c r="S195" s="251"/>
    </row>
    <row r="196" spans="1:19" ht="17.25" thickBot="1">
      <c r="A196" s="162" t="s">
        <v>215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51"/>
      <c r="R196" s="251"/>
      <c r="S196" s="251"/>
    </row>
    <row r="197" spans="1:19">
      <c r="A197" s="162" t="s">
        <v>171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240"/>
      <c r="R197" s="241"/>
      <c r="S197" s="242"/>
    </row>
    <row r="198" spans="1:19" ht="17.25" thickBot="1">
      <c r="A198" s="130" t="s">
        <v>249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243"/>
      <c r="R198" s="244"/>
      <c r="S198" s="245"/>
    </row>
    <row r="199" spans="1:19" ht="17.25" thickBot="1">
      <c r="A199" s="132" t="s">
        <v>295</v>
      </c>
      <c r="B199" s="304">
        <f>$B$37</f>
        <v>100000</v>
      </c>
      <c r="C199" s="305"/>
      <c r="D199" s="26" t="s">
        <v>296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296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296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296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246"/>
      <c r="R199" s="247"/>
      <c r="S199" s="24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opLeftCell="A90" zoomScaleNormal="100" workbookViewId="0">
      <selection activeCell="A103" sqref="A103:D11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2" t="s">
        <v>0</v>
      </c>
      <c r="B1" s="263"/>
      <c r="C1" s="263"/>
      <c r="D1" s="263"/>
      <c r="E1" s="263"/>
      <c r="F1" s="264"/>
      <c r="G1" s="293">
        <v>44360</v>
      </c>
      <c r="H1" s="294"/>
      <c r="I1" s="295"/>
      <c r="J1" s="262" t="s">
        <v>1</v>
      </c>
      <c r="K1" s="263"/>
      <c r="L1" s="263"/>
      <c r="M1" s="263"/>
      <c r="N1" s="263"/>
      <c r="O1" s="264"/>
      <c r="Q1" s="262" t="s">
        <v>2</v>
      </c>
      <c r="R1" s="264"/>
    </row>
    <row r="2" spans="1:19" ht="17.25" customHeight="1">
      <c r="A2" s="117" t="s">
        <v>3</v>
      </c>
      <c r="B2" s="296" t="s">
        <v>8</v>
      </c>
      <c r="C2" s="297"/>
      <c r="D2" s="297"/>
      <c r="E2" s="297"/>
      <c r="F2" s="298"/>
      <c r="G2" s="290" t="s">
        <v>46</v>
      </c>
      <c r="H2" s="291"/>
      <c r="I2" s="292"/>
      <c r="J2" s="1" t="s">
        <v>3</v>
      </c>
      <c r="K2" s="296" t="s">
        <v>345</v>
      </c>
      <c r="L2" s="297"/>
      <c r="M2" s="297"/>
      <c r="N2" s="297"/>
      <c r="O2" s="298"/>
      <c r="Q2" s="2" t="s">
        <v>6</v>
      </c>
      <c r="R2" s="3">
        <v>0.375</v>
      </c>
    </row>
    <row r="3" spans="1:19" ht="17.25" customHeight="1" thickBot="1">
      <c r="A3" s="118" t="s">
        <v>7</v>
      </c>
      <c r="B3" s="287" t="s">
        <v>353</v>
      </c>
      <c r="C3" s="288"/>
      <c r="D3" s="288"/>
      <c r="E3" s="288"/>
      <c r="F3" s="289"/>
      <c r="G3" s="28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-78,167 KRW (-3.91%)</v>
      </c>
      <c r="H3" s="284"/>
      <c r="I3" s="285"/>
      <c r="J3" s="4" t="s">
        <v>7</v>
      </c>
      <c r="K3" s="287" t="s">
        <v>346</v>
      </c>
      <c r="L3" s="288"/>
      <c r="M3" s="288"/>
      <c r="N3" s="288"/>
      <c r="O3" s="28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7" t="s">
        <v>16</v>
      </c>
      <c r="C4" s="288"/>
      <c r="D4" s="288"/>
      <c r="E4" s="288"/>
      <c r="F4" s="289"/>
      <c r="G4" s="290" t="s">
        <v>44</v>
      </c>
      <c r="H4" s="291"/>
      <c r="I4" s="292"/>
      <c r="J4" s="4" t="s">
        <v>11</v>
      </c>
      <c r="K4" s="287" t="s">
        <v>347</v>
      </c>
      <c r="L4" s="288"/>
      <c r="M4" s="288"/>
      <c r="N4" s="288"/>
      <c r="O4" s="28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7" t="s">
        <v>344</v>
      </c>
      <c r="C5" s="288"/>
      <c r="D5" s="288"/>
      <c r="E5" s="288"/>
      <c r="F5" s="289"/>
      <c r="G5" s="28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-89,900 KRW (-4.49%)</v>
      </c>
      <c r="H5" s="284"/>
      <c r="I5" s="285"/>
      <c r="J5" s="4" t="s">
        <v>15</v>
      </c>
      <c r="K5" s="287" t="s">
        <v>348</v>
      </c>
      <c r="L5" s="288"/>
      <c r="M5" s="288"/>
      <c r="N5" s="288"/>
      <c r="O5" s="289"/>
    </row>
    <row r="6" spans="1:19">
      <c r="A6" s="118" t="s">
        <v>18</v>
      </c>
      <c r="B6" s="287"/>
      <c r="C6" s="288"/>
      <c r="D6" s="288"/>
      <c r="E6" s="288"/>
      <c r="F6" s="289"/>
      <c r="G6" s="290" t="s">
        <v>45</v>
      </c>
      <c r="H6" s="291"/>
      <c r="I6" s="292"/>
      <c r="J6" s="4" t="s">
        <v>18</v>
      </c>
      <c r="K6" s="287" t="s">
        <v>349</v>
      </c>
      <c r="L6" s="288"/>
      <c r="M6" s="288"/>
      <c r="N6" s="288"/>
      <c r="O6" s="289"/>
    </row>
    <row r="7" spans="1:19" ht="17.25" thickBot="1">
      <c r="A7" s="118" t="s">
        <v>21</v>
      </c>
      <c r="B7" s="287"/>
      <c r="C7" s="288"/>
      <c r="D7" s="288"/>
      <c r="E7" s="288"/>
      <c r="F7" s="289"/>
      <c r="G7" s="28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-8,766 KRW (-0.44%)</v>
      </c>
      <c r="H7" s="284"/>
      <c r="I7" s="285"/>
      <c r="J7" s="4" t="s">
        <v>21</v>
      </c>
      <c r="K7" s="287" t="s">
        <v>350</v>
      </c>
      <c r="L7" s="288"/>
      <c r="M7" s="288"/>
      <c r="N7" s="288"/>
      <c r="O7" s="289"/>
    </row>
    <row r="8" spans="1:19" ht="17.25" thickBot="1">
      <c r="A8" s="118" t="s">
        <v>24</v>
      </c>
      <c r="B8" s="287"/>
      <c r="C8" s="288"/>
      <c r="D8" s="288"/>
      <c r="E8" s="288"/>
      <c r="F8" s="289"/>
      <c r="G8" s="290" t="s">
        <v>280</v>
      </c>
      <c r="H8" s="291"/>
      <c r="I8" s="292"/>
      <c r="J8" s="4" t="s">
        <v>24</v>
      </c>
      <c r="K8" s="287"/>
      <c r="L8" s="288"/>
      <c r="M8" s="288"/>
      <c r="N8" s="288"/>
      <c r="O8" s="289"/>
      <c r="Q8" s="262" t="s">
        <v>27</v>
      </c>
      <c r="R8" s="264"/>
    </row>
    <row r="9" spans="1:19" ht="17.25" thickBot="1">
      <c r="A9" s="118" t="s">
        <v>28</v>
      </c>
      <c r="B9" s="287"/>
      <c r="C9" s="288"/>
      <c r="D9" s="288"/>
      <c r="E9" s="288"/>
      <c r="F9" s="289"/>
      <c r="G9" s="28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-256,048 KRW (-12.80%)</v>
      </c>
      <c r="H9" s="284"/>
      <c r="I9" s="285"/>
      <c r="J9" s="4" t="s">
        <v>28</v>
      </c>
      <c r="K9" s="287"/>
      <c r="L9" s="288"/>
      <c r="M9" s="288"/>
      <c r="N9" s="288"/>
      <c r="O9" s="289"/>
      <c r="Q9" s="2" t="s">
        <v>29</v>
      </c>
      <c r="R9" s="6">
        <v>10</v>
      </c>
    </row>
    <row r="10" spans="1:19">
      <c r="A10" s="118" t="s">
        <v>30</v>
      </c>
      <c r="B10" s="287"/>
      <c r="C10" s="288"/>
      <c r="D10" s="288"/>
      <c r="E10" s="288"/>
      <c r="F10" s="289"/>
      <c r="G10" s="290" t="s">
        <v>47</v>
      </c>
      <c r="H10" s="291"/>
      <c r="I10" s="292"/>
      <c r="J10" s="4" t="s">
        <v>30</v>
      </c>
      <c r="K10" s="287" t="s">
        <v>351</v>
      </c>
      <c r="L10" s="288"/>
      <c r="M10" s="288"/>
      <c r="N10" s="288"/>
      <c r="O10" s="289"/>
      <c r="Q10" s="2" t="s">
        <v>31</v>
      </c>
      <c r="R10" s="6">
        <v>100</v>
      </c>
    </row>
    <row r="11" spans="1:19" ht="17.25" thickBot="1">
      <c r="A11" s="119" t="s">
        <v>32</v>
      </c>
      <c r="B11" s="280" t="s">
        <v>352</v>
      </c>
      <c r="C11" s="281"/>
      <c r="D11" s="281"/>
      <c r="E11" s="281"/>
      <c r="F11" s="282"/>
      <c r="G11" s="28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-9,840 KRW (-1.97%)</v>
      </c>
      <c r="H11" s="284"/>
      <c r="I11" s="285"/>
      <c r="J11" s="7" t="s">
        <v>32</v>
      </c>
      <c r="K11" s="280" t="s">
        <v>343</v>
      </c>
      <c r="L11" s="281"/>
      <c r="M11" s="281"/>
      <c r="N11" s="281"/>
      <c r="O11" s="282"/>
      <c r="Q11" s="65" t="s">
        <v>33</v>
      </c>
      <c r="R11" s="8">
        <v>1000</v>
      </c>
    </row>
    <row r="12" spans="1:19" ht="17.25" thickBot="1"/>
    <row r="13" spans="1:19" ht="17.25" customHeight="1" thickBot="1">
      <c r="A13" s="262" t="s">
        <v>34</v>
      </c>
      <c r="B13" s="263"/>
      <c r="C13" s="263"/>
      <c r="D13" s="263"/>
      <c r="E13" s="263"/>
      <c r="F13" s="263"/>
      <c r="G13" s="263"/>
      <c r="H13" s="263"/>
      <c r="I13" s="263"/>
      <c r="J13" s="263"/>
      <c r="K13" s="263"/>
      <c r="L13" s="263"/>
      <c r="M13" s="263"/>
      <c r="N13" s="263"/>
      <c r="O13" s="264"/>
      <c r="Q13" s="261"/>
      <c r="R13" s="261"/>
      <c r="S13" s="261"/>
    </row>
    <row r="14" spans="1:19" ht="17.25" customHeight="1" thickBot="1">
      <c r="A14" s="208" t="s">
        <v>35</v>
      </c>
      <c r="B14" s="262" t="s">
        <v>36</v>
      </c>
      <c r="C14" s="264"/>
      <c r="D14" s="262" t="s">
        <v>37</v>
      </c>
      <c r="E14" s="263"/>
      <c r="F14" s="264"/>
      <c r="G14" s="265">
        <f>_xlfn.IFNA(VLOOKUP(B14, 현재가테이블!$B$2:$D$200, 2, FALSE), "-")</f>
        <v>40538000</v>
      </c>
      <c r="H14" s="266"/>
      <c r="I14" s="267"/>
      <c r="J14" s="262" t="s">
        <v>38</v>
      </c>
      <c r="K14" s="263"/>
      <c r="L14" s="264"/>
      <c r="M14" s="268">
        <f>_xlfn.IFNA(VLOOKUP(B14, 현재가테이블!$B$2:$D$200, 3, FALSE), "-")</f>
        <v>-3.68275993E-2</v>
      </c>
      <c r="N14" s="269"/>
      <c r="O14" s="270"/>
      <c r="Q14" s="261"/>
      <c r="R14" s="261"/>
      <c r="S14" s="261"/>
    </row>
    <row r="15" spans="1:19" ht="17.25" customHeight="1" thickBot="1">
      <c r="A15" s="299" t="s">
        <v>39</v>
      </c>
      <c r="B15" s="300" t="str">
        <f>TEXT($G$1, "[$-ko-KR]yyyy-mm-dd(ddd) ") &amp; "오전 00:00"</f>
        <v>2021-06-13(일) 오전 00:00</v>
      </c>
      <c r="C15" s="301"/>
      <c r="D15" s="275" t="str">
        <f>TEXT($G$1, "[$-ko-KR]yyyy-mm-dd(ddd) ") &amp; "오후 14:00"</f>
        <v>2021-06-13(일) 오후 14:00</v>
      </c>
      <c r="E15" s="276"/>
      <c r="F15" s="277"/>
      <c r="G15" s="275" t="str">
        <f>TEXT($G$1, "[$-ko-KR]yyyy-mm-dd(ddd) ") &amp; "오후 19:00"</f>
        <v>2021-06-13(일) 오후 19:00</v>
      </c>
      <c r="H15" s="276"/>
      <c r="I15" s="277"/>
      <c r="J15" s="275" t="str">
        <f>TEXT($G$1, "[$-ko-KR]yyyy-mm-dd(ddd) ") &amp; "오후 21:00"</f>
        <v>2021-06-13(일) 오후 21:00</v>
      </c>
      <c r="K15" s="276"/>
      <c r="L15" s="277"/>
      <c r="M15" s="275" t="str">
        <f>TEXT($G$1+1, "[$-ko-KR]yyyy-mm-dd(ddd) ") &amp; "오전 00:00"</f>
        <v>2021-06-14(월) 오전 00:00</v>
      </c>
      <c r="N15" s="276"/>
      <c r="O15" s="277"/>
      <c r="Q15" s="261"/>
      <c r="R15" s="261"/>
      <c r="S15" s="261"/>
    </row>
    <row r="16" spans="1:19" ht="17.25" customHeight="1" thickBot="1">
      <c r="A16" s="29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>
        <f>IF(NOT(ISBLANK(_xlfn.IFNA(VLOOKUP($A17, $A$40:$O$199, 13, FALSE), ))), _xlfn.IFNA(VLOOKUP($A17, $A$40:$O$199, 13, FALSE), ), "")</f>
        <v>75.900000000000006</v>
      </c>
      <c r="N17" s="14">
        <f>IF(NOT(ISBLANK(_xlfn.IFNA(VLOOKUP($A17, $A$40:$O$199, 14, FALSE), ))), _xlfn.IFNA(VLOOKUP($A17, $A$40:$O$199, 14, FALSE), ), "")</f>
        <v>-2.316602316602313E-2</v>
      </c>
      <c r="O17" s="16">
        <f>IF(NOT(ISBLANK(_xlfn.IFNA(VLOOKUP($A17, $A$40:$O$199, 15, FALSE), ))), _xlfn.IFNA(VLOOKUP($A17, $A$40:$O$199, 15, FALSE), ), "")</f>
        <v>-2316.6023166023128</v>
      </c>
      <c r="Q17" s="261"/>
      <c r="R17" s="261"/>
      <c r="S17" s="26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>
        <f t="shared" ref="M18:M36" si="11">IF(NOT(ISBLANK(_xlfn.IFNA(VLOOKUP($A18, $A$40:$O$199, 13, FALSE), ))), _xlfn.IFNA(VLOOKUP($A18, $A$40:$O$199, 13, FALSE), ), "")</f>
        <v>50.7</v>
      </c>
      <c r="N18" s="32">
        <f t="shared" ref="N18:N36" si="12">IF(NOT(ISBLANK(_xlfn.IFNA(VLOOKUP($A18, $A$40:$O$199, 14, FALSE), ))), _xlfn.IFNA(VLOOKUP($A18, $A$40:$O$199, 14, FALSE), ), "")</f>
        <v>-4.8780487804877946E-2</v>
      </c>
      <c r="O18" s="18">
        <f t="shared" ref="O18:O36" si="13">IF(NOT(ISBLANK(_xlfn.IFNA(VLOOKUP($A18, $A$40:$O$199, 15, FALSE), ))), _xlfn.IFNA(VLOOKUP($A18, $A$40:$O$199, 15, FALSE), ), "")</f>
        <v>-4878.0487804877948</v>
      </c>
      <c r="Q18" s="261"/>
      <c r="R18" s="261"/>
      <c r="S18" s="261"/>
    </row>
    <row r="19" spans="1:19" ht="17.25" customHeight="1" thickBot="1">
      <c r="A19" s="162" t="s">
        <v>201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>
        <f t="shared" si="11"/>
        <v>81</v>
      </c>
      <c r="N19" s="32">
        <f t="shared" si="12"/>
        <v>-8.5778781038374663E-2</v>
      </c>
      <c r="O19" s="18">
        <f t="shared" si="13"/>
        <v>-8577.8781038374655</v>
      </c>
      <c r="Q19" s="251"/>
      <c r="R19" s="251"/>
      <c r="S19" s="251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>
        <f t="shared" si="11"/>
        <v>131</v>
      </c>
      <c r="N20" s="32">
        <f t="shared" si="12"/>
        <v>0</v>
      </c>
      <c r="O20" s="18">
        <f t="shared" si="13"/>
        <v>0</v>
      </c>
      <c r="Q20" s="251"/>
      <c r="R20" s="251"/>
      <c r="S20" s="251"/>
    </row>
    <row r="21" spans="1:19" ht="17.25" customHeight="1" thickBot="1">
      <c r="A21" s="163" t="s">
        <v>242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>
        <f t="shared" si="11"/>
        <v>250</v>
      </c>
      <c r="N21" s="21">
        <f t="shared" si="12"/>
        <v>5.9322033898305086E-2</v>
      </c>
      <c r="O21" s="22">
        <f t="shared" si="13"/>
        <v>5932.203389830509</v>
      </c>
      <c r="Q21" s="251"/>
      <c r="R21" s="251"/>
      <c r="S21" s="25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304">
        <v>100000</v>
      </c>
      <c r="C37" s="305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-1.968065162219413E-2</v>
      </c>
      <c r="O37" s="28">
        <f>SUM(O17:O36)</f>
        <v>-9840.3258110970637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262" t="s">
        <v>44</v>
      </c>
      <c r="B40" s="263"/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4"/>
      <c r="Q40" s="261"/>
      <c r="R40" s="261"/>
      <c r="S40" s="261"/>
    </row>
    <row r="41" spans="1:19" ht="17.25" customHeight="1" thickBot="1">
      <c r="A41" s="208" t="s">
        <v>292</v>
      </c>
      <c r="B41" s="262" t="s">
        <v>49</v>
      </c>
      <c r="C41" s="264"/>
      <c r="D41" s="262" t="s">
        <v>58</v>
      </c>
      <c r="E41" s="263"/>
      <c r="F41" s="264"/>
      <c r="G41" s="265">
        <f>_xlfn.IFNA(VLOOKUP(B41, 현재가테이블!$B$2:$D$200, 2, FALSE), "-")</f>
        <v>40538000</v>
      </c>
      <c r="H41" s="266"/>
      <c r="I41" s="267"/>
      <c r="J41" s="262" t="s">
        <v>59</v>
      </c>
      <c r="K41" s="263"/>
      <c r="L41" s="264"/>
      <c r="M41" s="268">
        <f>_xlfn.IFNA(VLOOKUP(B41, 현재가테이블!$B$2:$D$200, 3, FALSE), "-")</f>
        <v>-3.68275993E-2</v>
      </c>
      <c r="N41" s="269"/>
      <c r="O41" s="270"/>
      <c r="Q41" s="261"/>
      <c r="R41" s="261"/>
      <c r="S41" s="261"/>
    </row>
    <row r="42" spans="1:19" ht="17.25" customHeight="1" thickBot="1">
      <c r="A42" s="306" t="s">
        <v>55</v>
      </c>
      <c r="B42" s="302" t="str">
        <f>TEXT($G$1, "[$-ko-KR]yyyy-mm-dd(ddd) ") &amp; "오전 00:00"</f>
        <v>2021-06-13(일) 오전 00:00</v>
      </c>
      <c r="C42" s="303"/>
      <c r="D42" s="275" t="str">
        <f>TEXT($G$1, "[$-ko-KR]yyyy-mm-dd(ddd) ") &amp; "오후 14:00"</f>
        <v>2021-06-13(일) 오후 14:00</v>
      </c>
      <c r="E42" s="276"/>
      <c r="F42" s="277"/>
      <c r="G42" s="275" t="str">
        <f>TEXT($G$1, "[$-ko-KR]yyyy-mm-dd(ddd) ") &amp; "오후 19:00"</f>
        <v>2021-06-13(일) 오후 19:00</v>
      </c>
      <c r="H42" s="276"/>
      <c r="I42" s="277"/>
      <c r="J42" s="275" t="str">
        <f>TEXT($G$1, "[$-ko-KR]yyyy-mm-dd(ddd) ") &amp; "오후 21:00"</f>
        <v>2021-06-13(일) 오후 21:00</v>
      </c>
      <c r="K42" s="276"/>
      <c r="L42" s="277"/>
      <c r="M42" s="275" t="str">
        <f>TEXT($G$1+1, "[$-ko-KR]yyyy-mm-dd(ddd) ") &amp; "오전 00:00"</f>
        <v>2021-06-14(월) 오전 00:00</v>
      </c>
      <c r="N42" s="276"/>
      <c r="O42" s="277"/>
      <c r="Q42" s="261"/>
      <c r="R42" s="261"/>
      <c r="S42" s="261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9" t="s">
        <v>58</v>
      </c>
      <c r="H43" s="210" t="s">
        <v>293</v>
      </c>
      <c r="I43" s="21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1"/>
      <c r="R43" s="251"/>
      <c r="S43" s="251"/>
    </row>
    <row r="44" spans="1:19" ht="17.25" customHeight="1" thickBot="1">
      <c r="A44" s="161" t="s">
        <v>259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>
        <v>72</v>
      </c>
      <c r="N44" s="14">
        <f>IF(ISNUMBER(M44), (M44 - $B44) / $B44, "")</f>
        <v>-0.14081145584725535</v>
      </c>
      <c r="O44" s="16">
        <f>IF(ISNUMBER(M44), $B64 * N44, "")</f>
        <v>-14081.145584725535</v>
      </c>
      <c r="Q44" s="261"/>
      <c r="R44" s="261"/>
      <c r="S44" s="261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>
        <v>93.8</v>
      </c>
      <c r="N45" s="32">
        <f t="shared" ref="N45:N48" si="17">IF(ISNUMBER(M45), (M45 - $B45) / $B45, "")</f>
        <v>-3.8934426229508171E-2</v>
      </c>
      <c r="O45" s="18">
        <f>IF(ISNUMBER(M45), $B64 * N45, "")</f>
        <v>-3893.4426229508172</v>
      </c>
      <c r="Q45" s="261"/>
      <c r="R45" s="261"/>
      <c r="S45" s="261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>
        <v>78.599999999999994</v>
      </c>
      <c r="N46" s="32">
        <f t="shared" si="17"/>
        <v>-1.0075566750629865E-2</v>
      </c>
      <c r="O46" s="18">
        <f>IF(ISNUMBER(M46), $B64 * N46, "")</f>
        <v>-1007.5566750629865</v>
      </c>
      <c r="Q46" s="251"/>
      <c r="R46" s="251"/>
      <c r="S46" s="251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>
        <v>3.89</v>
      </c>
      <c r="N47" s="32">
        <f t="shared" si="17"/>
        <v>-1.0178117048346065E-2</v>
      </c>
      <c r="O47" s="18">
        <f>IF(ISNUMBER(M47), $B64 * N47, "")</f>
        <v>-1017.8117048346065</v>
      </c>
      <c r="Q47" s="251"/>
      <c r="R47" s="251"/>
      <c r="S47" s="251"/>
    </row>
    <row r="48" spans="1:19" ht="17.25" customHeight="1" thickBot="1">
      <c r="A48" s="163" t="s">
        <v>273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>
        <v>67.8</v>
      </c>
      <c r="N48" s="21">
        <f t="shared" si="17"/>
        <v>-1.8813314037626587E-2</v>
      </c>
      <c r="O48" s="22">
        <f>IF(ISNUMBER(M48), $B64 * N48, "")</f>
        <v>-1881.3314037626587</v>
      </c>
      <c r="Q48" s="251"/>
      <c r="R48" s="251"/>
      <c r="S48" s="251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>
        <v>30.7</v>
      </c>
      <c r="N49" s="107">
        <f>IF(ISNUMBER(M49), (M49 - $B49) / $B49, "")</f>
        <v>-1.9169329073482472E-2</v>
      </c>
      <c r="O49" s="108">
        <f>IF(ISNUMBER(M49), $B64 * N49, "")</f>
        <v>-1916.9329073482472</v>
      </c>
      <c r="Q49" s="251"/>
      <c r="R49" s="251"/>
      <c r="S49" s="251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>
        <v>17.3</v>
      </c>
      <c r="N50" s="32">
        <f t="shared" ref="N50:N53" si="21">IF(ISNUMBER(M50), (M50 - $B50) / $B50, "")</f>
        <v>5.8139534883721762E-3</v>
      </c>
      <c r="O50" s="18">
        <f>IF(ISNUMBER(M50), $B64 * N50, "")</f>
        <v>581.39534883721763</v>
      </c>
      <c r="Q50" s="251"/>
      <c r="R50" s="251"/>
      <c r="S50" s="251"/>
    </row>
    <row r="51" spans="1:19" ht="17.25" customHeight="1" thickBot="1">
      <c r="A51" s="162" t="s">
        <v>217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>
        <v>9.2799999999999994</v>
      </c>
      <c r="N51" s="32">
        <f t="shared" si="21"/>
        <v>-7.2000000000000064E-2</v>
      </c>
      <c r="O51" s="18">
        <f>IF(ISNUMBER(M51), $B64 * N51, "")</f>
        <v>-7200.0000000000064</v>
      </c>
      <c r="Q51" s="251"/>
      <c r="R51" s="251"/>
      <c r="S51" s="251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>
        <v>22.9</v>
      </c>
      <c r="N52" s="32">
        <f t="shared" si="21"/>
        <v>-5.3719008264462839E-2</v>
      </c>
      <c r="O52" s="18">
        <f>IF(ISNUMBER(M52), $B64 * N52, "")</f>
        <v>-5371.9008264462836</v>
      </c>
      <c r="Q52" s="33"/>
      <c r="R52" s="33"/>
    </row>
    <row r="53" spans="1:19" ht="17.25" customHeight="1" thickBot="1">
      <c r="A53" s="130" t="s">
        <v>255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>
        <v>53.8</v>
      </c>
      <c r="N53" s="25">
        <f t="shared" si="21"/>
        <v>-4.6099290780141869E-2</v>
      </c>
      <c r="O53" s="104">
        <f>IF(ISNUMBER(M53), $B64 * N53, "")</f>
        <v>-4609.9290780141873</v>
      </c>
      <c r="Q53" s="252"/>
      <c r="R53" s="253"/>
      <c r="S53" s="254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>
        <v>75.900000000000006</v>
      </c>
      <c r="N54" s="14">
        <f>IF(ISNUMBER(M54), (M54 - $B54) / $B54, "")</f>
        <v>-2.316602316602313E-2</v>
      </c>
      <c r="O54" s="16">
        <f>IF(ISNUMBER(M54), $B64 * N54, "")</f>
        <v>-2316.6023166023128</v>
      </c>
      <c r="Q54" s="255"/>
      <c r="R54" s="256"/>
      <c r="S54" s="257"/>
    </row>
    <row r="55" spans="1:19" ht="17.25" customHeight="1" thickBot="1">
      <c r="A55" s="162" t="s">
        <v>167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>
        <v>77.7</v>
      </c>
      <c r="N55" s="32">
        <f t="shared" ref="N55:N58" si="25">IF(ISNUMBER(M55), (M55 - $B55) / $B55, "")</f>
        <v>-3.8366336633663296E-2</v>
      </c>
      <c r="O55" s="18">
        <f>IF(ISNUMBER(M55), $B64 * N55, "")</f>
        <v>-3836.6336633663295</v>
      </c>
      <c r="Q55" s="258"/>
      <c r="R55" s="259"/>
      <c r="S55" s="260"/>
    </row>
    <row r="56" spans="1:19" ht="17.25" customHeight="1" thickBot="1">
      <c r="A56" s="162" t="s">
        <v>185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>
        <v>14</v>
      </c>
      <c r="N56" s="32">
        <f t="shared" si="25"/>
        <v>5.2631578947368363E-2</v>
      </c>
      <c r="O56" s="18">
        <f>IF(ISNUMBER(M56), $B64 * N56, "")</f>
        <v>5263.1578947368362</v>
      </c>
      <c r="Q56" s="251"/>
      <c r="R56" s="251"/>
      <c r="S56" s="251"/>
    </row>
    <row r="57" spans="1:19" ht="17.25" customHeight="1" thickBot="1">
      <c r="A57" s="162" t="s">
        <v>210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>
        <v>50.7</v>
      </c>
      <c r="N57" s="32">
        <f t="shared" si="25"/>
        <v>-4.8780487804877946E-2</v>
      </c>
      <c r="O57" s="18">
        <f>IF(ISNUMBER(M57), $B64 * N57, "")</f>
        <v>-4878.0487804877948</v>
      </c>
      <c r="Q57" s="261"/>
      <c r="R57" s="261"/>
      <c r="S57" s="261"/>
    </row>
    <row r="58" spans="1:19" ht="17.25" customHeight="1" thickBot="1">
      <c r="A58" s="163" t="s">
        <v>225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>
        <v>7.17</v>
      </c>
      <c r="N58" s="21">
        <f t="shared" si="25"/>
        <v>-7.7220077220077177E-2</v>
      </c>
      <c r="O58" s="22">
        <f>IF(ISNUMBER(M58), $B64 * N58, "")</f>
        <v>-7722.0077220077173</v>
      </c>
      <c r="Q58" s="261"/>
      <c r="R58" s="261"/>
      <c r="S58" s="261"/>
    </row>
    <row r="59" spans="1:19" ht="17.25" customHeight="1" thickBot="1">
      <c r="A59" s="162" t="s">
        <v>227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>
        <v>82.3</v>
      </c>
      <c r="N59" s="107">
        <f>IF(ISNUMBER(M59), (M59 - $B59) / $B59, "")</f>
        <v>-8.6570477247502747E-2</v>
      </c>
      <c r="O59" s="108">
        <f>IF(ISNUMBER(M59), $B64 * N59, "")</f>
        <v>-8657.0477247502749</v>
      </c>
      <c r="Q59" s="251"/>
      <c r="R59" s="251"/>
      <c r="S59" s="251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>
        <v>18</v>
      </c>
      <c r="N60" s="32">
        <f t="shared" ref="N60:N63" si="29">IF(ISNUMBER(M60), (M60 - $B60) / $B60, "")</f>
        <v>-5.5248618784531165E-3</v>
      </c>
      <c r="O60" s="18">
        <f>IF(ISNUMBER(M60), $B64 * N60, "")</f>
        <v>-552.48618784531163</v>
      </c>
      <c r="Q60" s="251"/>
      <c r="R60" s="251"/>
      <c r="S60" s="251"/>
    </row>
    <row r="61" spans="1:19" ht="17.25" customHeight="1" thickBot="1">
      <c r="A61" s="162" t="s">
        <v>201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>
        <v>81</v>
      </c>
      <c r="N61" s="32">
        <f t="shared" si="29"/>
        <v>-8.5778781038374663E-2</v>
      </c>
      <c r="O61" s="18">
        <f>IF(ISNUMBER(M61), $B64 * N61, "")</f>
        <v>-8577.8781038374655</v>
      </c>
      <c r="Q61" s="251"/>
      <c r="R61" s="251"/>
      <c r="S61" s="251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>
        <v>7.54</v>
      </c>
      <c r="N62" s="32">
        <f t="shared" si="29"/>
        <v>-0.11294117647058823</v>
      </c>
      <c r="O62" s="18">
        <f>IF(ISNUMBER(M62), $B64 * N62, "")</f>
        <v>-11294.117647058823</v>
      </c>
      <c r="Q62" s="240"/>
      <c r="R62" s="241"/>
      <c r="S62" s="242"/>
    </row>
    <row r="63" spans="1:19" ht="17.25" customHeight="1" thickBot="1">
      <c r="A63" s="130" t="s">
        <v>195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>
        <v>7.79</v>
      </c>
      <c r="N63" s="25">
        <f t="shared" si="29"/>
        <v>-6.9295101553165983E-2</v>
      </c>
      <c r="O63" s="104">
        <f>IF(ISNUMBER(M63), $B64 * N63, "")</f>
        <v>-6929.5101553165987</v>
      </c>
      <c r="Q63" s="243"/>
      <c r="R63" s="244"/>
      <c r="S63" s="245"/>
    </row>
    <row r="64" spans="1:19" ht="17.25" customHeight="1" thickBot="1">
      <c r="A64" s="132" t="s">
        <v>295</v>
      </c>
      <c r="B64" s="304">
        <f>$B$37</f>
        <v>100000</v>
      </c>
      <c r="C64" s="305"/>
      <c r="D64" s="26" t="s">
        <v>296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296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296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296</v>
      </c>
      <c r="N64" s="27">
        <f>IF(COUNT(N44:N63), SUM(N44:N63) / COUNT(N44:N63), 0)</f>
        <v>-4.4949914930421948E-2</v>
      </c>
      <c r="O64" s="28">
        <f>SUM(O44:O63)</f>
        <v>-89899.829860843907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262" t="s">
        <v>45</v>
      </c>
      <c r="B67" s="263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4"/>
      <c r="Q67" s="261"/>
      <c r="R67" s="261"/>
      <c r="S67" s="261"/>
    </row>
    <row r="68" spans="1:19" ht="17.25" thickBot="1">
      <c r="A68" s="208" t="s">
        <v>292</v>
      </c>
      <c r="B68" s="262" t="s">
        <v>49</v>
      </c>
      <c r="C68" s="264"/>
      <c r="D68" s="262" t="s">
        <v>58</v>
      </c>
      <c r="E68" s="263"/>
      <c r="F68" s="264"/>
      <c r="G68" s="265">
        <f>_xlfn.IFNA(VLOOKUP(B68, 현재가테이블!$B$2:$D$200, 2, FALSE), "-")</f>
        <v>40538000</v>
      </c>
      <c r="H68" s="266"/>
      <c r="I68" s="267"/>
      <c r="J68" s="262" t="s">
        <v>59</v>
      </c>
      <c r="K68" s="263"/>
      <c r="L68" s="264"/>
      <c r="M68" s="268">
        <f>_xlfn.IFNA(VLOOKUP(B68, 현재가테이블!$B$2:$D$200, 3, FALSE), "-")</f>
        <v>-3.68275993E-2</v>
      </c>
      <c r="N68" s="269"/>
      <c r="O68" s="270"/>
      <c r="Q68" s="261"/>
      <c r="R68" s="261"/>
      <c r="S68" s="261"/>
    </row>
    <row r="69" spans="1:19" ht="17.25" thickBot="1">
      <c r="A69" s="306" t="s">
        <v>55</v>
      </c>
      <c r="B69" s="302" t="str">
        <f>TEXT($G$1, "[$-ko-KR]yyyy-mm-dd(ddd) ") &amp; "오전 00:00"</f>
        <v>2021-06-13(일) 오전 00:00</v>
      </c>
      <c r="C69" s="303"/>
      <c r="D69" s="275" t="str">
        <f>TEXT($G$1, "[$-ko-KR]yyyy-mm-dd(ddd) ") &amp; "오후 14:00"</f>
        <v>2021-06-13(일) 오후 14:00</v>
      </c>
      <c r="E69" s="276"/>
      <c r="F69" s="277"/>
      <c r="G69" s="275" t="str">
        <f>TEXT($G$1, "[$-ko-KR]yyyy-mm-dd(ddd) ") &amp; "오후 19:00"</f>
        <v>2021-06-13(일) 오후 19:00</v>
      </c>
      <c r="H69" s="276"/>
      <c r="I69" s="277"/>
      <c r="J69" s="275" t="str">
        <f>TEXT($G$1, "[$-ko-KR]yyyy-mm-dd(ddd) ") &amp; "오후 21:00"</f>
        <v>2021-06-13(일) 오후 21:00</v>
      </c>
      <c r="K69" s="276"/>
      <c r="L69" s="277"/>
      <c r="M69" s="275" t="str">
        <f>TEXT($G$1+1, "[$-ko-KR]yyyy-mm-dd(ddd) ") &amp; "오전 00:00"</f>
        <v>2021-06-14(월) 오전 00:00</v>
      </c>
      <c r="N69" s="276"/>
      <c r="O69" s="277"/>
      <c r="Q69" s="261"/>
      <c r="R69" s="261"/>
      <c r="S69" s="261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9" t="s">
        <v>58</v>
      </c>
      <c r="H70" s="210" t="s">
        <v>293</v>
      </c>
      <c r="I70" s="21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1"/>
      <c r="R70" s="251"/>
      <c r="S70" s="251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>
        <v>368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61"/>
      <c r="R71" s="261"/>
      <c r="S71" s="261"/>
    </row>
    <row r="72" spans="1:19" ht="17.25" thickBot="1">
      <c r="A72" s="162" t="s">
        <v>275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>
        <v>785</v>
      </c>
      <c r="N72" s="32">
        <f t="shared" ref="N72:N75" si="33">IF(ISNUMBER(M72), (M72 - $B72) / $B72, "")</f>
        <v>-0.13067552602436322</v>
      </c>
      <c r="O72" s="18">
        <f>IF(ISNUMBER(M72), $B91 * N72, "")</f>
        <v>-13067.552602436323</v>
      </c>
      <c r="Q72" s="261"/>
      <c r="R72" s="261"/>
      <c r="S72" s="261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>
        <v>118</v>
      </c>
      <c r="N73" s="32">
        <f t="shared" si="33"/>
        <v>-2.4793388429752067E-2</v>
      </c>
      <c r="O73" s="18">
        <f>IF(ISNUMBER(M73), $B91 * N73, "")</f>
        <v>-2479.3388429752067</v>
      </c>
      <c r="Q73" s="251"/>
      <c r="R73" s="251"/>
      <c r="S73" s="251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>
        <v>965</v>
      </c>
      <c r="N74" s="32">
        <f t="shared" si="33"/>
        <v>-4.1279669762641896E-3</v>
      </c>
      <c r="O74" s="18">
        <f>IF(ISNUMBER(M74), $B91 * N74, "")</f>
        <v>-412.79669762641896</v>
      </c>
      <c r="Q74" s="251"/>
      <c r="R74" s="251"/>
      <c r="S74" s="251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>
        <v>589</v>
      </c>
      <c r="N75" s="21">
        <f t="shared" si="33"/>
        <v>0.1219047619047619</v>
      </c>
      <c r="O75" s="22">
        <f>IF(ISNUMBER(M75), $B91 * N75, "")</f>
        <v>12190.476190476191</v>
      </c>
      <c r="Q75" s="251"/>
      <c r="R75" s="251"/>
      <c r="S75" s="251"/>
    </row>
    <row r="76" spans="1:19" ht="17.25" thickBot="1">
      <c r="A76" s="162" t="s">
        <v>291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>
        <v>360</v>
      </c>
      <c r="N76" s="107">
        <f>IF(ISNUMBER(M76), (M76 - $B76) / $B76, "")</f>
        <v>-8.2644628099173556E-3</v>
      </c>
      <c r="O76" s="108">
        <f>IF(ISNUMBER(M76), $B91 * N76, "")</f>
        <v>-826.44628099173553</v>
      </c>
      <c r="Q76" s="251"/>
      <c r="R76" s="251"/>
      <c r="S76" s="251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>
        <v>708</v>
      </c>
      <c r="N77" s="32">
        <f t="shared" ref="N77:N80" si="37">IF(ISNUMBER(M77), (M77 - $B77) / $B77, "")</f>
        <v>-3.1463748290013679E-2</v>
      </c>
      <c r="O77" s="18">
        <f>IF(ISNUMBER(M77), $B91 * N77, "")</f>
        <v>-3146.3748290013677</v>
      </c>
      <c r="Q77" s="251"/>
      <c r="R77" s="251"/>
      <c r="S77" s="251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113</v>
      </c>
      <c r="N78" s="32">
        <f t="shared" si="37"/>
        <v>-1.7391304347826087E-2</v>
      </c>
      <c r="O78" s="18">
        <f>IF(ISNUMBER(M78), $B91 * N78, "")</f>
        <v>-1739.1304347826087</v>
      </c>
      <c r="Q78" s="251"/>
      <c r="R78" s="251"/>
      <c r="S78" s="251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>
        <v>290</v>
      </c>
      <c r="N79" s="32">
        <f t="shared" si="37"/>
        <v>-2.6845637583892617E-2</v>
      </c>
      <c r="O79" s="18">
        <f>IF(ISNUMBER(M79), $B91 * N79, "")</f>
        <v>-2684.5637583892617</v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>
        <v>311</v>
      </c>
      <c r="N80" s="25">
        <f t="shared" si="37"/>
        <v>-6.6066066066066062E-2</v>
      </c>
      <c r="O80" s="104">
        <f>IF(ISNUMBER(M80), $B91 * N80, "")</f>
        <v>-6606.606606606606</v>
      </c>
      <c r="Q80" s="252"/>
      <c r="R80" s="253"/>
      <c r="S80" s="254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>
        <v>182</v>
      </c>
      <c r="N81" s="14">
        <f>IF(ISNUMBER(M81), (M81 - $B81) / $B81, "")</f>
        <v>-1.0869565217391304E-2</v>
      </c>
      <c r="O81" s="16">
        <f>IF(ISNUMBER(M81), $B91 * N81, "")</f>
        <v>-1086.9565217391305</v>
      </c>
      <c r="Q81" s="255"/>
      <c r="R81" s="256"/>
      <c r="S81" s="257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>
        <v>755</v>
      </c>
      <c r="N82" s="32">
        <f t="shared" ref="N82:N85" si="41">IF(ISNUMBER(M82), (M82 - $B82) / $B82, "")</f>
        <v>-2.9562982005141389E-2</v>
      </c>
      <c r="O82" s="18">
        <f>IF(ISNUMBER(M82), $B91 * N82, "")</f>
        <v>-2956.2982005141389</v>
      </c>
      <c r="Q82" s="258"/>
      <c r="R82" s="259"/>
      <c r="S82" s="260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131</v>
      </c>
      <c r="N83" s="32">
        <f t="shared" si="41"/>
        <v>0</v>
      </c>
      <c r="O83" s="18">
        <f>IF(ISNUMBER(M83), $B91 * N83, "")</f>
        <v>0</v>
      </c>
      <c r="Q83" s="251"/>
      <c r="R83" s="251"/>
      <c r="S83" s="251"/>
    </row>
    <row r="84" spans="1:19" ht="17.25" thickBot="1">
      <c r="A84" s="162" t="s">
        <v>175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>
        <v>972</v>
      </c>
      <c r="N84" s="32">
        <f t="shared" si="41"/>
        <v>-9.1743119266055051E-3</v>
      </c>
      <c r="O84" s="18">
        <f>IF(ISNUMBER(M84), $B91 * N84, "")</f>
        <v>-917.43119266055055</v>
      </c>
      <c r="Q84" s="261"/>
      <c r="R84" s="261"/>
      <c r="S84" s="261"/>
    </row>
    <row r="85" spans="1:19" ht="17.25" thickBot="1">
      <c r="A85" s="163" t="s">
        <v>265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>
        <v>309</v>
      </c>
      <c r="N85" s="21">
        <f t="shared" si="41"/>
        <v>2.6578073089700997E-2</v>
      </c>
      <c r="O85" s="22">
        <f>IF(ISNUMBER(M85), $B91 * N85, "")</f>
        <v>2657.8073089700997</v>
      </c>
      <c r="Q85" s="261"/>
      <c r="R85" s="261"/>
      <c r="S85" s="261"/>
    </row>
    <row r="86" spans="1:19" ht="17.25" thickBot="1">
      <c r="A86" s="162" t="s">
        <v>279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>
        <v>185</v>
      </c>
      <c r="N86" s="107">
        <f>IF(ISNUMBER(M86), (M86 - $B86) / $B86, "")</f>
        <v>-6.0913705583756347E-2</v>
      </c>
      <c r="O86" s="108">
        <f>IF(ISNUMBER(M86), $B91 * N86, "")</f>
        <v>-6091.3705583756346</v>
      </c>
      <c r="Q86" s="251"/>
      <c r="R86" s="251"/>
      <c r="S86" s="251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>
        <v>211</v>
      </c>
      <c r="N87" s="32">
        <f t="shared" ref="N87:N90" si="45">IF(ISNUMBER(M87), (M87 - $B87) / $B87, "")</f>
        <v>-2.3148148148148147E-2</v>
      </c>
      <c r="O87" s="18">
        <f>IF(ISNUMBER(M87), $B91 * N87, "")</f>
        <v>-2314.8148148148148</v>
      </c>
      <c r="Q87" s="251"/>
      <c r="R87" s="251"/>
      <c r="S87" s="251"/>
    </row>
    <row r="88" spans="1:19" ht="17.25" thickBot="1">
      <c r="A88" s="162" t="s">
        <v>253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>
        <v>409</v>
      </c>
      <c r="N88" s="32">
        <f t="shared" si="45"/>
        <v>7.6315789473684212E-2</v>
      </c>
      <c r="O88" s="18">
        <f>IF(ISNUMBER(M88), $B91 * N88, "")</f>
        <v>7631.5789473684208</v>
      </c>
      <c r="Q88" s="251"/>
      <c r="R88" s="251"/>
      <c r="S88" s="251"/>
    </row>
    <row r="89" spans="1:19">
      <c r="A89" s="162" t="s">
        <v>214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>
        <v>250</v>
      </c>
      <c r="N89" s="32">
        <f t="shared" si="45"/>
        <v>8.2251082251082255E-2</v>
      </c>
      <c r="O89" s="18">
        <f>IF(ISNUMBER(M89), $B91 * N89, "")</f>
        <v>8225.1082251082262</v>
      </c>
      <c r="Q89" s="240"/>
      <c r="R89" s="241"/>
      <c r="S89" s="242"/>
    </row>
    <row r="90" spans="1:19" ht="17.25" thickBot="1">
      <c r="A90" s="130" t="s">
        <v>169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>
        <v>256</v>
      </c>
      <c r="N90" s="25">
        <f t="shared" si="45"/>
        <v>8.0168776371308023E-2</v>
      </c>
      <c r="O90" s="104">
        <f>IF(ISNUMBER(M90), $B91 * N90, "")</f>
        <v>8016.8776371308022</v>
      </c>
      <c r="Q90" s="243"/>
      <c r="R90" s="244"/>
      <c r="S90" s="245"/>
    </row>
    <row r="91" spans="1:19" ht="17.25" thickBot="1">
      <c r="A91" s="132" t="s">
        <v>295</v>
      </c>
      <c r="B91" s="304">
        <f>$B$37</f>
        <v>100000</v>
      </c>
      <c r="C91" s="305"/>
      <c r="D91" s="26" t="s">
        <v>296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296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296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296</v>
      </c>
      <c r="N91" s="27">
        <f>IF(COUNT(N71:N90), SUM(N71:N90) / COUNT(N71:N90), 0)</f>
        <v>-4.3828638843510801E-3</v>
      </c>
      <c r="O91" s="28">
        <f>SUM(O71:O90)</f>
        <v>-8765.7277687021669</v>
      </c>
      <c r="Q91" s="246"/>
      <c r="R91" s="247"/>
      <c r="S91" s="248"/>
    </row>
    <row r="93" spans="1:19" ht="17.25" thickBot="1"/>
    <row r="94" spans="1:19" ht="17.25" thickBot="1">
      <c r="A94" s="262" t="s">
        <v>46</v>
      </c>
      <c r="B94" s="263"/>
      <c r="C94" s="263"/>
      <c r="D94" s="263"/>
      <c r="E94" s="263"/>
      <c r="F94" s="263"/>
      <c r="G94" s="263"/>
      <c r="H94" s="263"/>
      <c r="I94" s="263"/>
      <c r="J94" s="263"/>
      <c r="K94" s="263"/>
      <c r="L94" s="263"/>
      <c r="M94" s="263"/>
      <c r="N94" s="263"/>
      <c r="O94" s="264"/>
      <c r="Q94" s="261"/>
      <c r="R94" s="261"/>
      <c r="S94" s="261"/>
    </row>
    <row r="95" spans="1:19" ht="17.25" thickBot="1">
      <c r="A95" s="208" t="s">
        <v>292</v>
      </c>
      <c r="B95" s="262" t="s">
        <v>49</v>
      </c>
      <c r="C95" s="264"/>
      <c r="D95" s="262" t="s">
        <v>58</v>
      </c>
      <c r="E95" s="263"/>
      <c r="F95" s="264"/>
      <c r="G95" s="265">
        <f>_xlfn.IFNA(VLOOKUP(B95, 현재가테이블!$B$2:$D$200, 2, FALSE), "-")</f>
        <v>40538000</v>
      </c>
      <c r="H95" s="266"/>
      <c r="I95" s="267"/>
      <c r="J95" s="262" t="s">
        <v>59</v>
      </c>
      <c r="K95" s="263"/>
      <c r="L95" s="264"/>
      <c r="M95" s="268">
        <f>_xlfn.IFNA(VLOOKUP(B95, 현재가테이블!$B$2:$D$200, 3, FALSE), "-")</f>
        <v>-3.68275993E-2</v>
      </c>
      <c r="N95" s="269"/>
      <c r="O95" s="270"/>
      <c r="Q95" s="261"/>
      <c r="R95" s="261"/>
      <c r="S95" s="261"/>
    </row>
    <row r="96" spans="1:19" ht="17.25" thickBot="1">
      <c r="A96" s="306" t="s">
        <v>55</v>
      </c>
      <c r="B96" s="302" t="str">
        <f>TEXT($G$1, "[$-ko-KR]yyyy-mm-dd(ddd) ") &amp; "오전 00:00"</f>
        <v>2021-06-13(일) 오전 00:00</v>
      </c>
      <c r="C96" s="303"/>
      <c r="D96" s="275" t="str">
        <f>TEXT($G$1, "[$-ko-KR]yyyy-mm-dd(ddd) ") &amp; "오후 14:00"</f>
        <v>2021-06-13(일) 오후 14:00</v>
      </c>
      <c r="E96" s="276"/>
      <c r="F96" s="277"/>
      <c r="G96" s="275" t="str">
        <f>TEXT($G$1, "[$-ko-KR]yyyy-mm-dd(ddd) ") &amp; "오후 19:00"</f>
        <v>2021-06-13(일) 오후 19:00</v>
      </c>
      <c r="H96" s="276"/>
      <c r="I96" s="277"/>
      <c r="J96" s="275" t="str">
        <f>TEXT($G$1, "[$-ko-KR]yyyy-mm-dd(ddd) ") &amp; "오후 21:00"</f>
        <v>2021-06-13(일) 오후 21:00</v>
      </c>
      <c r="K96" s="276"/>
      <c r="L96" s="277"/>
      <c r="M96" s="275" t="str">
        <f>TEXT($G$1+1, "[$-ko-KR]yyyy-mm-dd(ddd) ") &amp; "오전 00:00"</f>
        <v>2021-06-14(월) 오전 00:00</v>
      </c>
      <c r="N96" s="276"/>
      <c r="O96" s="277"/>
      <c r="Q96" s="261"/>
      <c r="R96" s="261"/>
      <c r="S96" s="261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9" t="s">
        <v>58</v>
      </c>
      <c r="H97" s="210" t="s">
        <v>293</v>
      </c>
      <c r="I97" s="21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1"/>
      <c r="R97" s="251"/>
      <c r="S97" s="251"/>
    </row>
    <row r="98" spans="1:19" ht="17.25" thickBot="1">
      <c r="A98" s="161" t="s">
        <v>259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>
        <v>72</v>
      </c>
      <c r="N98" s="14">
        <f>IF(ISNUMBER(M98), (M98 - $B98) / $B98, "")</f>
        <v>-0.14081145584725535</v>
      </c>
      <c r="O98" s="16">
        <f>IF(ISNUMBER(M98), $B118 * N98, "")</f>
        <v>-14081.145584725535</v>
      </c>
      <c r="Q98" s="261"/>
      <c r="R98" s="261"/>
      <c r="S98" s="261"/>
    </row>
    <row r="99" spans="1:19" ht="17.25" thickBot="1">
      <c r="A99" s="162" t="s">
        <v>163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>
        <v>16730</v>
      </c>
      <c r="N99" s="32">
        <f t="shared" ref="N99:N102" si="49">IF(ISNUMBER(M99), (M99 - $B99) / $B99, "")</f>
        <v>-3.9609644087256028E-2</v>
      </c>
      <c r="O99" s="18">
        <f>IF(ISNUMBER(M99), $B118 * N99, "")</f>
        <v>-3960.9644087256029</v>
      </c>
      <c r="Q99" s="261"/>
      <c r="R99" s="261"/>
      <c r="S99" s="261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>
        <v>4105</v>
      </c>
      <c r="N100" s="32">
        <f t="shared" si="49"/>
        <v>-3.5252643948296122E-2</v>
      </c>
      <c r="O100" s="18">
        <f>IF(ISNUMBER(M100), $B118 * N100, "")</f>
        <v>-3525.2643948296122</v>
      </c>
      <c r="Q100" s="251"/>
      <c r="R100" s="251"/>
      <c r="S100" s="251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>
        <v>368</v>
      </c>
      <c r="N101" s="32">
        <f t="shared" si="49"/>
        <v>-3.1578947368421054E-2</v>
      </c>
      <c r="O101" s="18">
        <f>IF(ISNUMBER(M101), $B118 * N101, "")</f>
        <v>-3157.8947368421054</v>
      </c>
      <c r="Q101" s="251"/>
      <c r="R101" s="251"/>
      <c r="S101" s="251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>
        <v>2732000</v>
      </c>
      <c r="N102" s="21">
        <f t="shared" si="49"/>
        <v>-2.6372059871703494E-2</v>
      </c>
      <c r="O102" s="22">
        <f>IF(ISNUMBER(M102), $B118 * N102, "")</f>
        <v>-2637.2059871703495</v>
      </c>
      <c r="Q102" s="251"/>
      <c r="R102" s="251"/>
      <c r="S102" s="251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>
        <v>93.8</v>
      </c>
      <c r="N103" s="107">
        <f>IF(ISNUMBER(M103), (M103 - $B103) / $B103, "")</f>
        <v>-3.8934426229508171E-2</v>
      </c>
      <c r="O103" s="108">
        <f>IF(ISNUMBER(M103), $B118 * N103, "")</f>
        <v>-3893.4426229508172</v>
      </c>
      <c r="Q103" s="251"/>
      <c r="R103" s="251"/>
      <c r="S103" s="251"/>
    </row>
    <row r="104" spans="1:19" ht="17.25" thickBot="1">
      <c r="A104" s="162" t="s">
        <v>183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>
        <v>1265</v>
      </c>
      <c r="N104" s="32">
        <f t="shared" ref="N104:N107" si="53">IF(ISNUMBER(M104), (M104 - $B104) / $B104, "")</f>
        <v>-5.5970149253731345E-2</v>
      </c>
      <c r="O104" s="18">
        <f>IF(ISNUMBER(M104), $B118 * N104, "")</f>
        <v>-5597.0149253731342</v>
      </c>
      <c r="Q104" s="251"/>
      <c r="R104" s="251"/>
      <c r="S104" s="251"/>
    </row>
    <row r="105" spans="1:19" ht="17.25" thickBot="1">
      <c r="A105" s="162" t="s">
        <v>275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>
        <v>785</v>
      </c>
      <c r="N105" s="32">
        <f t="shared" si="53"/>
        <v>-0.13067552602436322</v>
      </c>
      <c r="O105" s="18">
        <f>IF(ISNUMBER(M105), $B118 * N105, "")</f>
        <v>-13067.552602436323</v>
      </c>
      <c r="Q105" s="251"/>
      <c r="R105" s="251"/>
      <c r="S105" s="251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>
        <v>1650</v>
      </c>
      <c r="N106" s="32">
        <f t="shared" si="53"/>
        <v>-2.9411764705882353E-2</v>
      </c>
      <c r="O106" s="18">
        <f>IF(ISNUMBER(M106), $B118 * N106, "")</f>
        <v>-2941.1764705882351</v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>
        <v>24050</v>
      </c>
      <c r="N107" s="25">
        <f t="shared" si="53"/>
        <v>-4.9782694587119716E-2</v>
      </c>
      <c r="O107" s="104">
        <f>IF(ISNUMBER(M107), $B118 * N107, "")</f>
        <v>-4978.2694587119713</v>
      </c>
      <c r="Q107" s="252"/>
      <c r="R107" s="253"/>
      <c r="S107" s="254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>
        <v>950</v>
      </c>
      <c r="N108" s="14">
        <f>IF(ISNUMBER(M108), (M108 - $B108) / $B108, "")</f>
        <v>-6.8627450980392163E-2</v>
      </c>
      <c r="O108" s="16">
        <f>IF(ISNUMBER(M108), $B118 * N108, "")</f>
        <v>-6862.7450980392159</v>
      </c>
      <c r="Q108" s="255"/>
      <c r="R108" s="256"/>
      <c r="S108" s="257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>
        <v>3515</v>
      </c>
      <c r="N109" s="32">
        <f t="shared" ref="N109:N112" si="57">IF(ISNUMBER(M109), (M109 - $B109) / $B109, "")</f>
        <v>-4.2234332425068119E-2</v>
      </c>
      <c r="O109" s="18">
        <f>IF(ISNUMBER(M109), $B118 * N109, "")</f>
        <v>-4223.4332425068123</v>
      </c>
      <c r="Q109" s="258"/>
      <c r="R109" s="259"/>
      <c r="S109" s="260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>
        <v>661000</v>
      </c>
      <c r="N110" s="32">
        <f t="shared" si="57"/>
        <v>-1.5196662693682956E-2</v>
      </c>
      <c r="O110" s="18">
        <f>IF(ISNUMBER(M110), $B118 * N110, "")</f>
        <v>-1519.6662693682956</v>
      </c>
      <c r="Q110" s="251"/>
      <c r="R110" s="251"/>
      <c r="S110" s="251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>
        <v>186250</v>
      </c>
      <c r="N111" s="32">
        <f t="shared" si="57"/>
        <v>-1.1936339522546418E-2</v>
      </c>
      <c r="O111" s="18">
        <f>IF(ISNUMBER(M111), $B118 * N111, "")</f>
        <v>-1193.6339522546418</v>
      </c>
      <c r="Q111" s="261"/>
      <c r="R111" s="261"/>
      <c r="S111" s="261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>
        <v>9475</v>
      </c>
      <c r="N112" s="21">
        <f t="shared" si="57"/>
        <v>3.3824331696672122E-2</v>
      </c>
      <c r="O112" s="22">
        <f>IF(ISNUMBER(M112), $B118 * N112, "")</f>
        <v>3382.433169667212</v>
      </c>
      <c r="Q112" s="261"/>
      <c r="R112" s="261"/>
      <c r="S112" s="261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>
        <v>23440</v>
      </c>
      <c r="N113" s="107">
        <f>IF(ISNUMBER(M113), (M113 - $B113) / $B113, "")</f>
        <v>-2.8192371475953566E-2</v>
      </c>
      <c r="O113" s="108">
        <f>IF(ISNUMBER(M113), $B118 * N113, "")</f>
        <v>-2819.2371475953564</v>
      </c>
      <c r="Q113" s="251"/>
      <c r="R113" s="251"/>
      <c r="S113" s="251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>
        <v>118</v>
      </c>
      <c r="N114" s="32">
        <f t="shared" ref="N114:N117" si="61">IF(ISNUMBER(M114), (M114 - $B114) / $B114, "")</f>
        <v>-2.4793388429752067E-2</v>
      </c>
      <c r="O114" s="18">
        <f>IF(ISNUMBER(M114), $B118 * N114, "")</f>
        <v>-2479.3388429752067</v>
      </c>
      <c r="Q114" s="251"/>
      <c r="R114" s="251"/>
      <c r="S114" s="251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>
        <v>78.599999999999994</v>
      </c>
      <c r="N115" s="32">
        <f t="shared" si="61"/>
        <v>-1.0075566750629865E-2</v>
      </c>
      <c r="O115" s="18">
        <f>IF(ISNUMBER(M115), $B118 * N115, "")</f>
        <v>-1007.5566750629865</v>
      </c>
      <c r="Q115" s="251"/>
      <c r="R115" s="251"/>
      <c r="S115" s="251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>
        <v>1005</v>
      </c>
      <c r="N116" s="32">
        <f t="shared" si="61"/>
        <v>-3.3653846153846152E-2</v>
      </c>
      <c r="O116" s="18">
        <f>IF(ISNUMBER(M116), $B118 * N116, "")</f>
        <v>-3365.3846153846152</v>
      </c>
      <c r="Q116" s="240"/>
      <c r="R116" s="241"/>
      <c r="S116" s="242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>
        <v>187900</v>
      </c>
      <c r="N117" s="25">
        <f t="shared" si="61"/>
        <v>-2.389169100079639E-3</v>
      </c>
      <c r="O117" s="104">
        <f>IF(ISNUMBER(M117), $B118 * N117, "")</f>
        <v>-238.91691000796391</v>
      </c>
      <c r="Q117" s="243"/>
      <c r="R117" s="244"/>
      <c r="S117" s="245"/>
    </row>
    <row r="118" spans="1:19" ht="17.25" thickBot="1">
      <c r="A118" s="132" t="s">
        <v>295</v>
      </c>
      <c r="B118" s="304">
        <f>$B$37</f>
        <v>100000</v>
      </c>
      <c r="C118" s="305"/>
      <c r="D118" s="26" t="s">
        <v>296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296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296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296</v>
      </c>
      <c r="N118" s="27">
        <f>IF(COUNT(N98:N117), SUM(N98:N117) / COUNT(N98:N117), 0)</f>
        <v>-3.908370538794078E-2</v>
      </c>
      <c r="O118" s="28">
        <f>SUM(O98:O117)</f>
        <v>-78167.410775881552</v>
      </c>
      <c r="Q118" s="246"/>
      <c r="R118" s="247"/>
      <c r="S118" s="248"/>
    </row>
    <row r="120" spans="1:19" ht="17.25" thickBot="1"/>
    <row r="121" spans="1:19" ht="17.25" thickBot="1">
      <c r="A121" s="262" t="s">
        <v>283</v>
      </c>
      <c r="B121" s="263"/>
      <c r="C121" s="263"/>
      <c r="D121" s="263"/>
      <c r="E121" s="263"/>
      <c r="F121" s="263"/>
      <c r="G121" s="263"/>
      <c r="H121" s="263"/>
      <c r="I121" s="263"/>
      <c r="J121" s="263"/>
      <c r="K121" s="263"/>
      <c r="L121" s="263"/>
      <c r="M121" s="263"/>
      <c r="N121" s="263"/>
      <c r="O121" s="264"/>
      <c r="Q121" s="261"/>
      <c r="R121" s="261"/>
      <c r="S121" s="261"/>
    </row>
    <row r="122" spans="1:19" ht="17.25" thickBot="1">
      <c r="A122" s="208" t="s">
        <v>292</v>
      </c>
      <c r="B122" s="262" t="s">
        <v>49</v>
      </c>
      <c r="C122" s="264"/>
      <c r="D122" s="262" t="s">
        <v>58</v>
      </c>
      <c r="E122" s="263"/>
      <c r="F122" s="264"/>
      <c r="G122" s="265">
        <f>_xlfn.IFNA(VLOOKUP(B122, 현재가테이블!$B$2:$D$200, 2, FALSE), "-")</f>
        <v>40538000</v>
      </c>
      <c r="H122" s="266"/>
      <c r="I122" s="267"/>
      <c r="J122" s="262" t="s">
        <v>59</v>
      </c>
      <c r="K122" s="263"/>
      <c r="L122" s="264"/>
      <c r="M122" s="268">
        <f>_xlfn.IFNA(VLOOKUP(B122, 현재가테이블!$B$2:$D$200, 3, FALSE), "-")</f>
        <v>-3.68275993E-2</v>
      </c>
      <c r="N122" s="269"/>
      <c r="O122" s="270"/>
      <c r="Q122" s="261"/>
      <c r="R122" s="261"/>
      <c r="S122" s="261"/>
    </row>
    <row r="123" spans="1:19" ht="17.25" thickBot="1">
      <c r="A123" s="306" t="s">
        <v>55</v>
      </c>
      <c r="B123" s="302" t="str">
        <f>TEXT($G$1, "[$-ko-KR]yyyy-mm-dd(ddd) ") &amp; "오전 00:00"</f>
        <v>2021-06-13(일) 오전 00:00</v>
      </c>
      <c r="C123" s="303"/>
      <c r="D123" s="275" t="str">
        <f>TEXT($G$1, "[$-ko-KR]yyyy-mm-dd(ddd) ") &amp; "오후 14:00"</f>
        <v>2021-06-13(일) 오후 14:00</v>
      </c>
      <c r="E123" s="276"/>
      <c r="F123" s="277"/>
      <c r="G123" s="275" t="str">
        <f>TEXT($G$1, "[$-ko-KR]yyyy-mm-dd(ddd) ") &amp; "오후 19:00"</f>
        <v>2021-06-13(일) 오후 19:00</v>
      </c>
      <c r="H123" s="276"/>
      <c r="I123" s="277"/>
      <c r="J123" s="275" t="str">
        <f>TEXT($G$1, "[$-ko-KR]yyyy-mm-dd(ddd) ") &amp; "오후 21:00"</f>
        <v>2021-06-13(일) 오후 21:00</v>
      </c>
      <c r="K123" s="276"/>
      <c r="L123" s="277"/>
      <c r="M123" s="275" t="str">
        <f>TEXT($G$1+1, "[$-ko-KR]yyyy-mm-dd(ddd) ") &amp; "오전 00:00"</f>
        <v>2021-06-14(월) 오전 00:00</v>
      </c>
      <c r="N123" s="276"/>
      <c r="O123" s="277"/>
      <c r="Q123" s="261"/>
      <c r="R123" s="261"/>
      <c r="S123" s="261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9" t="s">
        <v>58</v>
      </c>
      <c r="H124" s="210" t="s">
        <v>293</v>
      </c>
      <c r="I124" s="21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1"/>
      <c r="R124" s="251"/>
      <c r="S124" s="251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>
        <v>18</v>
      </c>
      <c r="N125" s="14">
        <f>IF(ISNUMBER(M125), (M125 - $B125) / $B125, "")</f>
        <v>-5.5248618784531165E-3</v>
      </c>
      <c r="O125" s="16">
        <f>IF(ISNUMBER(M125), $B145 * N125, "")</f>
        <v>-552.48618784531163</v>
      </c>
      <c r="Q125" s="261"/>
      <c r="R125" s="261"/>
      <c r="S125" s="261"/>
    </row>
    <row r="126" spans="1:19" ht="17.25" thickBot="1">
      <c r="A126" s="162" t="s">
        <v>201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>
        <v>81</v>
      </c>
      <c r="N126" s="32">
        <f t="shared" ref="N126:N129" si="65">IF(ISNUMBER(M126), (M126 - $B126) / $B126, "")</f>
        <v>-8.5778781038374663E-2</v>
      </c>
      <c r="O126" s="18">
        <f>IF(ISNUMBER(M126), $B145 * N126, "")</f>
        <v>-8577.8781038374655</v>
      </c>
      <c r="Q126" s="261"/>
      <c r="R126" s="261"/>
      <c r="S126" s="261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>
        <v>7.54</v>
      </c>
      <c r="N127" s="32">
        <f t="shared" si="65"/>
        <v>-0.11294117647058823</v>
      </c>
      <c r="O127" s="18">
        <f>IF(ISNUMBER(M127), $B145 * N127, "")</f>
        <v>-11294.117647058823</v>
      </c>
      <c r="Q127" s="251"/>
      <c r="R127" s="251"/>
      <c r="S127" s="251"/>
    </row>
    <row r="128" spans="1:19" ht="17.25" thickBot="1">
      <c r="A128" s="162" t="s">
        <v>195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>
        <v>7.79</v>
      </c>
      <c r="N128" s="32">
        <f t="shared" si="65"/>
        <v>-6.9295101553165983E-2</v>
      </c>
      <c r="O128" s="18">
        <f>IF(ISNUMBER(M128), $B145 * N128, "")</f>
        <v>-6929.5101553165987</v>
      </c>
      <c r="Q128" s="251"/>
      <c r="R128" s="251"/>
      <c r="S128" s="251"/>
    </row>
    <row r="129" spans="1:19" ht="17.25" thickBot="1">
      <c r="A129" s="163" t="s">
        <v>229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>
        <v>77.3</v>
      </c>
      <c r="N129" s="21">
        <f t="shared" si="65"/>
        <v>-9.8016336056009401E-2</v>
      </c>
      <c r="O129" s="22">
        <f>IF(ISNUMBER(M129), $B145 * N129, "")</f>
        <v>-9801.6336056009404</v>
      </c>
      <c r="Q129" s="251"/>
      <c r="R129" s="251"/>
      <c r="S129" s="251"/>
    </row>
    <row r="130" spans="1:19" ht="17.25" thickBot="1">
      <c r="A130" s="162" t="s">
        <v>263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>
        <v>26.8</v>
      </c>
      <c r="N130" s="107">
        <f>IF(ISNUMBER(M130), (M130 - $B130) / $B130, "")</f>
        <v>-0.15987460815047017</v>
      </c>
      <c r="O130" s="108">
        <f>IF(ISNUMBER(M130), $B145 * N130, "")</f>
        <v>-15987.460815047016</v>
      </c>
      <c r="Q130" s="251"/>
      <c r="R130" s="251"/>
      <c r="S130" s="251"/>
    </row>
    <row r="131" spans="1:19" ht="17.25" thickBot="1">
      <c r="A131" s="162" t="s">
        <v>277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>
        <v>51.8</v>
      </c>
      <c r="N131" s="32">
        <f t="shared" ref="N131:N134" si="69">IF(ISNUMBER(M131), (M131 - $B131) / $B131, "")</f>
        <v>-7.3345259391771042E-2</v>
      </c>
      <c r="O131" s="18">
        <f>IF(ISNUMBER(M131), $B145 * N131, "")</f>
        <v>-7334.5259391771042</v>
      </c>
      <c r="Q131" s="251"/>
      <c r="R131" s="251"/>
      <c r="S131" s="251"/>
    </row>
    <row r="132" spans="1:19" ht="17.25" thickBot="1">
      <c r="A132" s="162" t="s">
        <v>197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>
        <v>10.6</v>
      </c>
      <c r="N132" s="32">
        <f t="shared" si="69"/>
        <v>-3.6363636363636397E-2</v>
      </c>
      <c r="O132" s="18">
        <f>IF(ISNUMBER(M132), $B145 * N132, "")</f>
        <v>-3636.3636363636397</v>
      </c>
      <c r="Q132" s="251"/>
      <c r="R132" s="251"/>
      <c r="S132" s="251"/>
    </row>
    <row r="133" spans="1:19" ht="17.25" thickBot="1">
      <c r="A133" s="162" t="s">
        <v>234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>
        <v>81.2</v>
      </c>
      <c r="N133" s="32">
        <f t="shared" si="69"/>
        <v>-7.7272727272727243E-2</v>
      </c>
      <c r="O133" s="18">
        <f>IF(ISNUMBER(M133), $B145 * N133, "")</f>
        <v>-7727.2727272727243</v>
      </c>
      <c r="Q133" s="33"/>
      <c r="R133" s="33"/>
    </row>
    <row r="134" spans="1:19" ht="17.25" thickBot="1">
      <c r="A134" s="130" t="s">
        <v>236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>
        <v>81</v>
      </c>
      <c r="N134" s="25">
        <f t="shared" si="69"/>
        <v>-4.2553191489361639E-2</v>
      </c>
      <c r="O134" s="104">
        <f>IF(ISNUMBER(M134), $B145 * N134, "")</f>
        <v>-4255.3191489361643</v>
      </c>
      <c r="Q134" s="252"/>
      <c r="R134" s="253"/>
      <c r="S134" s="254"/>
    </row>
    <row r="135" spans="1:19">
      <c r="A135" s="161" t="s">
        <v>219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>
        <v>7.51</v>
      </c>
      <c r="N135" s="14">
        <f>IF(ISNUMBER(M135), (M135 - $B135) / $B135, "")</f>
        <v>-8.526187576126687E-2</v>
      </c>
      <c r="O135" s="16">
        <f>IF(ISNUMBER(M135), $B145 * N135, "")</f>
        <v>-8526.1875761266874</v>
      </c>
      <c r="Q135" s="255"/>
      <c r="R135" s="256"/>
      <c r="S135" s="257"/>
    </row>
    <row r="136" spans="1:19" ht="17.25" thickBot="1">
      <c r="A136" s="162" t="s">
        <v>208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>
        <v>75</v>
      </c>
      <c r="N136" s="32">
        <f t="shared" ref="N136:N139" si="73">IF(ISNUMBER(M136), (M136 - $B136) / $B136, "")</f>
        <v>-0.11971830985915496</v>
      </c>
      <c r="O136" s="18">
        <f>IF(ISNUMBER(M136), $B145 * N136, "")</f>
        <v>-11971.830985915496</v>
      </c>
      <c r="Q136" s="258"/>
      <c r="R136" s="259"/>
      <c r="S136" s="260"/>
    </row>
    <row r="137" spans="1:19" ht="17.25" thickBot="1">
      <c r="A137" s="162" t="s">
        <v>246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>
        <v>53</v>
      </c>
      <c r="N137" s="32">
        <f t="shared" si="73"/>
        <v>-9.8639455782312882E-2</v>
      </c>
      <c r="O137" s="18">
        <f>IF(ISNUMBER(M137), $B145 * N137, "")</f>
        <v>-9863.9455782312889</v>
      </c>
      <c r="Q137" s="251"/>
      <c r="R137" s="251"/>
      <c r="S137" s="251"/>
    </row>
    <row r="138" spans="1:19" ht="17.25" thickBot="1">
      <c r="A138" s="162" t="s">
        <v>212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>
        <v>8.2200000000000006</v>
      </c>
      <c r="N138" s="32">
        <f t="shared" si="73"/>
        <v>-9.8684210526315638E-2</v>
      </c>
      <c r="O138" s="18">
        <f>IF(ISNUMBER(M138), $B145 * N138, "")</f>
        <v>-9868.4210526315637</v>
      </c>
      <c r="Q138" s="261"/>
      <c r="R138" s="261"/>
      <c r="S138" s="261"/>
    </row>
    <row r="139" spans="1:19" ht="17.25" thickBot="1">
      <c r="A139" s="163" t="s">
        <v>261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>
        <v>50.5</v>
      </c>
      <c r="N139" s="21">
        <f t="shared" si="73"/>
        <v>-0.10777385159010602</v>
      </c>
      <c r="O139" s="22">
        <f>IF(ISNUMBER(M139), $B145 * N139, "")</f>
        <v>-10777.385159010602</v>
      </c>
      <c r="Q139" s="261"/>
      <c r="R139" s="261"/>
      <c r="S139" s="261"/>
    </row>
    <row r="140" spans="1:19" ht="17.25" thickBot="1">
      <c r="A140" s="162" t="s">
        <v>233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>
        <v>16.899999999999999</v>
      </c>
      <c r="N140" s="107">
        <f>IF(ISNUMBER(M140), (M140 - $B140) / $B140, "")</f>
        <v>-0.22477064220183496</v>
      </c>
      <c r="O140" s="108">
        <f>IF(ISNUMBER(M140), $B145 * N140, "")</f>
        <v>-22477.064220183496</v>
      </c>
      <c r="Q140" s="251"/>
      <c r="R140" s="251"/>
      <c r="S140" s="251"/>
    </row>
    <row r="141" spans="1:19" ht="17.25" thickBot="1">
      <c r="A141" s="162" t="s">
        <v>215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>
        <v>4.8499999999999996</v>
      </c>
      <c r="N141" s="32">
        <f t="shared" ref="N141:N144" si="77">IF(ISNUMBER(M141), (M141 - $B141) / $B141, "")</f>
        <v>-0.14612676056338031</v>
      </c>
      <c r="O141" s="18">
        <f>IF(ISNUMBER(M141), $B145 * N141, "")</f>
        <v>-14612.67605633803</v>
      </c>
      <c r="Q141" s="251"/>
      <c r="R141" s="251"/>
      <c r="S141" s="251"/>
    </row>
    <row r="142" spans="1:19" ht="17.25" thickBot="1">
      <c r="A142" s="162" t="s">
        <v>249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>
        <v>17.899999999999999</v>
      </c>
      <c r="N142" s="32">
        <f t="shared" si="77"/>
        <v>-0.20444444444444451</v>
      </c>
      <c r="O142" s="18">
        <f>IF(ISNUMBER(M142), $B145 * N142, "")</f>
        <v>-20444.444444444453</v>
      </c>
      <c r="Q142" s="251"/>
      <c r="R142" s="251"/>
      <c r="S142" s="251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>
        <v>20.8</v>
      </c>
      <c r="N143" s="32">
        <f t="shared" si="77"/>
        <v>-0.2296296296296296</v>
      </c>
      <c r="O143" s="18">
        <f>IF(ISNUMBER(M143), $B145 * N143, "")</f>
        <v>-22962.96296296296</v>
      </c>
      <c r="Q143" s="240"/>
      <c r="R143" s="241"/>
      <c r="S143" s="242"/>
    </row>
    <row r="144" spans="1:19" ht="17.25" thickBot="1">
      <c r="A144" s="130" t="s">
        <v>171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>
        <v>4.4400000000000004</v>
      </c>
      <c r="N144" s="25">
        <f t="shared" si="77"/>
        <v>-0.17777777777777776</v>
      </c>
      <c r="O144" s="104">
        <f>IF(ISNUMBER(M144), $B145 * N144, "")</f>
        <v>-17777.777777777777</v>
      </c>
      <c r="Q144" s="243"/>
      <c r="R144" s="244"/>
      <c r="S144" s="245"/>
    </row>
    <row r="145" spans="1:19" ht="17.25" thickBot="1">
      <c r="A145" s="132" t="s">
        <v>295</v>
      </c>
      <c r="B145" s="304">
        <f>$B$37</f>
        <v>100000</v>
      </c>
      <c r="C145" s="305"/>
      <c r="D145" s="26" t="s">
        <v>296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296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296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296</v>
      </c>
      <c r="N145" s="27">
        <f>IF(COUNT(N125:N144), SUM(N125:N144) / COUNT(N125:N144), 0)</f>
        <v>-0.11268963189003907</v>
      </c>
      <c r="O145" s="28">
        <f>SUM(O125:O144)</f>
        <v>-225379.26378007815</v>
      </c>
      <c r="Q145" s="246"/>
      <c r="R145" s="247"/>
      <c r="S145" s="248"/>
    </row>
    <row r="147" spans="1:19" ht="17.25" thickBot="1"/>
    <row r="148" spans="1:19" ht="17.25" thickBot="1">
      <c r="A148" s="262" t="s">
        <v>284</v>
      </c>
      <c r="B148" s="263"/>
      <c r="C148" s="263"/>
      <c r="D148" s="263"/>
      <c r="E148" s="263"/>
      <c r="F148" s="263"/>
      <c r="G148" s="263"/>
      <c r="H148" s="263"/>
      <c r="I148" s="263"/>
      <c r="J148" s="263"/>
      <c r="K148" s="263"/>
      <c r="L148" s="263"/>
      <c r="M148" s="263"/>
      <c r="N148" s="263"/>
      <c r="O148" s="264"/>
      <c r="Q148" s="261"/>
      <c r="R148" s="261"/>
      <c r="S148" s="261"/>
    </row>
    <row r="149" spans="1:19" ht="17.25" thickBot="1">
      <c r="A149" s="208" t="s">
        <v>292</v>
      </c>
      <c r="B149" s="262" t="s">
        <v>49</v>
      </c>
      <c r="C149" s="264"/>
      <c r="D149" s="262" t="s">
        <v>58</v>
      </c>
      <c r="E149" s="263"/>
      <c r="F149" s="264"/>
      <c r="G149" s="265">
        <f>_xlfn.IFNA(VLOOKUP(B149, 현재가테이블!$B$2:$D$200, 2, FALSE), "-")</f>
        <v>40538000</v>
      </c>
      <c r="H149" s="266"/>
      <c r="I149" s="267"/>
      <c r="J149" s="262" t="s">
        <v>59</v>
      </c>
      <c r="K149" s="263"/>
      <c r="L149" s="264"/>
      <c r="M149" s="268">
        <f>_xlfn.IFNA(VLOOKUP(B149, 현재가테이블!$B$2:$D$200, 3, FALSE), "-")</f>
        <v>-3.68275993E-2</v>
      </c>
      <c r="N149" s="269"/>
      <c r="O149" s="270"/>
      <c r="Q149" s="261"/>
      <c r="R149" s="261"/>
      <c r="S149" s="261"/>
    </row>
    <row r="150" spans="1:19" ht="17.25" thickBot="1">
      <c r="A150" s="306" t="s">
        <v>55</v>
      </c>
      <c r="B150" s="302" t="str">
        <f>TEXT($G$1, "[$-ko-KR]yyyy-mm-dd(ddd) ") &amp; "오전 00:00"</f>
        <v>2021-06-13(일) 오전 00:00</v>
      </c>
      <c r="C150" s="303"/>
      <c r="D150" s="275" t="str">
        <f>TEXT($G$1, "[$-ko-KR]yyyy-mm-dd(ddd) ") &amp; "오후 14:00"</f>
        <v>2021-06-13(일) 오후 14:00</v>
      </c>
      <c r="E150" s="276"/>
      <c r="F150" s="277"/>
      <c r="G150" s="275" t="str">
        <f>TEXT($G$1, "[$-ko-KR]yyyy-mm-dd(ddd) ") &amp; "오후 19:00"</f>
        <v>2021-06-13(일) 오후 19:00</v>
      </c>
      <c r="H150" s="276"/>
      <c r="I150" s="277"/>
      <c r="J150" s="275" t="str">
        <f>TEXT($G$1, "[$-ko-KR]yyyy-mm-dd(ddd) ") &amp; "오후 21:00"</f>
        <v>2021-06-13(일) 오후 21:00</v>
      </c>
      <c r="K150" s="276"/>
      <c r="L150" s="277"/>
      <c r="M150" s="275" t="str">
        <f>TEXT($G$1+1, "[$-ko-KR]yyyy-mm-dd(ddd) ") &amp; "오전 00:00"</f>
        <v>2021-06-14(월) 오전 00:00</v>
      </c>
      <c r="N150" s="276"/>
      <c r="O150" s="277"/>
      <c r="Q150" s="261"/>
      <c r="R150" s="261"/>
      <c r="S150" s="261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9" t="s">
        <v>58</v>
      </c>
      <c r="H151" s="210" t="s">
        <v>293</v>
      </c>
      <c r="I151" s="21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1"/>
      <c r="R151" s="251"/>
      <c r="S151" s="251"/>
    </row>
    <row r="152" spans="1:19" ht="17.25" thickBot="1">
      <c r="A152" s="161" t="s">
        <v>279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>
        <v>185</v>
      </c>
      <c r="N152" s="14">
        <f>IF(ISNUMBER(M152), (M152 - $B152) / $B152, "")</f>
        <v>-6.0913705583756347E-2</v>
      </c>
      <c r="O152" s="16">
        <f>IF(ISNUMBER(M152), $B172 * N152, "")</f>
        <v>-6091.3705583756346</v>
      </c>
      <c r="Q152" s="261"/>
      <c r="R152" s="261"/>
      <c r="S152" s="261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>
        <v>211</v>
      </c>
      <c r="N153" s="32">
        <f t="shared" ref="N153:N156" si="81">IF(ISNUMBER(M153), (M153 - $B153) / $B153, "")</f>
        <v>-2.3148148148148147E-2</v>
      </c>
      <c r="O153" s="18">
        <f>IF(ISNUMBER(M153), $B172 * N153, "")</f>
        <v>-2314.8148148148148</v>
      </c>
      <c r="Q153" s="261"/>
      <c r="R153" s="261"/>
      <c r="S153" s="261"/>
    </row>
    <row r="154" spans="1:19" ht="17.25" thickBot="1">
      <c r="A154" s="162" t="s">
        <v>253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>
        <v>409</v>
      </c>
      <c r="N154" s="32">
        <f t="shared" si="81"/>
        <v>7.6315789473684212E-2</v>
      </c>
      <c r="O154" s="18">
        <f>IF(ISNUMBER(M154), $B172 * N154, "")</f>
        <v>7631.5789473684208</v>
      </c>
      <c r="Q154" s="251"/>
      <c r="R154" s="251"/>
      <c r="S154" s="251"/>
    </row>
    <row r="155" spans="1:19" ht="17.25" thickBot="1">
      <c r="A155" s="162" t="s">
        <v>214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>
        <v>250</v>
      </c>
      <c r="N155" s="32">
        <f t="shared" si="81"/>
        <v>8.2251082251082255E-2</v>
      </c>
      <c r="O155" s="18">
        <f>IF(ISNUMBER(M155), $B172 * N155, "")</f>
        <v>8225.1082251082262</v>
      </c>
      <c r="Q155" s="251"/>
      <c r="R155" s="251"/>
      <c r="S155" s="251"/>
    </row>
    <row r="156" spans="1:19" ht="17.25" thickBot="1">
      <c r="A156" s="163" t="s">
        <v>169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>
        <v>256</v>
      </c>
      <c r="N156" s="21">
        <f t="shared" si="81"/>
        <v>8.0168776371308023E-2</v>
      </c>
      <c r="O156" s="22">
        <f>IF(ISNUMBER(M156), $B172 * N156, "")</f>
        <v>8016.8776371308022</v>
      </c>
      <c r="Q156" s="251"/>
      <c r="R156" s="251"/>
      <c r="S156" s="251"/>
    </row>
    <row r="157" spans="1:19" ht="17.25" thickBot="1">
      <c r="A157" s="162" t="s">
        <v>191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>
        <v>957</v>
      </c>
      <c r="N157" s="107">
        <f>IF(ISNUMBER(M157), (M157 - $B157) / $B157, "")</f>
        <v>5.2805280528052806E-2</v>
      </c>
      <c r="O157" s="108">
        <f>IF(ISNUMBER(M157), $B172 * N157, "")</f>
        <v>5280.5280528052808</v>
      </c>
      <c r="Q157" s="251"/>
      <c r="R157" s="251"/>
      <c r="S157" s="251"/>
    </row>
    <row r="158" spans="1:19" ht="17.25" thickBot="1">
      <c r="A158" s="162" t="s">
        <v>181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>
        <v>222</v>
      </c>
      <c r="N158" s="32">
        <f t="shared" ref="N158:N161" si="85">IF(ISNUMBER(M158), (M158 - $B158) / $B158, "")</f>
        <v>-1.7699115044247787E-2</v>
      </c>
      <c r="O158" s="18">
        <f>IF(ISNUMBER(M158), $B172 * N158, "")</f>
        <v>-1769.9115044247787</v>
      </c>
      <c r="Q158" s="251"/>
      <c r="R158" s="251"/>
      <c r="S158" s="251"/>
    </row>
    <row r="159" spans="1:19" ht="17.25" thickBot="1">
      <c r="A159" s="162" t="s">
        <v>251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>
        <v>135</v>
      </c>
      <c r="N159" s="32">
        <f t="shared" si="85"/>
        <v>-2.1739130434782608E-2</v>
      </c>
      <c r="O159" s="18">
        <f>IF(ISNUMBER(M159), $B172 * N159, "")</f>
        <v>-2173.913043478261</v>
      </c>
      <c r="Q159" s="251"/>
      <c r="R159" s="251"/>
      <c r="S159" s="251"/>
    </row>
    <row r="160" spans="1:19" ht="17.25" thickBot="1">
      <c r="A160" s="162" t="s">
        <v>242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>
        <v>250</v>
      </c>
      <c r="N160" s="32">
        <f t="shared" si="85"/>
        <v>5.9322033898305086E-2</v>
      </c>
      <c r="O160" s="18">
        <f>IF(ISNUMBER(M160), $B172 * N160, "")</f>
        <v>5932.203389830509</v>
      </c>
      <c r="Q160" s="33"/>
      <c r="R160" s="33"/>
    </row>
    <row r="161" spans="1:19" ht="17.25" thickBot="1">
      <c r="A161" s="130" t="s">
        <v>199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>
        <v>160</v>
      </c>
      <c r="N161" s="25">
        <f t="shared" si="85"/>
        <v>5.9602649006622516E-2</v>
      </c>
      <c r="O161" s="104">
        <f>IF(ISNUMBER(M161), $B172 * N161, "")</f>
        <v>5960.2649006622514</v>
      </c>
      <c r="Q161" s="252"/>
      <c r="R161" s="253"/>
      <c r="S161" s="254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>
        <v>297</v>
      </c>
      <c r="N162" s="14">
        <f>IF(ISNUMBER(M162), (M162 - $B162) / $B162, "")</f>
        <v>-5.1118210862619806E-2</v>
      </c>
      <c r="O162" s="16">
        <f>IF(ISNUMBER(M162), $B172 * N162, "")</f>
        <v>-5111.8210862619808</v>
      </c>
      <c r="Q162" s="255"/>
      <c r="R162" s="256"/>
      <c r="S162" s="257"/>
    </row>
    <row r="163" spans="1:19" ht="17.25" thickBot="1">
      <c r="A163" s="162" t="s">
        <v>257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>
        <v>453</v>
      </c>
      <c r="N163" s="32">
        <f t="shared" ref="N163:N166" si="89">IF(ISNUMBER(M163), (M163 - $B163) / $B163, "")</f>
        <v>-1.0917030567685589E-2</v>
      </c>
      <c r="O163" s="18">
        <f>IF(ISNUMBER(M163), $B172 * N163, "")</f>
        <v>-1091.703056768559</v>
      </c>
      <c r="Q163" s="258"/>
      <c r="R163" s="259"/>
      <c r="S163" s="260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>
        <v>124</v>
      </c>
      <c r="N164" s="32">
        <f t="shared" si="89"/>
        <v>-6.0606060606060608E-2</v>
      </c>
      <c r="O164" s="18">
        <f>IF(ISNUMBER(M164), $B172 * N164, "")</f>
        <v>-6060.606060606061</v>
      </c>
      <c r="Q164" s="251"/>
      <c r="R164" s="251"/>
      <c r="S164" s="251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>
        <v>761</v>
      </c>
      <c r="N165" s="32">
        <f t="shared" si="89"/>
        <v>-6.0493827160493827E-2</v>
      </c>
      <c r="O165" s="18">
        <f>IF(ISNUMBER(M165), $B172 * N165, "")</f>
        <v>-6049.3827160493829</v>
      </c>
      <c r="Q165" s="261"/>
      <c r="R165" s="261"/>
      <c r="S165" s="261"/>
    </row>
    <row r="166" spans="1:19" ht="17.25" thickBot="1">
      <c r="A166" s="163" t="s">
        <v>223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>
        <v>185</v>
      </c>
      <c r="N166" s="21">
        <f t="shared" si="89"/>
        <v>-7.4999999999999997E-2</v>
      </c>
      <c r="O166" s="22">
        <f>IF(ISNUMBER(M166), $B172 * N166, "")</f>
        <v>-7500</v>
      </c>
      <c r="Q166" s="261"/>
      <c r="R166" s="261"/>
      <c r="S166" s="261"/>
    </row>
    <row r="167" spans="1:19" ht="17.25" thickBot="1">
      <c r="A167" s="162" t="s">
        <v>173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>
        <v>104</v>
      </c>
      <c r="N167" s="107">
        <f>IF(ISNUMBER(M167), (M167 - $B167) / $B167, "")</f>
        <v>-9.5652173913043481E-2</v>
      </c>
      <c r="O167" s="108">
        <f>IF(ISNUMBER(M167), $B172 * N167, "")</f>
        <v>-9565.217391304348</v>
      </c>
      <c r="Q167" s="251"/>
      <c r="R167" s="251"/>
      <c r="S167" s="251"/>
    </row>
    <row r="168" spans="1:19" ht="17.25" thickBot="1">
      <c r="A168" s="162" t="s">
        <v>161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>
        <v>452</v>
      </c>
      <c r="N168" s="32">
        <f t="shared" ref="N168:N171" si="93">IF(ISNUMBER(M168), (M168 - $B168) / $B168, "")</f>
        <v>-0.15514018691588785</v>
      </c>
      <c r="O168" s="18">
        <f>IF(ISNUMBER(M168), $B172 * N168, "")</f>
        <v>-15514.018691588784</v>
      </c>
      <c r="Q168" s="251"/>
      <c r="R168" s="251"/>
      <c r="S168" s="251"/>
    </row>
    <row r="169" spans="1:19" ht="17.25" thickBot="1">
      <c r="A169" s="162" t="s">
        <v>231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>
        <v>285</v>
      </c>
      <c r="N169" s="32">
        <f t="shared" si="93"/>
        <v>-8.9456869009584661E-2</v>
      </c>
      <c r="O169" s="18">
        <f>IF(ISNUMBER(M169), $B172 * N169, "")</f>
        <v>-8945.6869009584661</v>
      </c>
      <c r="Q169" s="251"/>
      <c r="R169" s="251"/>
      <c r="S169" s="251"/>
    </row>
    <row r="170" spans="1:19">
      <c r="A170" s="162" t="s">
        <v>248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>
        <v>89.9</v>
      </c>
      <c r="N170" s="32">
        <f t="shared" si="93"/>
        <v>-0.22499999999999995</v>
      </c>
      <c r="O170" s="18">
        <f>IF(ISNUMBER(M170), $B172 * N170, "")</f>
        <v>-22499.999999999996</v>
      </c>
      <c r="Q170" s="240"/>
      <c r="R170" s="241"/>
      <c r="S170" s="242"/>
    </row>
    <row r="171" spans="1:19" ht="17.25" thickBot="1">
      <c r="A171" s="130" t="s">
        <v>206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>
        <v>84.9</v>
      </c>
      <c r="N171" s="25">
        <f t="shared" si="93"/>
        <v>-0.17572815533980576</v>
      </c>
      <c r="O171" s="104">
        <f>IF(ISNUMBER(M171), $B172 * N171, "")</f>
        <v>-17572.815533980578</v>
      </c>
      <c r="Q171" s="243"/>
      <c r="R171" s="244"/>
      <c r="S171" s="245"/>
    </row>
    <row r="172" spans="1:19" ht="17.25" thickBot="1">
      <c r="A172" s="132" t="s">
        <v>295</v>
      </c>
      <c r="B172" s="304">
        <f>$B$37</f>
        <v>100000</v>
      </c>
      <c r="C172" s="305"/>
      <c r="D172" s="26" t="s">
        <v>296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296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296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296</v>
      </c>
      <c r="N172" s="27">
        <f>IF(COUNT(N152:N171), SUM(N152:N171) / COUNT(N152:N171), 0)</f>
        <v>-3.5607350102853076E-2</v>
      </c>
      <c r="O172" s="28">
        <f>SUM(O152:O171)</f>
        <v>-71214.700205706147</v>
      </c>
      <c r="Q172" s="246"/>
      <c r="R172" s="247"/>
      <c r="S172" s="248"/>
    </row>
    <row r="174" spans="1:19" ht="17.25" thickBot="1"/>
    <row r="175" spans="1:19" ht="17.25" thickBot="1">
      <c r="A175" s="262" t="s">
        <v>280</v>
      </c>
      <c r="B175" s="263"/>
      <c r="C175" s="263"/>
      <c r="D175" s="263"/>
      <c r="E175" s="263"/>
      <c r="F175" s="263"/>
      <c r="G175" s="263"/>
      <c r="H175" s="263"/>
      <c r="I175" s="263"/>
      <c r="J175" s="263"/>
      <c r="K175" s="263"/>
      <c r="L175" s="263"/>
      <c r="M175" s="263"/>
      <c r="N175" s="263"/>
      <c r="O175" s="264"/>
      <c r="Q175" s="261"/>
      <c r="R175" s="261"/>
      <c r="S175" s="261"/>
    </row>
    <row r="176" spans="1:19" ht="17.25" thickBot="1">
      <c r="A176" s="208" t="s">
        <v>292</v>
      </c>
      <c r="B176" s="262" t="s">
        <v>49</v>
      </c>
      <c r="C176" s="264"/>
      <c r="D176" s="262" t="s">
        <v>58</v>
      </c>
      <c r="E176" s="263"/>
      <c r="F176" s="264"/>
      <c r="G176" s="265">
        <f>_xlfn.IFNA(VLOOKUP(B176, 현재가테이블!$B$2:$D$200, 2, FALSE), "-")</f>
        <v>40538000</v>
      </c>
      <c r="H176" s="266"/>
      <c r="I176" s="267"/>
      <c r="J176" s="262" t="s">
        <v>59</v>
      </c>
      <c r="K176" s="263"/>
      <c r="L176" s="264"/>
      <c r="M176" s="268">
        <f>_xlfn.IFNA(VLOOKUP(B176, 현재가테이블!$B$2:$D$200, 3, FALSE), "-")</f>
        <v>-3.68275993E-2</v>
      </c>
      <c r="N176" s="269"/>
      <c r="O176" s="270"/>
      <c r="Q176" s="261"/>
      <c r="R176" s="261"/>
      <c r="S176" s="261"/>
    </row>
    <row r="177" spans="1:19" ht="17.25" thickBot="1">
      <c r="A177" s="306" t="s">
        <v>55</v>
      </c>
      <c r="B177" s="302" t="str">
        <f>TEXT($G$1, "[$-ko-KR]yyyy-mm-dd(ddd) ") &amp; "오전 00:00"</f>
        <v>2021-06-13(일) 오전 00:00</v>
      </c>
      <c r="C177" s="303"/>
      <c r="D177" s="275" t="str">
        <f>TEXT($G$1, "[$-ko-KR]yyyy-mm-dd(ddd) ") &amp; "오후 14:00"</f>
        <v>2021-06-13(일) 오후 14:00</v>
      </c>
      <c r="E177" s="276"/>
      <c r="F177" s="277"/>
      <c r="G177" s="275" t="str">
        <f>TEXT($G$1, "[$-ko-KR]yyyy-mm-dd(ddd) ") &amp; "오후 19:00"</f>
        <v>2021-06-13(일) 오후 19:00</v>
      </c>
      <c r="H177" s="276"/>
      <c r="I177" s="277"/>
      <c r="J177" s="275" t="str">
        <f>TEXT($G$1, "[$-ko-KR]yyyy-mm-dd(ddd) ") &amp; "오후 21:00"</f>
        <v>2021-06-13(일) 오후 21:00</v>
      </c>
      <c r="K177" s="276"/>
      <c r="L177" s="277"/>
      <c r="M177" s="275" t="str">
        <f>TEXT($G$1+1, "[$-ko-KR]yyyy-mm-dd(ddd) ") &amp; "오전 00:00"</f>
        <v>2021-06-14(월) 오전 00:00</v>
      </c>
      <c r="N177" s="276"/>
      <c r="O177" s="277"/>
      <c r="Q177" s="261"/>
      <c r="R177" s="261"/>
      <c r="S177" s="261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9" t="s">
        <v>58</v>
      </c>
      <c r="H178" s="210" t="s">
        <v>293</v>
      </c>
      <c r="I178" s="21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1"/>
      <c r="R178" s="251"/>
      <c r="S178" s="251"/>
    </row>
    <row r="179" spans="1:19" ht="17.25" thickBot="1">
      <c r="A179" s="161" t="s">
        <v>234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>
        <v>81.2</v>
      </c>
      <c r="N179" s="14">
        <f>IF(ISNUMBER(M179), (M179 - $B179) / $B179, "")</f>
        <v>-7.7272727272727243E-2</v>
      </c>
      <c r="O179" s="16">
        <f>IF(ISNUMBER(M179), $B199 * N179, "")</f>
        <v>-7727.2727272727243</v>
      </c>
      <c r="Q179" s="261"/>
      <c r="R179" s="261"/>
      <c r="S179" s="261"/>
    </row>
    <row r="180" spans="1:19" ht="17.25" thickBot="1">
      <c r="A180" s="162" t="s">
        <v>236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>
        <v>81</v>
      </c>
      <c r="N180" s="32">
        <f t="shared" ref="N180:N183" si="97">IF(ISNUMBER(M180), (M180 - $B180) / $B180, "")</f>
        <v>-4.2553191489361639E-2</v>
      </c>
      <c r="O180" s="18">
        <f>IF(ISNUMBER(M180), $B199 * N180, "")</f>
        <v>-4255.3191489361643</v>
      </c>
      <c r="Q180" s="261"/>
      <c r="R180" s="261"/>
      <c r="S180" s="261"/>
    </row>
    <row r="181" spans="1:19" ht="17.25" thickBot="1">
      <c r="A181" s="162" t="s">
        <v>219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>
        <v>7.51</v>
      </c>
      <c r="N181" s="32">
        <f t="shared" si="97"/>
        <v>-8.526187576126687E-2</v>
      </c>
      <c r="O181" s="18">
        <f>IF(ISNUMBER(M181), $B199 * N181, "")</f>
        <v>-8526.1875761266874</v>
      </c>
      <c r="Q181" s="251"/>
      <c r="R181" s="251"/>
      <c r="S181" s="251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>
        <v>2220</v>
      </c>
      <c r="N182" s="32">
        <f t="shared" si="97"/>
        <v>-9.202453987730061E-2</v>
      </c>
      <c r="O182" s="18">
        <f>IF(ISNUMBER(M182), $B199 * N182, "")</f>
        <v>-9202.4539877300613</v>
      </c>
      <c r="Q182" s="251"/>
      <c r="R182" s="251"/>
      <c r="S182" s="251"/>
    </row>
    <row r="183" spans="1:19" ht="17.25" thickBot="1">
      <c r="A183" s="163" t="s">
        <v>223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>
        <v>185</v>
      </c>
      <c r="N183" s="21">
        <f t="shared" si="97"/>
        <v>-7.4999999999999997E-2</v>
      </c>
      <c r="O183" s="22">
        <f>IF(ISNUMBER(M183), $B199 * N183, "")</f>
        <v>-7500</v>
      </c>
      <c r="Q183" s="251"/>
      <c r="R183" s="251"/>
      <c r="S183" s="251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>
        <v>3375</v>
      </c>
      <c r="N184" s="107">
        <f>IF(ISNUMBER(M184), (M184 - $B184) / $B184, "")</f>
        <v>-3.9829302987197723E-2</v>
      </c>
      <c r="O184" s="108">
        <f>IF(ISNUMBER(M184), $B199 * N184, "")</f>
        <v>-3982.9302987197725</v>
      </c>
      <c r="Q184" s="251"/>
      <c r="R184" s="251"/>
      <c r="S184" s="251"/>
    </row>
    <row r="185" spans="1:19" ht="17.25" thickBot="1">
      <c r="A185" s="162" t="s">
        <v>173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>
        <v>104</v>
      </c>
      <c r="N185" s="32">
        <f t="shared" ref="N185:N188" si="101">IF(ISNUMBER(M185), (M185 - $B185) / $B185, "")</f>
        <v>-9.5652173913043481E-2</v>
      </c>
      <c r="O185" s="18">
        <f>IF(ISNUMBER(M185), $B199 * N185, "")</f>
        <v>-9565.217391304348</v>
      </c>
      <c r="Q185" s="251"/>
      <c r="R185" s="251"/>
      <c r="S185" s="251"/>
    </row>
    <row r="186" spans="1:19" ht="17.25" thickBot="1">
      <c r="A186" s="162" t="s">
        <v>208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>
        <v>75</v>
      </c>
      <c r="N186" s="32">
        <f t="shared" si="101"/>
        <v>-0.11971830985915496</v>
      </c>
      <c r="O186" s="18">
        <f>IF(ISNUMBER(M186), $B199 * N186, "")</f>
        <v>-11971.830985915496</v>
      </c>
      <c r="Q186" s="251"/>
      <c r="R186" s="251"/>
      <c r="S186" s="251"/>
    </row>
    <row r="187" spans="1:19" ht="17.25" thickBot="1">
      <c r="A187" s="162" t="s">
        <v>246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>
        <v>53</v>
      </c>
      <c r="N187" s="32">
        <f t="shared" si="101"/>
        <v>-9.8639455782312882E-2</v>
      </c>
      <c r="O187" s="18">
        <f>IF(ISNUMBER(M187), $B199 * N187, "")</f>
        <v>-9863.9455782312889</v>
      </c>
      <c r="Q187" s="33"/>
      <c r="R187" s="33"/>
    </row>
    <row r="188" spans="1:19" ht="17.25" thickBot="1">
      <c r="A188" s="130" t="s">
        <v>212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>
        <v>8.2200000000000006</v>
      </c>
      <c r="N188" s="25">
        <f t="shared" si="101"/>
        <v>-9.8684210526315638E-2</v>
      </c>
      <c r="O188" s="104">
        <f>IF(ISNUMBER(M188), $B199 * N188, "")</f>
        <v>-9868.4210526315637</v>
      </c>
      <c r="Q188" s="252"/>
      <c r="R188" s="253"/>
      <c r="S188" s="254"/>
    </row>
    <row r="189" spans="1:19">
      <c r="A189" s="161" t="s">
        <v>261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>
        <v>50.5</v>
      </c>
      <c r="N189" s="14">
        <f>IF(ISNUMBER(M189), (M189 - $B189) / $B189, "")</f>
        <v>-0.10777385159010602</v>
      </c>
      <c r="O189" s="16">
        <f>IF(ISNUMBER(M189), $B199 * N189, "")</f>
        <v>-10777.385159010602</v>
      </c>
      <c r="Q189" s="255"/>
      <c r="R189" s="256"/>
      <c r="S189" s="257"/>
    </row>
    <row r="190" spans="1:19" ht="17.25" thickBot="1">
      <c r="A190" s="162" t="s">
        <v>161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>
        <v>452</v>
      </c>
      <c r="N190" s="32">
        <f t="shared" ref="N190:N193" si="105">IF(ISNUMBER(M190), (M190 - $B190) / $B190, "")</f>
        <v>-0.15514018691588785</v>
      </c>
      <c r="O190" s="18">
        <f>IF(ISNUMBER(M190), $B199 * N190, "")</f>
        <v>-15514.018691588784</v>
      </c>
      <c r="Q190" s="258"/>
      <c r="R190" s="259"/>
      <c r="S190" s="260"/>
    </row>
    <row r="191" spans="1:19" ht="17.25" thickBot="1">
      <c r="A191" s="162" t="s">
        <v>231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>
        <v>285</v>
      </c>
      <c r="N191" s="32">
        <f t="shared" si="105"/>
        <v>-8.9456869009584661E-2</v>
      </c>
      <c r="O191" s="18">
        <f>IF(ISNUMBER(M191), $B199 * N191, "")</f>
        <v>-8945.6869009584661</v>
      </c>
      <c r="Q191" s="251"/>
      <c r="R191" s="251"/>
      <c r="S191" s="251"/>
    </row>
    <row r="192" spans="1:19" ht="17.25" thickBot="1">
      <c r="A192" s="162" t="s">
        <v>248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>
        <v>89.9</v>
      </c>
      <c r="N192" s="32">
        <f t="shared" si="105"/>
        <v>-0.22499999999999995</v>
      </c>
      <c r="O192" s="18">
        <f>IF(ISNUMBER(M192), $B199 * N192, "")</f>
        <v>-22499.999999999996</v>
      </c>
      <c r="Q192" s="261"/>
      <c r="R192" s="261"/>
      <c r="S192" s="261"/>
    </row>
    <row r="193" spans="1:19" ht="17.25" thickBot="1">
      <c r="A193" s="163" t="s">
        <v>206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>
        <v>84.9</v>
      </c>
      <c r="N193" s="21">
        <f t="shared" si="105"/>
        <v>-0.17572815533980576</v>
      </c>
      <c r="O193" s="22">
        <f>IF(ISNUMBER(M193), $B199 * N193, "")</f>
        <v>-17572.815533980578</v>
      </c>
      <c r="Q193" s="261"/>
      <c r="R193" s="261"/>
      <c r="S193" s="261"/>
    </row>
    <row r="194" spans="1:19" ht="17.25" thickBot="1">
      <c r="A194" s="162" t="s">
        <v>233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>
        <v>16.899999999999999</v>
      </c>
      <c r="N194" s="107">
        <f>IF(ISNUMBER(M194), (M194 - $B194) / $B194, "")</f>
        <v>-0.22477064220183496</v>
      </c>
      <c r="O194" s="108">
        <f>IF(ISNUMBER(M194), $B199 * N194, "")</f>
        <v>-22477.064220183496</v>
      </c>
      <c r="Q194" s="251"/>
      <c r="R194" s="251"/>
      <c r="S194" s="251"/>
    </row>
    <row r="195" spans="1:19" ht="17.25" thickBot="1">
      <c r="A195" s="162" t="s">
        <v>215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>
        <v>4.8499999999999996</v>
      </c>
      <c r="N195" s="32">
        <f t="shared" ref="N195:N198" si="109">IF(ISNUMBER(M195), (M195 - $B195) / $B195, "")</f>
        <v>-0.14612676056338031</v>
      </c>
      <c r="O195" s="18">
        <f>IF(ISNUMBER(M195), $B199 * N195, "")</f>
        <v>-14612.67605633803</v>
      </c>
      <c r="Q195" s="251"/>
      <c r="R195" s="251"/>
      <c r="S195" s="251"/>
    </row>
    <row r="196" spans="1:19" ht="17.25" thickBot="1">
      <c r="A196" s="162" t="s">
        <v>249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>
        <v>17.899999999999999</v>
      </c>
      <c r="N196" s="32">
        <f t="shared" si="109"/>
        <v>-0.20444444444444451</v>
      </c>
      <c r="O196" s="18">
        <f>IF(ISNUMBER(M196), $B199 * N196, "")</f>
        <v>-20444.444444444453</v>
      </c>
      <c r="Q196" s="251"/>
      <c r="R196" s="251"/>
      <c r="S196" s="251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>
        <v>20.8</v>
      </c>
      <c r="N197" s="32">
        <f t="shared" si="109"/>
        <v>-0.2296296296296296</v>
      </c>
      <c r="O197" s="18">
        <f>IF(ISNUMBER(M197), $B199 * N197, "")</f>
        <v>-22962.96296296296</v>
      </c>
      <c r="Q197" s="240"/>
      <c r="R197" s="241"/>
      <c r="S197" s="242"/>
    </row>
    <row r="198" spans="1:19" ht="17.25" thickBot="1">
      <c r="A198" s="130" t="s">
        <v>171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>
        <v>4.4400000000000004</v>
      </c>
      <c r="N198" s="25">
        <f t="shared" si="109"/>
        <v>-0.17777777777777776</v>
      </c>
      <c r="O198" s="104">
        <f>IF(ISNUMBER(M198), $B199 * N198, "")</f>
        <v>-17777.777777777777</v>
      </c>
      <c r="Q198" s="243"/>
      <c r="R198" s="244"/>
      <c r="S198" s="245"/>
    </row>
    <row r="199" spans="1:19" ht="17.25" thickBot="1">
      <c r="A199" s="132" t="s">
        <v>295</v>
      </c>
      <c r="B199" s="304">
        <f>$B$37</f>
        <v>100000</v>
      </c>
      <c r="C199" s="305"/>
      <c r="D199" s="26" t="s">
        <v>296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296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296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296</v>
      </c>
      <c r="N199" s="27">
        <f>IF(COUNT(N179:N198), SUM(N179:N198) / COUNT(N179:N198), 0)</f>
        <v>-0.1280242052470566</v>
      </c>
      <c r="O199" s="28">
        <f>SUM(O179:O198)</f>
        <v>-256048.41049411328</v>
      </c>
      <c r="Q199" s="246"/>
      <c r="R199" s="247"/>
      <c r="S199" s="24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F39D-A54A-40D5-9A94-51E2A4A2884F}">
  <sheetPr codeName="Sheet20"/>
  <dimension ref="A1:S199"/>
  <sheetViews>
    <sheetView zoomScaleNormal="100" workbookViewId="0">
      <selection activeCell="G4" sqref="G4:I5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2" t="s">
        <v>0</v>
      </c>
      <c r="B1" s="263"/>
      <c r="C1" s="263"/>
      <c r="D1" s="263"/>
      <c r="E1" s="263"/>
      <c r="F1" s="264"/>
      <c r="G1" s="293">
        <v>44361</v>
      </c>
      <c r="H1" s="294"/>
      <c r="I1" s="295"/>
      <c r="J1" s="262" t="s">
        <v>1</v>
      </c>
      <c r="K1" s="263"/>
      <c r="L1" s="263"/>
      <c r="M1" s="263"/>
      <c r="N1" s="263"/>
      <c r="O1" s="264"/>
      <c r="Q1" s="262" t="s">
        <v>2</v>
      </c>
      <c r="R1" s="264"/>
    </row>
    <row r="2" spans="1:19" ht="17.25" customHeight="1">
      <c r="A2" s="117" t="s">
        <v>3</v>
      </c>
      <c r="B2" s="296" t="s">
        <v>8</v>
      </c>
      <c r="C2" s="297"/>
      <c r="D2" s="297"/>
      <c r="E2" s="297"/>
      <c r="F2" s="298"/>
      <c r="G2" s="290" t="s">
        <v>46</v>
      </c>
      <c r="H2" s="291"/>
      <c r="I2" s="292"/>
      <c r="J2" s="1" t="s">
        <v>3</v>
      </c>
      <c r="K2" s="296" t="s">
        <v>345</v>
      </c>
      <c r="L2" s="297"/>
      <c r="M2" s="297"/>
      <c r="N2" s="297"/>
      <c r="O2" s="298"/>
      <c r="Q2" s="2" t="s">
        <v>6</v>
      </c>
      <c r="R2" s="3">
        <v>0.375</v>
      </c>
    </row>
    <row r="3" spans="1:19" ht="17.25" customHeight="1" thickBot="1">
      <c r="A3" s="118" t="s">
        <v>7</v>
      </c>
      <c r="B3" s="287" t="s">
        <v>353</v>
      </c>
      <c r="C3" s="288"/>
      <c r="D3" s="288"/>
      <c r="E3" s="288"/>
      <c r="F3" s="289"/>
      <c r="G3" s="28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114,315 KRW (5.72%)</v>
      </c>
      <c r="H3" s="284"/>
      <c r="I3" s="285"/>
      <c r="J3" s="4" t="s">
        <v>7</v>
      </c>
      <c r="K3" s="287" t="s">
        <v>346</v>
      </c>
      <c r="L3" s="288"/>
      <c r="M3" s="288"/>
      <c r="N3" s="288"/>
      <c r="O3" s="28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7" t="s">
        <v>16</v>
      </c>
      <c r="C4" s="288"/>
      <c r="D4" s="288"/>
      <c r="E4" s="288"/>
      <c r="F4" s="289"/>
      <c r="G4" s="290" t="s">
        <v>44</v>
      </c>
      <c r="H4" s="291"/>
      <c r="I4" s="292"/>
      <c r="J4" s="4" t="s">
        <v>11</v>
      </c>
      <c r="K4" s="287" t="s">
        <v>347</v>
      </c>
      <c r="L4" s="288"/>
      <c r="M4" s="288"/>
      <c r="N4" s="288"/>
      <c r="O4" s="28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7" t="s">
        <v>344</v>
      </c>
      <c r="C5" s="288"/>
      <c r="D5" s="288"/>
      <c r="E5" s="288"/>
      <c r="F5" s="289"/>
      <c r="G5" s="28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192,487 KRW (9.62%)</v>
      </c>
      <c r="H5" s="284"/>
      <c r="I5" s="285"/>
      <c r="J5" s="4" t="s">
        <v>15</v>
      </c>
      <c r="K5" s="287" t="s">
        <v>348</v>
      </c>
      <c r="L5" s="288"/>
      <c r="M5" s="288"/>
      <c r="N5" s="288"/>
      <c r="O5" s="289"/>
    </row>
    <row r="6" spans="1:19">
      <c r="A6" s="118" t="s">
        <v>18</v>
      </c>
      <c r="B6" s="287"/>
      <c r="C6" s="288"/>
      <c r="D6" s="288"/>
      <c r="E6" s="288"/>
      <c r="F6" s="289"/>
      <c r="G6" s="290" t="s">
        <v>45</v>
      </c>
      <c r="H6" s="291"/>
      <c r="I6" s="292"/>
      <c r="J6" s="4" t="s">
        <v>18</v>
      </c>
      <c r="K6" s="287" t="s">
        <v>349</v>
      </c>
      <c r="L6" s="288"/>
      <c r="M6" s="288"/>
      <c r="N6" s="288"/>
      <c r="O6" s="289"/>
    </row>
    <row r="7" spans="1:19" ht="17.25" thickBot="1">
      <c r="A7" s="118" t="s">
        <v>21</v>
      </c>
      <c r="B7" s="287"/>
      <c r="C7" s="288"/>
      <c r="D7" s="288"/>
      <c r="E7" s="288"/>
      <c r="F7" s="289"/>
      <c r="G7" s="28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118,520 KRW (5.93%)</v>
      </c>
      <c r="H7" s="284"/>
      <c r="I7" s="285"/>
      <c r="J7" s="4" t="s">
        <v>21</v>
      </c>
      <c r="K7" s="287" t="s">
        <v>350</v>
      </c>
      <c r="L7" s="288"/>
      <c r="M7" s="288"/>
      <c r="N7" s="288"/>
      <c r="O7" s="289"/>
    </row>
    <row r="8" spans="1:19" ht="17.25" thickBot="1">
      <c r="A8" s="118" t="s">
        <v>24</v>
      </c>
      <c r="B8" s="287"/>
      <c r="C8" s="288"/>
      <c r="D8" s="288"/>
      <c r="E8" s="288"/>
      <c r="F8" s="289"/>
      <c r="G8" s="290" t="s">
        <v>280</v>
      </c>
      <c r="H8" s="291"/>
      <c r="I8" s="292"/>
      <c r="J8" s="4" t="s">
        <v>24</v>
      </c>
      <c r="K8" s="287"/>
      <c r="L8" s="288"/>
      <c r="M8" s="288"/>
      <c r="N8" s="288"/>
      <c r="O8" s="289"/>
      <c r="Q8" s="262" t="s">
        <v>27</v>
      </c>
      <c r="R8" s="264"/>
    </row>
    <row r="9" spans="1:19" ht="17.25" thickBot="1">
      <c r="A9" s="118" t="s">
        <v>28</v>
      </c>
      <c r="B9" s="287"/>
      <c r="C9" s="288"/>
      <c r="D9" s="288"/>
      <c r="E9" s="288"/>
      <c r="F9" s="289"/>
      <c r="G9" s="28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265,833 KRW (13.29%)</v>
      </c>
      <c r="H9" s="284"/>
      <c r="I9" s="285"/>
      <c r="J9" s="4" t="s">
        <v>28</v>
      </c>
      <c r="K9" s="287"/>
      <c r="L9" s="288"/>
      <c r="M9" s="288"/>
      <c r="N9" s="288"/>
      <c r="O9" s="289"/>
      <c r="Q9" s="2" t="s">
        <v>29</v>
      </c>
      <c r="R9" s="6">
        <v>10</v>
      </c>
    </row>
    <row r="10" spans="1:19">
      <c r="A10" s="118" t="s">
        <v>30</v>
      </c>
      <c r="B10" s="287"/>
      <c r="C10" s="288"/>
      <c r="D10" s="288"/>
      <c r="E10" s="288"/>
      <c r="F10" s="289"/>
      <c r="G10" s="290" t="s">
        <v>47</v>
      </c>
      <c r="H10" s="291"/>
      <c r="I10" s="292"/>
      <c r="J10" s="4" t="s">
        <v>30</v>
      </c>
      <c r="K10" s="287" t="s">
        <v>351</v>
      </c>
      <c r="L10" s="288"/>
      <c r="M10" s="288"/>
      <c r="N10" s="288"/>
      <c r="O10" s="289"/>
      <c r="Q10" s="2" t="s">
        <v>31</v>
      </c>
      <c r="R10" s="6">
        <v>100</v>
      </c>
    </row>
    <row r="11" spans="1:19" ht="17.25" thickBot="1">
      <c r="A11" s="119" t="s">
        <v>32</v>
      </c>
      <c r="B11" s="280" t="s">
        <v>352</v>
      </c>
      <c r="C11" s="281"/>
      <c r="D11" s="281"/>
      <c r="E11" s="281"/>
      <c r="F11" s="282"/>
      <c r="G11" s="28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88,700 KRW (5.91%)</v>
      </c>
      <c r="H11" s="284"/>
      <c r="I11" s="285"/>
      <c r="J11" s="7" t="s">
        <v>32</v>
      </c>
      <c r="K11" s="280" t="s">
        <v>343</v>
      </c>
      <c r="L11" s="281"/>
      <c r="M11" s="281"/>
      <c r="N11" s="281"/>
      <c r="O11" s="282"/>
      <c r="Q11" s="65" t="s">
        <v>33</v>
      </c>
      <c r="R11" s="8">
        <v>1000</v>
      </c>
    </row>
    <row r="12" spans="1:19" ht="17.25" thickBot="1"/>
    <row r="13" spans="1:19" ht="17.25" customHeight="1" thickBot="1">
      <c r="A13" s="262" t="s">
        <v>34</v>
      </c>
      <c r="B13" s="263"/>
      <c r="C13" s="263"/>
      <c r="D13" s="263"/>
      <c r="E13" s="263"/>
      <c r="F13" s="263"/>
      <c r="G13" s="263"/>
      <c r="H13" s="263"/>
      <c r="I13" s="263"/>
      <c r="J13" s="263"/>
      <c r="K13" s="263"/>
      <c r="L13" s="263"/>
      <c r="M13" s="263"/>
      <c r="N13" s="263"/>
      <c r="O13" s="264"/>
      <c r="Q13" s="261"/>
      <c r="R13" s="261"/>
      <c r="S13" s="261"/>
    </row>
    <row r="14" spans="1:19" ht="17.25" customHeight="1" thickBot="1">
      <c r="A14" s="212" t="s">
        <v>35</v>
      </c>
      <c r="B14" s="262" t="s">
        <v>36</v>
      </c>
      <c r="C14" s="264"/>
      <c r="D14" s="262" t="s">
        <v>37</v>
      </c>
      <c r="E14" s="263"/>
      <c r="F14" s="264"/>
      <c r="G14" s="265">
        <f>_xlfn.IFNA(VLOOKUP(B14, 현재가테이블!$B$2:$D$200, 2, FALSE), "-")</f>
        <v>40538000</v>
      </c>
      <c r="H14" s="266"/>
      <c r="I14" s="267"/>
      <c r="J14" s="262" t="s">
        <v>38</v>
      </c>
      <c r="K14" s="263"/>
      <c r="L14" s="264"/>
      <c r="M14" s="268">
        <f>_xlfn.IFNA(VLOOKUP(B14, 현재가테이블!$B$2:$D$200, 3, FALSE), "-")</f>
        <v>-3.68275993E-2</v>
      </c>
      <c r="N14" s="269"/>
      <c r="O14" s="270"/>
      <c r="Q14" s="261"/>
      <c r="R14" s="261"/>
      <c r="S14" s="261"/>
    </row>
    <row r="15" spans="1:19" ht="17.25" customHeight="1" thickBot="1">
      <c r="A15" s="299" t="s">
        <v>39</v>
      </c>
      <c r="B15" s="300" t="str">
        <f>TEXT($G$1, "[$-ko-KR]yyyy-mm-dd(ddd) ") &amp; "오전 00:00"</f>
        <v>2021-06-14(월) 오전 00:00</v>
      </c>
      <c r="C15" s="301"/>
      <c r="D15" s="275" t="str">
        <f>TEXT($G$1, "[$-ko-KR]yyyy-mm-dd(ddd) ") &amp; "오후 14:00"</f>
        <v>2021-06-14(월) 오후 14:00</v>
      </c>
      <c r="E15" s="276"/>
      <c r="F15" s="277"/>
      <c r="G15" s="275" t="str">
        <f>TEXT($G$1, "[$-ko-KR]yyyy-mm-dd(ddd) ") &amp; "오후 19:00"</f>
        <v>2021-06-14(월) 오후 19:00</v>
      </c>
      <c r="H15" s="276"/>
      <c r="I15" s="277"/>
      <c r="J15" s="275" t="str">
        <f>TEXT($G$1, "[$-ko-KR]yyyy-mm-dd(ddd) ") &amp; "오후 21:00"</f>
        <v>2021-06-14(월) 오후 21:00</v>
      </c>
      <c r="K15" s="276"/>
      <c r="L15" s="277"/>
      <c r="M15" s="275" t="str">
        <f>TEXT($G$1+1, "[$-ko-KR]yyyy-mm-dd(ddd) ") &amp; "오전 00:00"</f>
        <v>2021-06-15(화) 오전 00:00</v>
      </c>
      <c r="N15" s="276"/>
      <c r="O15" s="277"/>
      <c r="Q15" s="261"/>
      <c r="R15" s="261"/>
      <c r="S15" s="261"/>
    </row>
    <row r="16" spans="1:19" ht="17.25" customHeight="1" thickBot="1">
      <c r="A16" s="29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3" t="s">
        <v>37</v>
      </c>
      <c r="H16" s="214" t="s">
        <v>40</v>
      </c>
      <c r="I16" s="21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75.900000000000006</v>
      </c>
      <c r="C17" s="76">
        <f>IF(NOT(ISBLANK(_xlfn.IFNA(VLOOKUP($A17, $A$40:$O$199, 3, FALSE), ))), _xlfn.IFNA(VLOOKUP($A17, $A$40:$O$199, 3, FALSE), ), "")</f>
        <v>-7.8431373000000006E-3</v>
      </c>
      <c r="D17" s="13">
        <f>IF(NOT(ISBLANK(_xlfn.IFNA(VLOOKUP($A17, $A$40:$O$199, 4, FALSE), ))), _xlfn.IFNA(VLOOKUP($A17, $A$40:$O$199, 4, FALSE), ), "")</f>
        <v>76.8</v>
      </c>
      <c r="E17" s="14">
        <f>IF(NOT(ISBLANK(_xlfn.IFNA(VLOOKUP($A17, $A$40:$O$199, 5, FALSE), ))), _xlfn.IFNA(VLOOKUP($A17, $A$40:$O$199, 5, FALSE), ), "")</f>
        <v>1.1857707509881309E-2</v>
      </c>
      <c r="F17" s="16">
        <f>IF(NOT(ISBLANK(_xlfn.IFNA(VLOOKUP($A17, $A$40:$O$199, 6, FALSE), ))), _xlfn.IFNA(VLOOKUP($A17, $A$40:$O$199, 6, FALSE), ), "")</f>
        <v>1185.7707509881309</v>
      </c>
      <c r="G17" s="29">
        <f>IF(NOT(ISBLANK(_xlfn.IFNA(VLOOKUP($A17, $A$40:$O$199, 7, FALSE), ))), _xlfn.IFNA(VLOOKUP($A17, $A$40:$O$199, 7, FALSE), ), "")</f>
        <v>83.4</v>
      </c>
      <c r="H17" s="14">
        <f>IF(NOT(ISBLANK(_xlfn.IFNA(VLOOKUP($A17, $A$40:$O$199, 8, FALSE), ))), _xlfn.IFNA(VLOOKUP($A17, $A$40:$O$199, 8, FALSE), ), "")</f>
        <v>9.8814229249011856E-2</v>
      </c>
      <c r="I17" s="100">
        <f>IF(NOT(ISBLANK(_xlfn.IFNA(VLOOKUP($A17, $A$40:$O$199, 9, FALSE), ))), _xlfn.IFNA(VLOOKUP($A17, $A$40:$O$199, 9, FALSE), ), "")</f>
        <v>9881.422924901186</v>
      </c>
      <c r="J17" s="13">
        <f>IF(NOT(ISBLANK(_xlfn.IFNA(VLOOKUP($A17, $A$40:$O$199, 10, FALSE), ))), _xlfn.IFNA(VLOOKUP($A17, $A$40:$O$199, 10, FALSE), ), "")</f>
        <v>80.8</v>
      </c>
      <c r="K17" s="14">
        <f>IF(NOT(ISBLANK(_xlfn.IFNA(VLOOKUP($A17, $A$40:$O$199, 11, FALSE), ))), _xlfn.IFNA(VLOOKUP($A17, $A$40:$O$199, 11, FALSE), ), "")</f>
        <v>6.4558629776020962E-2</v>
      </c>
      <c r="L17" s="16">
        <f>IF(NOT(ISBLANK(_xlfn.IFNA(VLOOKUP($A17, $A$40:$O$199, 12, FALSE), ))), _xlfn.IFNA(VLOOKUP($A17, $A$40:$O$199, 12, FALSE), ), "")</f>
        <v>6455.8629776020962</v>
      </c>
      <c r="M17" s="29">
        <f>IF(NOT(ISBLANK(_xlfn.IFNA(VLOOKUP($A17, $A$40:$O$199, 13, FALSE), ))), _xlfn.IFNA(VLOOKUP($A17, $A$40:$O$199, 13, FALSE), ), "")</f>
        <v>81.400000000000006</v>
      </c>
      <c r="N17" s="14">
        <f>IF(NOT(ISBLANK(_xlfn.IFNA(VLOOKUP($A17, $A$40:$O$199, 14, FALSE), ))), _xlfn.IFNA(VLOOKUP($A17, $A$40:$O$199, 14, FALSE), ), "")</f>
        <v>7.2463768115942018E-2</v>
      </c>
      <c r="O17" s="16">
        <f>IF(NOT(ISBLANK(_xlfn.IFNA(VLOOKUP($A17, $A$40:$O$199, 15, FALSE), ))), _xlfn.IFNA(VLOOKUP($A17, $A$40:$O$199, 15, FALSE), ), "")</f>
        <v>7246.3768115942021</v>
      </c>
      <c r="Q17" s="261"/>
      <c r="R17" s="261"/>
      <c r="S17" s="26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50.7</v>
      </c>
      <c r="C18" s="77">
        <f t="shared" ref="C18:C36" si="1">IF(NOT(ISBLANK(_xlfn.IFNA(VLOOKUP($A18, $A$40:$O$199, 3, FALSE), ))), _xlfn.IFNA(VLOOKUP($A18, $A$40:$O$199, 3, FALSE), ), "")</f>
        <v>-7.6502732200000007E-2</v>
      </c>
      <c r="D18" s="15">
        <f t="shared" ref="D18:D36" si="2">IF(NOT(ISBLANK(_xlfn.IFNA(VLOOKUP($A18, $A$40:$O$199, 4, FALSE), ))), _xlfn.IFNA(VLOOKUP($A18, $A$40:$O$199, 4, FALSE), ), "")</f>
        <v>55.9</v>
      </c>
      <c r="E18" s="32">
        <f t="shared" ref="E18:E36" si="3">IF(NOT(ISBLANK(_xlfn.IFNA(VLOOKUP($A18, $A$40:$O$199, 5, FALSE), ))), _xlfn.IFNA(VLOOKUP($A18, $A$40:$O$199, 5, FALSE), ), "")</f>
        <v>0.10256410256410248</v>
      </c>
      <c r="F18" s="18">
        <f t="shared" ref="F18:F36" si="4">IF(NOT(ISBLANK(_xlfn.IFNA(VLOOKUP($A18, $A$40:$O$199, 6, FALSE), ))), _xlfn.IFNA(VLOOKUP($A18, $A$40:$O$199, 6, FALSE), ), "")</f>
        <v>10256.410256410249</v>
      </c>
      <c r="G18" s="31">
        <f t="shared" ref="G18:G36" si="5">IF(NOT(ISBLANK(_xlfn.IFNA(VLOOKUP($A18, $A$40:$O$199, 7, FALSE), ))), _xlfn.IFNA(VLOOKUP($A18, $A$40:$O$199, 7, FALSE), ), "")</f>
        <v>56.5</v>
      </c>
      <c r="H18" s="32">
        <f t="shared" ref="H18:H36" si="6">IF(NOT(ISBLANK(_xlfn.IFNA(VLOOKUP($A18, $A$40:$O$199, 8, FALSE), ))), _xlfn.IFNA(VLOOKUP($A18, $A$40:$O$199, 8, FALSE), ), "")</f>
        <v>0.11439842209072972</v>
      </c>
      <c r="I18" s="101">
        <f t="shared" ref="I18:I36" si="7">IF(NOT(ISBLANK(_xlfn.IFNA(VLOOKUP($A18, $A$40:$O$199, 9, FALSE), ))), _xlfn.IFNA(VLOOKUP($A18, $A$40:$O$199, 9, FALSE), ), "")</f>
        <v>11439.842209072971</v>
      </c>
      <c r="J18" s="15">
        <f t="shared" ref="J18:J36" si="8">IF(NOT(ISBLANK(_xlfn.IFNA(VLOOKUP($A18, $A$40:$O$199, 10, FALSE), ))), _xlfn.IFNA(VLOOKUP($A18, $A$40:$O$199, 10, FALSE), ), "")</f>
        <v>55.6</v>
      </c>
      <c r="K18" s="32">
        <f t="shared" ref="K18:K36" si="9">IF(NOT(ISBLANK(_xlfn.IFNA(VLOOKUP($A18, $A$40:$O$199, 11, FALSE), ))), _xlfn.IFNA(VLOOKUP($A18, $A$40:$O$199, 11, FALSE), ), "")</f>
        <v>9.6646942800788921E-2</v>
      </c>
      <c r="L18" s="18">
        <f t="shared" ref="L18:L36" si="10">IF(NOT(ISBLANK(_xlfn.IFNA(VLOOKUP($A18, $A$40:$O$199, 12, FALSE), ))), _xlfn.IFNA(VLOOKUP($A18, $A$40:$O$199, 12, FALSE), ), "")</f>
        <v>9664.6942800788929</v>
      </c>
      <c r="M18" s="31">
        <f t="shared" ref="M18:M36" si="11">IF(NOT(ISBLANK(_xlfn.IFNA(VLOOKUP($A18, $A$40:$O$199, 13, FALSE), ))), _xlfn.IFNA(VLOOKUP($A18, $A$40:$O$199, 13, FALSE), ), "")</f>
        <v>56.5</v>
      </c>
      <c r="N18" s="32">
        <f t="shared" ref="N18:N36" si="12">IF(NOT(ISBLANK(_xlfn.IFNA(VLOOKUP($A18, $A$40:$O$199, 14, FALSE), ))), _xlfn.IFNA(VLOOKUP($A18, $A$40:$O$199, 14, FALSE), ), "")</f>
        <v>0.11439842209072972</v>
      </c>
      <c r="O18" s="18">
        <f t="shared" ref="O18:O36" si="13">IF(NOT(ISBLANK(_xlfn.IFNA(VLOOKUP($A18, $A$40:$O$199, 15, FALSE), ))), _xlfn.IFNA(VLOOKUP($A18, $A$40:$O$199, 15, FALSE), ), "")</f>
        <v>11439.842209072971</v>
      </c>
      <c r="Q18" s="261"/>
      <c r="R18" s="261"/>
      <c r="S18" s="261"/>
    </row>
    <row r="19" spans="1:19" ht="17.25" customHeight="1" thickBot="1">
      <c r="A19" s="162" t="s">
        <v>201</v>
      </c>
      <c r="B19" s="126">
        <f t="shared" si="0"/>
        <v>81</v>
      </c>
      <c r="C19" s="77">
        <f t="shared" si="1"/>
        <v>-9.5982142899999998E-2</v>
      </c>
      <c r="D19" s="15">
        <f t="shared" si="2"/>
        <v>89</v>
      </c>
      <c r="E19" s="32">
        <f t="shared" si="3"/>
        <v>9.8765432098765427E-2</v>
      </c>
      <c r="F19" s="18">
        <f t="shared" si="4"/>
        <v>9876.5432098765432</v>
      </c>
      <c r="G19" s="31">
        <f t="shared" si="5"/>
        <v>89.6</v>
      </c>
      <c r="H19" s="32">
        <f t="shared" si="6"/>
        <v>0.10617283950617278</v>
      </c>
      <c r="I19" s="101">
        <f t="shared" si="7"/>
        <v>10617.283950617277</v>
      </c>
      <c r="J19" s="15">
        <f t="shared" si="8"/>
        <v>88.8</v>
      </c>
      <c r="K19" s="32">
        <f t="shared" si="9"/>
        <v>9.6296296296296255E-2</v>
      </c>
      <c r="L19" s="18">
        <f t="shared" si="10"/>
        <v>9629.6296296296259</v>
      </c>
      <c r="M19" s="31">
        <f t="shared" si="11"/>
        <v>91.1</v>
      </c>
      <c r="N19" s="32">
        <f t="shared" si="12"/>
        <v>0.12469135802469129</v>
      </c>
      <c r="O19" s="18">
        <f t="shared" si="13"/>
        <v>12469.135802469129</v>
      </c>
      <c r="Q19" s="251"/>
      <c r="R19" s="251"/>
      <c r="S19" s="251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7.6923076999999996E-3</v>
      </c>
      <c r="D20" s="15">
        <f t="shared" si="2"/>
        <v>136</v>
      </c>
      <c r="E20" s="32">
        <f t="shared" si="3"/>
        <v>3.8167938931297711E-2</v>
      </c>
      <c r="F20" s="18">
        <f t="shared" si="4"/>
        <v>3816.7938931297713</v>
      </c>
      <c r="G20" s="31">
        <f t="shared" si="5"/>
        <v>137</v>
      </c>
      <c r="H20" s="32">
        <f t="shared" si="6"/>
        <v>4.5801526717557252E-2</v>
      </c>
      <c r="I20" s="101">
        <f t="shared" si="7"/>
        <v>4580.1526717557254</v>
      </c>
      <c r="J20" s="15">
        <f t="shared" si="8"/>
        <v>136</v>
      </c>
      <c r="K20" s="32">
        <f t="shared" si="9"/>
        <v>3.8167938931297711E-2</v>
      </c>
      <c r="L20" s="18">
        <f t="shared" si="10"/>
        <v>3816.7938931297713</v>
      </c>
      <c r="M20" s="31">
        <f t="shared" si="11"/>
        <v>139</v>
      </c>
      <c r="N20" s="32">
        <f t="shared" si="12"/>
        <v>6.1068702290076333E-2</v>
      </c>
      <c r="O20" s="18">
        <f t="shared" si="13"/>
        <v>6106.8702290076335</v>
      </c>
      <c r="Q20" s="251"/>
      <c r="R20" s="251"/>
      <c r="S20" s="251"/>
    </row>
    <row r="21" spans="1:19" ht="17.25" customHeight="1" thickBot="1">
      <c r="A21" s="163" t="s">
        <v>242</v>
      </c>
      <c r="B21" s="128">
        <f t="shared" si="0"/>
        <v>250</v>
      </c>
      <c r="C21" s="78">
        <f t="shared" si="1"/>
        <v>-0.11032028469999999</v>
      </c>
      <c r="D21" s="20">
        <f t="shared" si="2"/>
        <v>260</v>
      </c>
      <c r="E21" s="21">
        <f t="shared" si="3"/>
        <v>0.04</v>
      </c>
      <c r="F21" s="22">
        <f t="shared" si="4"/>
        <v>4000</v>
      </c>
      <c r="G21" s="30">
        <f t="shared" si="5"/>
        <v>257</v>
      </c>
      <c r="H21" s="21">
        <f t="shared" si="6"/>
        <v>2.8000000000000001E-2</v>
      </c>
      <c r="I21" s="105">
        <f t="shared" si="7"/>
        <v>2800</v>
      </c>
      <c r="J21" s="20">
        <f t="shared" si="8"/>
        <v>254</v>
      </c>
      <c r="K21" s="21">
        <f t="shared" si="9"/>
        <v>1.6E-2</v>
      </c>
      <c r="L21" s="22">
        <f t="shared" si="10"/>
        <v>1600</v>
      </c>
      <c r="M21" s="30">
        <f t="shared" si="11"/>
        <v>262</v>
      </c>
      <c r="N21" s="21">
        <f t="shared" si="12"/>
        <v>4.8000000000000001E-2</v>
      </c>
      <c r="O21" s="22">
        <f t="shared" si="13"/>
        <v>4800</v>
      </c>
      <c r="Q21" s="251"/>
      <c r="R21" s="251"/>
      <c r="S21" s="251"/>
    </row>
    <row r="22" spans="1:19" ht="17.25" customHeight="1" thickBot="1">
      <c r="A22" s="162" t="s">
        <v>214</v>
      </c>
      <c r="B22" s="129">
        <f t="shared" si="0"/>
        <v>250</v>
      </c>
      <c r="C22" s="80">
        <f t="shared" si="1"/>
        <v>6.3829787200000002E-2</v>
      </c>
      <c r="D22" s="106">
        <f t="shared" si="2"/>
        <v>243</v>
      </c>
      <c r="E22" s="107">
        <f t="shared" si="3"/>
        <v>-2.8000000000000001E-2</v>
      </c>
      <c r="F22" s="108">
        <f t="shared" si="4"/>
        <v>-2800</v>
      </c>
      <c r="G22" s="109">
        <f t="shared" si="5"/>
        <v>243</v>
      </c>
      <c r="H22" s="107">
        <f t="shared" si="6"/>
        <v>-2.8000000000000001E-2</v>
      </c>
      <c r="I22" s="110">
        <f t="shared" si="7"/>
        <v>-2800</v>
      </c>
      <c r="J22" s="106">
        <f t="shared" si="8"/>
        <v>243</v>
      </c>
      <c r="K22" s="107">
        <f t="shared" si="9"/>
        <v>-2.8000000000000001E-2</v>
      </c>
      <c r="L22" s="108">
        <f t="shared" si="10"/>
        <v>-2800</v>
      </c>
      <c r="M22" s="109">
        <f t="shared" si="11"/>
        <v>248</v>
      </c>
      <c r="N22" s="107">
        <f t="shared" si="12"/>
        <v>-8.0000000000000002E-3</v>
      </c>
      <c r="O22" s="108">
        <f t="shared" si="13"/>
        <v>-800</v>
      </c>
      <c r="Q22" s="251"/>
      <c r="R22" s="251"/>
      <c r="S22" s="251"/>
    </row>
    <row r="23" spans="1:19" ht="17.25" customHeight="1" thickBot="1">
      <c r="A23" s="162" t="s">
        <v>169</v>
      </c>
      <c r="B23" s="126">
        <f t="shared" si="0"/>
        <v>256</v>
      </c>
      <c r="C23" s="77">
        <f t="shared" si="1"/>
        <v>5.7851239700000001E-2</v>
      </c>
      <c r="D23" s="15">
        <f t="shared" si="2"/>
        <v>238</v>
      </c>
      <c r="E23" s="32">
        <f t="shared" si="3"/>
        <v>-7.03125E-2</v>
      </c>
      <c r="F23" s="18">
        <f t="shared" si="4"/>
        <v>-7031.25</v>
      </c>
      <c r="G23" s="31">
        <f t="shared" si="5"/>
        <v>242</v>
      </c>
      <c r="H23" s="32">
        <f t="shared" si="6"/>
        <v>-5.46875E-2</v>
      </c>
      <c r="I23" s="101">
        <f t="shared" si="7"/>
        <v>-5468.75</v>
      </c>
      <c r="J23" s="15">
        <f t="shared" si="8"/>
        <v>242</v>
      </c>
      <c r="K23" s="32">
        <f t="shared" si="9"/>
        <v>-5.46875E-2</v>
      </c>
      <c r="L23" s="18">
        <f t="shared" si="10"/>
        <v>-5468.75</v>
      </c>
      <c r="M23" s="31">
        <f t="shared" si="11"/>
        <v>247</v>
      </c>
      <c r="N23" s="32">
        <f t="shared" si="12"/>
        <v>-3.515625E-2</v>
      </c>
      <c r="O23" s="18">
        <f t="shared" si="13"/>
        <v>-3515.625</v>
      </c>
      <c r="Q23" s="251"/>
      <c r="R23" s="251"/>
      <c r="S23" s="251"/>
    </row>
    <row r="24" spans="1:19" ht="17.25" customHeight="1" thickBot="1">
      <c r="A24" s="162" t="s">
        <v>191</v>
      </c>
      <c r="B24" s="126">
        <f t="shared" si="0"/>
        <v>957</v>
      </c>
      <c r="C24" s="77">
        <f t="shared" si="1"/>
        <v>4.7045951900000001E-2</v>
      </c>
      <c r="D24" s="15">
        <f t="shared" si="2"/>
        <v>1015</v>
      </c>
      <c r="E24" s="32">
        <f t="shared" si="3"/>
        <v>6.0606060606060608E-2</v>
      </c>
      <c r="F24" s="18">
        <f t="shared" si="4"/>
        <v>6060.606060606061</v>
      </c>
      <c r="G24" s="31">
        <f t="shared" si="5"/>
        <v>991</v>
      </c>
      <c r="H24" s="32">
        <f t="shared" si="6"/>
        <v>3.5527690700104496E-2</v>
      </c>
      <c r="I24" s="101">
        <f t="shared" si="7"/>
        <v>3552.7690700104495</v>
      </c>
      <c r="J24" s="15">
        <f t="shared" si="8"/>
        <v>980</v>
      </c>
      <c r="K24" s="32">
        <f t="shared" si="9"/>
        <v>2.4033437826541274E-2</v>
      </c>
      <c r="L24" s="18">
        <f t="shared" si="10"/>
        <v>2403.3437826541276</v>
      </c>
      <c r="M24" s="31">
        <f t="shared" si="11"/>
        <v>999</v>
      </c>
      <c r="N24" s="32">
        <f t="shared" si="12"/>
        <v>4.3887147335423198E-2</v>
      </c>
      <c r="O24" s="18">
        <f t="shared" si="13"/>
        <v>4388.7147335423197</v>
      </c>
      <c r="Q24" s="251"/>
      <c r="R24" s="251"/>
      <c r="S24" s="251"/>
    </row>
    <row r="25" spans="1:19" ht="17.25" customHeight="1" thickBot="1">
      <c r="A25" s="162" t="s">
        <v>114</v>
      </c>
      <c r="B25" s="126">
        <f t="shared" si="0"/>
        <v>9475</v>
      </c>
      <c r="C25" s="77">
        <f t="shared" si="1"/>
        <v>3.7219485500000003E-2</v>
      </c>
      <c r="D25" s="15">
        <f t="shared" si="2"/>
        <v>10020</v>
      </c>
      <c r="E25" s="32">
        <f t="shared" si="3"/>
        <v>5.7519788918205805E-2</v>
      </c>
      <c r="F25" s="18">
        <f t="shared" si="4"/>
        <v>5751.9788918205804</v>
      </c>
      <c r="G25" s="31">
        <f t="shared" si="5"/>
        <v>10420</v>
      </c>
      <c r="H25" s="32">
        <f t="shared" si="6"/>
        <v>9.9736147757255936E-2</v>
      </c>
      <c r="I25" s="101">
        <f t="shared" si="7"/>
        <v>9973.6147757255931</v>
      </c>
      <c r="J25" s="15">
        <f t="shared" si="8"/>
        <v>10510</v>
      </c>
      <c r="K25" s="32">
        <f t="shared" si="9"/>
        <v>0.10923482849604221</v>
      </c>
      <c r="L25" s="18">
        <f t="shared" si="10"/>
        <v>10923.482849604221</v>
      </c>
      <c r="M25" s="31">
        <f t="shared" si="11"/>
        <v>10570</v>
      </c>
      <c r="N25" s="32">
        <f t="shared" si="12"/>
        <v>0.11556728232189974</v>
      </c>
      <c r="O25" s="18">
        <f t="shared" si="13"/>
        <v>11556.728232189973</v>
      </c>
      <c r="Q25" s="33"/>
      <c r="R25" s="33"/>
    </row>
    <row r="26" spans="1:19" ht="17.25" customHeight="1" thickBot="1">
      <c r="A26" s="130" t="s">
        <v>185</v>
      </c>
      <c r="B26" s="131">
        <f t="shared" si="0"/>
        <v>14</v>
      </c>
      <c r="C26" s="79">
        <f t="shared" si="1"/>
        <v>3.7037037000000002E-2</v>
      </c>
      <c r="D26" s="24">
        <f t="shared" si="2"/>
        <v>14.6</v>
      </c>
      <c r="E26" s="25">
        <f t="shared" si="3"/>
        <v>4.285714285714283E-2</v>
      </c>
      <c r="F26" s="104">
        <f t="shared" si="4"/>
        <v>4285.7142857142826</v>
      </c>
      <c r="G26" s="102">
        <f t="shared" si="5"/>
        <v>14.6</v>
      </c>
      <c r="H26" s="25">
        <f t="shared" si="6"/>
        <v>4.285714285714283E-2</v>
      </c>
      <c r="I26" s="103">
        <f t="shared" si="7"/>
        <v>4285.7142857142826</v>
      </c>
      <c r="J26" s="24">
        <f t="shared" si="8"/>
        <v>14.5</v>
      </c>
      <c r="K26" s="25">
        <f t="shared" si="9"/>
        <v>3.5714285714285712E-2</v>
      </c>
      <c r="L26" s="104">
        <f t="shared" si="10"/>
        <v>3571.4285714285711</v>
      </c>
      <c r="M26" s="102">
        <f t="shared" si="11"/>
        <v>14.9</v>
      </c>
      <c r="N26" s="25">
        <f t="shared" si="12"/>
        <v>6.4285714285714307E-2</v>
      </c>
      <c r="O26" s="104">
        <f t="shared" si="13"/>
        <v>6428.5714285714303</v>
      </c>
      <c r="Q26" s="252"/>
      <c r="R26" s="253"/>
      <c r="S26" s="254"/>
    </row>
    <row r="27" spans="1:19" ht="17.25" customHeight="1">
      <c r="A27" s="161" t="s">
        <v>269</v>
      </c>
      <c r="B27" s="124">
        <f t="shared" si="0"/>
        <v>7110</v>
      </c>
      <c r="C27" s="76">
        <f t="shared" si="1"/>
        <v>7.6457229400000007E-2</v>
      </c>
      <c r="D27" s="13">
        <f t="shared" si="2"/>
        <v>7825</v>
      </c>
      <c r="E27" s="14">
        <f t="shared" si="3"/>
        <v>0.10056258790436005</v>
      </c>
      <c r="F27" s="16">
        <f t="shared" si="4"/>
        <v>10056.258790436006</v>
      </c>
      <c r="G27" s="29">
        <f t="shared" si="5"/>
        <v>7635</v>
      </c>
      <c r="H27" s="14">
        <f t="shared" si="6"/>
        <v>7.3839662447257384E-2</v>
      </c>
      <c r="I27" s="100">
        <f t="shared" si="7"/>
        <v>7383.9662447257388</v>
      </c>
      <c r="J27" s="13">
        <f t="shared" si="8"/>
        <v>7465</v>
      </c>
      <c r="K27" s="14">
        <f t="shared" si="9"/>
        <v>4.9929676511954992E-2</v>
      </c>
      <c r="L27" s="16">
        <f t="shared" si="10"/>
        <v>4992.9676511954995</v>
      </c>
      <c r="M27" s="29">
        <f t="shared" si="11"/>
        <v>7875</v>
      </c>
      <c r="N27" s="14">
        <f t="shared" si="12"/>
        <v>0.10759493670886076</v>
      </c>
      <c r="O27" s="16">
        <f t="shared" si="13"/>
        <v>10759.493670886077</v>
      </c>
      <c r="Q27" s="255"/>
      <c r="R27" s="256"/>
      <c r="S27" s="257"/>
    </row>
    <row r="28" spans="1:19" ht="17.25" customHeight="1" thickBot="1">
      <c r="A28" s="162" t="s">
        <v>146</v>
      </c>
      <c r="B28" s="126">
        <f t="shared" si="0"/>
        <v>9075</v>
      </c>
      <c r="C28" s="77">
        <f t="shared" si="1"/>
        <v>3.0079455200000001E-2</v>
      </c>
      <c r="D28" s="15">
        <f t="shared" si="2"/>
        <v>9090</v>
      </c>
      <c r="E28" s="32">
        <f t="shared" si="3"/>
        <v>1.652892561983471E-3</v>
      </c>
      <c r="F28" s="18">
        <f t="shared" si="4"/>
        <v>165.28925619834709</v>
      </c>
      <c r="G28" s="31">
        <f t="shared" si="5"/>
        <v>9095</v>
      </c>
      <c r="H28" s="32">
        <f t="shared" si="6"/>
        <v>2.2038567493112946E-3</v>
      </c>
      <c r="I28" s="101">
        <f t="shared" si="7"/>
        <v>220.38567493112944</v>
      </c>
      <c r="J28" s="15">
        <f t="shared" si="8"/>
        <v>9070</v>
      </c>
      <c r="K28" s="32">
        <f t="shared" si="9"/>
        <v>-5.5096418732782364E-4</v>
      </c>
      <c r="L28" s="18">
        <f t="shared" si="10"/>
        <v>-55.096418732782361</v>
      </c>
      <c r="M28" s="31">
        <f t="shared" si="11"/>
        <v>9320</v>
      </c>
      <c r="N28" s="32">
        <f t="shared" si="12"/>
        <v>2.6997245179063361E-2</v>
      </c>
      <c r="O28" s="18">
        <f t="shared" si="13"/>
        <v>2699.7245179063361</v>
      </c>
      <c r="Q28" s="258"/>
      <c r="R28" s="259"/>
      <c r="S28" s="260"/>
    </row>
    <row r="29" spans="1:19" ht="17.25" customHeight="1" thickBot="1">
      <c r="A29" s="162" t="s">
        <v>265</v>
      </c>
      <c r="B29" s="126">
        <f t="shared" si="0"/>
        <v>309</v>
      </c>
      <c r="C29" s="77">
        <f t="shared" si="1"/>
        <v>2.3178807900000001E-2</v>
      </c>
      <c r="D29" s="15">
        <f t="shared" si="2"/>
        <v>317</v>
      </c>
      <c r="E29" s="32">
        <f t="shared" si="3"/>
        <v>2.5889967637540454E-2</v>
      </c>
      <c r="F29" s="18">
        <f t="shared" si="4"/>
        <v>2588.9967637540453</v>
      </c>
      <c r="G29" s="31">
        <f t="shared" si="5"/>
        <v>324</v>
      </c>
      <c r="H29" s="32">
        <f t="shared" si="6"/>
        <v>4.8543689320388349E-2</v>
      </c>
      <c r="I29" s="101">
        <f t="shared" si="7"/>
        <v>4854.3689320388348</v>
      </c>
      <c r="J29" s="15">
        <f t="shared" si="8"/>
        <v>329</v>
      </c>
      <c r="K29" s="32">
        <f t="shared" si="9"/>
        <v>6.4724919093851127E-2</v>
      </c>
      <c r="L29" s="18">
        <f t="shared" si="10"/>
        <v>6472.4919093851131</v>
      </c>
      <c r="M29" s="31">
        <f t="shared" si="11"/>
        <v>338</v>
      </c>
      <c r="N29" s="32">
        <f t="shared" si="12"/>
        <v>9.3851132686084138E-2</v>
      </c>
      <c r="O29" s="18">
        <f t="shared" si="13"/>
        <v>9385.1132686084129</v>
      </c>
      <c r="Q29" s="251"/>
      <c r="R29" s="251"/>
      <c r="S29" s="251"/>
    </row>
    <row r="30" spans="1:19" ht="17.25" customHeight="1" thickBot="1">
      <c r="A30" s="162" t="s">
        <v>271</v>
      </c>
      <c r="B30" s="126">
        <f t="shared" si="0"/>
        <v>2430</v>
      </c>
      <c r="C30" s="77">
        <f t="shared" si="1"/>
        <v>2.10084034E-2</v>
      </c>
      <c r="D30" s="15">
        <f t="shared" si="2"/>
        <v>2445</v>
      </c>
      <c r="E30" s="32">
        <f t="shared" si="3"/>
        <v>6.1728395061728392E-3</v>
      </c>
      <c r="F30" s="18">
        <f t="shared" si="4"/>
        <v>617.28395061728395</v>
      </c>
      <c r="G30" s="31">
        <f t="shared" si="5"/>
        <v>2450</v>
      </c>
      <c r="H30" s="32">
        <f t="shared" si="6"/>
        <v>8.23045267489712E-3</v>
      </c>
      <c r="I30" s="101">
        <f t="shared" si="7"/>
        <v>823.04526748971205</v>
      </c>
      <c r="J30" s="15">
        <f t="shared" si="8"/>
        <v>2460</v>
      </c>
      <c r="K30" s="32">
        <f t="shared" si="9"/>
        <v>1.2345679012345678E-2</v>
      </c>
      <c r="L30" s="18">
        <f t="shared" si="10"/>
        <v>1234.5679012345679</v>
      </c>
      <c r="M30" s="31">
        <f t="shared" si="11"/>
        <v>2530</v>
      </c>
      <c r="N30" s="32">
        <f t="shared" si="12"/>
        <v>4.1152263374485597E-2</v>
      </c>
      <c r="O30" s="18">
        <f t="shared" si="13"/>
        <v>4115.2263374485601</v>
      </c>
      <c r="Q30" s="261"/>
      <c r="R30" s="261"/>
      <c r="S30" s="261"/>
    </row>
    <row r="31" spans="1:19" ht="17.25" customHeight="1" thickBot="1">
      <c r="A31" s="163" t="s">
        <v>267</v>
      </c>
      <c r="B31" s="128">
        <f t="shared" si="0"/>
        <v>1235</v>
      </c>
      <c r="C31" s="78">
        <f t="shared" si="1"/>
        <v>2.0661156999999999E-2</v>
      </c>
      <c r="D31" s="20">
        <f t="shared" si="2"/>
        <v>1225</v>
      </c>
      <c r="E31" s="21">
        <f t="shared" si="3"/>
        <v>-8.0971659919028341E-3</v>
      </c>
      <c r="F31" s="22">
        <f t="shared" si="4"/>
        <v>-809.71659919028343</v>
      </c>
      <c r="G31" s="30">
        <f t="shared" si="5"/>
        <v>1230</v>
      </c>
      <c r="H31" s="21">
        <f t="shared" si="6"/>
        <v>-4.048582995951417E-3</v>
      </c>
      <c r="I31" s="105">
        <f t="shared" si="7"/>
        <v>-404.85829959514172</v>
      </c>
      <c r="J31" s="20">
        <f t="shared" si="8"/>
        <v>1230</v>
      </c>
      <c r="K31" s="21">
        <f t="shared" si="9"/>
        <v>-4.048582995951417E-3</v>
      </c>
      <c r="L31" s="22">
        <f t="shared" si="10"/>
        <v>-404.85829959514172</v>
      </c>
      <c r="M31" s="30">
        <f t="shared" si="11"/>
        <v>1255</v>
      </c>
      <c r="N31" s="21">
        <f t="shared" si="12"/>
        <v>1.6194331983805668E-2</v>
      </c>
      <c r="O31" s="22">
        <f t="shared" si="13"/>
        <v>1619.4331983805669</v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304">
        <v>100000</v>
      </c>
      <c r="C37" s="305"/>
      <c r="D37" s="26" t="s">
        <v>43</v>
      </c>
      <c r="E37" s="27">
        <f>IF(COUNT(E17:E36), SUM(E17:E36) / COUNT(E17:E36), 0)</f>
        <v>3.2013786340240678E-2</v>
      </c>
      <c r="F37" s="28">
        <f>SUM(F17:F36)</f>
        <v>48020.67951036102</v>
      </c>
      <c r="G37" s="26" t="s">
        <v>43</v>
      </c>
      <c r="H37" s="27">
        <f>IF(COUNT(H17:H36), SUM(H17:H36) / COUNT(H17:H36), 0)</f>
        <v>4.1159305138258502E-2</v>
      </c>
      <c r="I37" s="28">
        <f>SUM(I17:I36)</f>
        <v>61738.957707387752</v>
      </c>
      <c r="J37" s="26" t="s">
        <v>43</v>
      </c>
      <c r="K37" s="27">
        <f>IF(COUNT(K17:K36), SUM(K17:K36) / COUNT(K17:K36), 0)</f>
        <v>3.4691039151743035E-2</v>
      </c>
      <c r="L37" s="28">
        <f>SUM(L17:L36)</f>
        <v>52036.558727614552</v>
      </c>
      <c r="M37" s="26" t="s">
        <v>43</v>
      </c>
      <c r="N37" s="27">
        <f>IF(COUNT(N17:N36), SUM(N17:N36) / COUNT(N17:N36), 0)</f>
        <v>5.9133070293118407E-2</v>
      </c>
      <c r="O37" s="28">
        <f>SUM(O17:O36)</f>
        <v>88699.605439677602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262" t="s">
        <v>44</v>
      </c>
      <c r="B40" s="263"/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4"/>
      <c r="Q40" s="261"/>
      <c r="R40" s="261"/>
      <c r="S40" s="261"/>
    </row>
    <row r="41" spans="1:19" ht="17.25" customHeight="1" thickBot="1">
      <c r="A41" s="212" t="s">
        <v>292</v>
      </c>
      <c r="B41" s="262" t="s">
        <v>49</v>
      </c>
      <c r="C41" s="264"/>
      <c r="D41" s="262" t="s">
        <v>58</v>
      </c>
      <c r="E41" s="263"/>
      <c r="F41" s="264"/>
      <c r="G41" s="265">
        <f>_xlfn.IFNA(VLOOKUP(B41, 현재가테이블!$B$2:$D$200, 2, FALSE), "-")</f>
        <v>40538000</v>
      </c>
      <c r="H41" s="266"/>
      <c r="I41" s="267"/>
      <c r="J41" s="262" t="s">
        <v>59</v>
      </c>
      <c r="K41" s="263"/>
      <c r="L41" s="264"/>
      <c r="M41" s="268">
        <f>_xlfn.IFNA(VLOOKUP(B41, 현재가테이블!$B$2:$D$200, 3, FALSE), "-")</f>
        <v>-3.68275993E-2</v>
      </c>
      <c r="N41" s="269"/>
      <c r="O41" s="270"/>
      <c r="Q41" s="261"/>
      <c r="R41" s="261"/>
      <c r="S41" s="261"/>
    </row>
    <row r="42" spans="1:19" ht="17.25" customHeight="1" thickBot="1">
      <c r="A42" s="306" t="s">
        <v>55</v>
      </c>
      <c r="B42" s="302" t="str">
        <f>TEXT($G$1, "[$-ko-KR]yyyy-mm-dd(ddd) ") &amp; "오전 00:00"</f>
        <v>2021-06-14(월) 오전 00:00</v>
      </c>
      <c r="C42" s="303"/>
      <c r="D42" s="275" t="str">
        <f>TEXT($G$1, "[$-ko-KR]yyyy-mm-dd(ddd) ") &amp; "오후 14:00"</f>
        <v>2021-06-14(월) 오후 14:00</v>
      </c>
      <c r="E42" s="276"/>
      <c r="F42" s="277"/>
      <c r="G42" s="275" t="str">
        <f>TEXT($G$1, "[$-ko-KR]yyyy-mm-dd(ddd) ") &amp; "오후 19:00"</f>
        <v>2021-06-14(월) 오후 19:00</v>
      </c>
      <c r="H42" s="276"/>
      <c r="I42" s="277"/>
      <c r="J42" s="275" t="str">
        <f>TEXT($G$1, "[$-ko-KR]yyyy-mm-dd(ddd) ") &amp; "오후 21:00"</f>
        <v>2021-06-14(월) 오후 21:00</v>
      </c>
      <c r="K42" s="276"/>
      <c r="L42" s="277"/>
      <c r="M42" s="275" t="str">
        <f>TEXT($G$1+1, "[$-ko-KR]yyyy-mm-dd(ddd) ") &amp; "오전 00:00"</f>
        <v>2021-06-15(화) 오전 00:00</v>
      </c>
      <c r="N42" s="276"/>
      <c r="O42" s="277"/>
      <c r="Q42" s="261"/>
      <c r="R42" s="261"/>
      <c r="S42" s="261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3" t="s">
        <v>58</v>
      </c>
      <c r="H43" s="214" t="s">
        <v>293</v>
      </c>
      <c r="I43" s="21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1"/>
      <c r="R43" s="251"/>
      <c r="S43" s="251"/>
    </row>
    <row r="44" spans="1:19" ht="17.25" customHeight="1" thickBot="1">
      <c r="A44" s="161" t="s">
        <v>185</v>
      </c>
      <c r="B44" s="124">
        <v>14</v>
      </c>
      <c r="C44" s="76">
        <v>3.7037037000000002E-2</v>
      </c>
      <c r="D44" s="13">
        <v>14.6</v>
      </c>
      <c r="E44" s="14">
        <f>IF(ISNUMBER(D44), (D44 - $B44) / $B44, "")</f>
        <v>4.285714285714283E-2</v>
      </c>
      <c r="F44" s="16">
        <f>IF(ISNUMBER(D44), $B64 * E44, "")</f>
        <v>4285.7142857142826</v>
      </c>
      <c r="G44" s="29">
        <v>14.6</v>
      </c>
      <c r="H44" s="14">
        <f>IF(ISNUMBER(G44), (G44 - $B44) / $B44, "")</f>
        <v>4.285714285714283E-2</v>
      </c>
      <c r="I44" s="100">
        <f>IF(ISNUMBER(G44), $B64 * H44, "")</f>
        <v>4285.7142857142826</v>
      </c>
      <c r="J44" s="13">
        <v>14.5</v>
      </c>
      <c r="K44" s="14">
        <f>IF(ISNUMBER(J44), (J44 - $B44) / $B44, "")</f>
        <v>3.5714285714285712E-2</v>
      </c>
      <c r="L44" s="16">
        <f>IF(ISNUMBER(J44), $B64 * K44, "")</f>
        <v>3571.4285714285711</v>
      </c>
      <c r="M44" s="29">
        <v>14.9</v>
      </c>
      <c r="N44" s="14">
        <f>IF(ISNUMBER(M44), (M44 - $B44) / $B44, "")</f>
        <v>6.4285714285714307E-2</v>
      </c>
      <c r="O44" s="16">
        <f>IF(ISNUMBER(M44), $B64 * N44, "")</f>
        <v>6428.5714285714303</v>
      </c>
      <c r="Q44" s="261"/>
      <c r="R44" s="261"/>
      <c r="S44" s="261"/>
    </row>
    <row r="45" spans="1:19" ht="17.25" customHeight="1" thickBot="1">
      <c r="A45" s="162" t="s">
        <v>65</v>
      </c>
      <c r="B45" s="126">
        <v>30.7</v>
      </c>
      <c r="C45" s="77">
        <v>-3.2467531999999999E-3</v>
      </c>
      <c r="D45" s="15">
        <v>31.7</v>
      </c>
      <c r="E45" s="32">
        <f t="shared" ref="E45:E48" si="14">IF(ISNUMBER(D45), (D45 - $B45) / $B45, "")</f>
        <v>3.2573289902280131E-2</v>
      </c>
      <c r="F45" s="18">
        <f>IF(ISNUMBER(D45), $B64 * E45, "")</f>
        <v>3257.328990228013</v>
      </c>
      <c r="G45" s="31">
        <v>31.7</v>
      </c>
      <c r="H45" s="32">
        <f t="shared" ref="H45:H48" si="15">IF(ISNUMBER(G45), (G45 - $B45) / $B45, "")</f>
        <v>3.2573289902280131E-2</v>
      </c>
      <c r="I45" s="101">
        <f>IF(ISNUMBER(G45), $B64 * H45, "")</f>
        <v>3257.328990228013</v>
      </c>
      <c r="J45" s="15">
        <v>31.7</v>
      </c>
      <c r="K45" s="32">
        <f t="shared" ref="K45:K48" si="16">IF(ISNUMBER(J45), (J45 - $B45) / $B45, "")</f>
        <v>3.2573289902280131E-2</v>
      </c>
      <c r="L45" s="18">
        <f>IF(ISNUMBER(J45), $B64 * K45, "")</f>
        <v>3257.328990228013</v>
      </c>
      <c r="M45" s="31">
        <v>33</v>
      </c>
      <c r="N45" s="32">
        <f t="shared" ref="N45:N48" si="17">IF(ISNUMBER(M45), (M45 - $B45) / $B45, "")</f>
        <v>7.4918566775244319E-2</v>
      </c>
      <c r="O45" s="18">
        <f>IF(ISNUMBER(M45), $B64 * N45, "")</f>
        <v>7491.8566775244317</v>
      </c>
      <c r="Q45" s="261"/>
      <c r="R45" s="261"/>
      <c r="S45" s="261"/>
    </row>
    <row r="46" spans="1:19" ht="17.25" customHeight="1" thickBot="1">
      <c r="A46" s="162" t="s">
        <v>100</v>
      </c>
      <c r="B46" s="126">
        <v>3.89</v>
      </c>
      <c r="C46" s="77">
        <v>-5.1150895000000004E-3</v>
      </c>
      <c r="D46" s="15">
        <v>4</v>
      </c>
      <c r="E46" s="32">
        <f t="shared" si="14"/>
        <v>2.8277634961439556E-2</v>
      </c>
      <c r="F46" s="18">
        <f>IF(ISNUMBER(D46), $B64 * E46, "")</f>
        <v>2827.7634961439558</v>
      </c>
      <c r="G46" s="31">
        <v>4.01</v>
      </c>
      <c r="H46" s="32">
        <f t="shared" si="15"/>
        <v>3.08483290488431E-2</v>
      </c>
      <c r="I46" s="101">
        <f>IF(ISNUMBER(G46), $B64 * H46, "")</f>
        <v>3084.8329048843102</v>
      </c>
      <c r="J46" s="15">
        <v>3.98</v>
      </c>
      <c r="K46" s="32">
        <f t="shared" si="16"/>
        <v>2.3136246786632352E-2</v>
      </c>
      <c r="L46" s="18">
        <f>IF(ISNUMBER(J46), $B64 * K46, "")</f>
        <v>2313.624678663235</v>
      </c>
      <c r="M46" s="31">
        <v>4.08</v>
      </c>
      <c r="N46" s="32">
        <f t="shared" si="17"/>
        <v>4.8843187660668363E-2</v>
      </c>
      <c r="O46" s="18">
        <f>IF(ISNUMBER(M46), $B64 * N46, "")</f>
        <v>4884.3187660668364</v>
      </c>
      <c r="Q46" s="251"/>
      <c r="R46" s="251"/>
      <c r="S46" s="251"/>
    </row>
    <row r="47" spans="1:19" ht="17.25" customHeight="1" thickBot="1">
      <c r="A47" s="162" t="s">
        <v>152</v>
      </c>
      <c r="B47" s="126">
        <v>17.3</v>
      </c>
      <c r="C47" s="77">
        <v>-5.7471264000000001E-3</v>
      </c>
      <c r="D47" s="15">
        <v>18.2</v>
      </c>
      <c r="E47" s="32">
        <f t="shared" si="14"/>
        <v>5.2023121387283155E-2</v>
      </c>
      <c r="F47" s="18">
        <f>IF(ISNUMBER(D47), $B64 * E47, "")</f>
        <v>5202.3121387283154</v>
      </c>
      <c r="G47" s="31">
        <v>18.2</v>
      </c>
      <c r="H47" s="32">
        <f t="shared" si="15"/>
        <v>5.2023121387283155E-2</v>
      </c>
      <c r="I47" s="101">
        <f>IF(ISNUMBER(G47), $B64 * H47, "")</f>
        <v>5202.3121387283154</v>
      </c>
      <c r="J47" s="15">
        <v>18</v>
      </c>
      <c r="K47" s="32">
        <f t="shared" si="16"/>
        <v>4.0462427745664699E-2</v>
      </c>
      <c r="L47" s="18">
        <f>IF(ISNUMBER(J47), $B64 * K47, "")</f>
        <v>4046.24277456647</v>
      </c>
      <c r="M47" s="31">
        <v>18.399999999999999</v>
      </c>
      <c r="N47" s="32">
        <f t="shared" si="17"/>
        <v>6.3583815028901605E-2</v>
      </c>
      <c r="O47" s="18">
        <f>IF(ISNUMBER(M47), $B64 * N47, "")</f>
        <v>6358.3815028901608</v>
      </c>
      <c r="Q47" s="251"/>
      <c r="R47" s="251"/>
      <c r="S47" s="251"/>
    </row>
    <row r="48" spans="1:19" ht="17.25" customHeight="1" thickBot="1">
      <c r="A48" s="163" t="s">
        <v>156</v>
      </c>
      <c r="B48" s="128">
        <v>78.599999999999994</v>
      </c>
      <c r="C48" s="78">
        <v>-7.5757576E-3</v>
      </c>
      <c r="D48" s="20">
        <v>81.2</v>
      </c>
      <c r="E48" s="21">
        <f t="shared" si="14"/>
        <v>3.307888040712479E-2</v>
      </c>
      <c r="F48" s="22">
        <f>IF(ISNUMBER(D48), $B64 * E48, "")</f>
        <v>3307.8880407124789</v>
      </c>
      <c r="G48" s="30">
        <v>81.3</v>
      </c>
      <c r="H48" s="21">
        <f t="shared" si="15"/>
        <v>3.4351145038167975E-2</v>
      </c>
      <c r="I48" s="105">
        <f>IF(ISNUMBER(G48), $B64 * H48, "")</f>
        <v>3435.1145038167974</v>
      </c>
      <c r="J48" s="20">
        <v>81</v>
      </c>
      <c r="K48" s="21">
        <f t="shared" si="16"/>
        <v>3.0534351145038243E-2</v>
      </c>
      <c r="L48" s="22">
        <f>IF(ISNUMBER(J48), $B64 * K48, "")</f>
        <v>3053.4351145038245</v>
      </c>
      <c r="M48" s="30">
        <v>83</v>
      </c>
      <c r="N48" s="21">
        <f t="shared" si="17"/>
        <v>5.5979643765903385E-2</v>
      </c>
      <c r="O48" s="22">
        <f>IF(ISNUMBER(M48), $B64 * N48, "")</f>
        <v>5597.9643765903384</v>
      </c>
      <c r="Q48" s="251"/>
      <c r="R48" s="251"/>
      <c r="S48" s="251"/>
    </row>
    <row r="49" spans="1:19" ht="17.25" customHeight="1" thickBot="1">
      <c r="A49" s="162" t="s">
        <v>134</v>
      </c>
      <c r="B49" s="129">
        <v>75.900000000000006</v>
      </c>
      <c r="C49" s="80">
        <v>-7.8431373000000006E-3</v>
      </c>
      <c r="D49" s="106">
        <v>76.8</v>
      </c>
      <c r="E49" s="107">
        <f>IF(ISNUMBER(D49), (D49 - $B49) / $B49, "")</f>
        <v>1.1857707509881309E-2</v>
      </c>
      <c r="F49" s="108">
        <f>IF(ISNUMBER(D49), $B64 * E49, "")</f>
        <v>1185.7707509881309</v>
      </c>
      <c r="G49" s="109">
        <v>83.4</v>
      </c>
      <c r="H49" s="107">
        <f>IF(ISNUMBER(G49), (G49 - $B49) / $B49, "")</f>
        <v>9.8814229249011856E-2</v>
      </c>
      <c r="I49" s="110">
        <f>IF(ISNUMBER(G49), $B64 * H49, "")</f>
        <v>9881.422924901186</v>
      </c>
      <c r="J49" s="106">
        <v>80.8</v>
      </c>
      <c r="K49" s="107">
        <f>IF(ISNUMBER(J49), (J49 - $B49) / $B49, "")</f>
        <v>6.4558629776020962E-2</v>
      </c>
      <c r="L49" s="108">
        <f>IF(ISNUMBER(J49), $B64 * K49, "")</f>
        <v>6455.8629776020962</v>
      </c>
      <c r="M49" s="109">
        <v>81.400000000000006</v>
      </c>
      <c r="N49" s="107">
        <f>IF(ISNUMBER(M49), (M49 - $B49) / $B49, "")</f>
        <v>7.2463768115942018E-2</v>
      </c>
      <c r="O49" s="108">
        <f>IF(ISNUMBER(M49), $B64 * N49, "")</f>
        <v>7246.3768115942021</v>
      </c>
      <c r="Q49" s="251"/>
      <c r="R49" s="251"/>
      <c r="S49" s="251"/>
    </row>
    <row r="50" spans="1:19" ht="17.25" customHeight="1" thickBot="1">
      <c r="A50" s="162" t="s">
        <v>72</v>
      </c>
      <c r="B50" s="126">
        <v>18</v>
      </c>
      <c r="C50" s="77">
        <v>-1.6393442599999999E-2</v>
      </c>
      <c r="D50" s="15">
        <v>18.2</v>
      </c>
      <c r="E50" s="32">
        <f t="shared" ref="E50:E53" si="18">IF(ISNUMBER(D50), (D50 - $B50) / $B50, "")</f>
        <v>1.1111111111111072E-2</v>
      </c>
      <c r="F50" s="18">
        <f>IF(ISNUMBER(D50), $B64 * E50, "")</f>
        <v>1111.1111111111072</v>
      </c>
      <c r="G50" s="31">
        <v>18.399999999999999</v>
      </c>
      <c r="H50" s="32">
        <f t="shared" ref="H50:H53" si="19">IF(ISNUMBER(G50), (G50 - $B50) / $B50, "")</f>
        <v>2.2222222222222143E-2</v>
      </c>
      <c r="I50" s="101">
        <f>IF(ISNUMBER(G50), $B64 * H50, "")</f>
        <v>2222.2222222222144</v>
      </c>
      <c r="J50" s="15">
        <v>18.3</v>
      </c>
      <c r="K50" s="32">
        <f t="shared" ref="K50:K53" si="20">IF(ISNUMBER(J50), (J50 - $B50) / $B50, "")</f>
        <v>1.6666666666666705E-2</v>
      </c>
      <c r="L50" s="18">
        <f>IF(ISNUMBER(J50), $B64 * K50, "")</f>
        <v>1666.6666666666704</v>
      </c>
      <c r="M50" s="31">
        <v>19</v>
      </c>
      <c r="N50" s="32">
        <f t="shared" ref="N50:N53" si="21">IF(ISNUMBER(M50), (M50 - $B50) / $B50, "")</f>
        <v>5.5555555555555552E-2</v>
      </c>
      <c r="O50" s="18">
        <f>IF(ISNUMBER(M50), $B64 * N50, "")</f>
        <v>5555.5555555555557</v>
      </c>
      <c r="Q50" s="251"/>
      <c r="R50" s="251"/>
      <c r="S50" s="251"/>
    </row>
    <row r="51" spans="1:19" ht="17.25" customHeight="1" thickBot="1">
      <c r="A51" s="162" t="s">
        <v>273</v>
      </c>
      <c r="B51" s="126">
        <v>67.8</v>
      </c>
      <c r="C51" s="77">
        <v>-1.8813314000000001E-2</v>
      </c>
      <c r="D51" s="15">
        <v>69.400000000000006</v>
      </c>
      <c r="E51" s="32">
        <f t="shared" si="18"/>
        <v>2.3598820058997178E-2</v>
      </c>
      <c r="F51" s="18">
        <f>IF(ISNUMBER(D51), $B64 * E51, "")</f>
        <v>2359.882005899718</v>
      </c>
      <c r="G51" s="31">
        <v>69.5</v>
      </c>
      <c r="H51" s="32">
        <f t="shared" si="19"/>
        <v>2.5073746312684407E-2</v>
      </c>
      <c r="I51" s="101">
        <f>IF(ISNUMBER(G51), $B64 * H51, "")</f>
        <v>2507.3746312684407</v>
      </c>
      <c r="J51" s="15">
        <v>69.099999999999994</v>
      </c>
      <c r="K51" s="32">
        <f t="shared" si="20"/>
        <v>1.9174041297935061E-2</v>
      </c>
      <c r="L51" s="18">
        <f>IF(ISNUMBER(J51), $B64 * K51, "")</f>
        <v>1917.4041297935062</v>
      </c>
      <c r="M51" s="31">
        <v>71.2</v>
      </c>
      <c r="N51" s="32">
        <f t="shared" si="21"/>
        <v>5.0147492625368814E-2</v>
      </c>
      <c r="O51" s="18">
        <f>IF(ISNUMBER(M51), $B64 * N51, "")</f>
        <v>5014.7492625368814</v>
      </c>
      <c r="Q51" s="251"/>
      <c r="R51" s="251"/>
      <c r="S51" s="251"/>
    </row>
    <row r="52" spans="1:19" ht="17.25" customHeight="1" thickBot="1">
      <c r="A52" s="162" t="s">
        <v>126</v>
      </c>
      <c r="B52" s="126">
        <v>22.9</v>
      </c>
      <c r="C52" s="77">
        <v>-2.5531914900000001E-2</v>
      </c>
      <c r="D52" s="15">
        <v>24.1</v>
      </c>
      <c r="E52" s="32">
        <f t="shared" si="18"/>
        <v>5.2401746724890959E-2</v>
      </c>
      <c r="F52" s="18">
        <f>IF(ISNUMBER(D52), $B64 * E52, "")</f>
        <v>5240.1746724890954</v>
      </c>
      <c r="G52" s="31">
        <v>24.6</v>
      </c>
      <c r="H52" s="32">
        <f t="shared" si="19"/>
        <v>7.423580786026214E-2</v>
      </c>
      <c r="I52" s="101">
        <f>IF(ISNUMBER(G52), $B64 * H52, "")</f>
        <v>7423.5807860262139</v>
      </c>
      <c r="J52" s="15">
        <v>24.6</v>
      </c>
      <c r="K52" s="32">
        <f t="shared" si="20"/>
        <v>7.423580786026214E-2</v>
      </c>
      <c r="L52" s="18">
        <f>IF(ISNUMBER(J52), $B64 * K52, "")</f>
        <v>7423.5807860262139</v>
      </c>
      <c r="M52" s="31">
        <v>26.3</v>
      </c>
      <c r="N52" s="32">
        <f t="shared" si="21"/>
        <v>0.14847161572052411</v>
      </c>
      <c r="O52" s="18">
        <f>IF(ISNUMBER(M52), $B64 * N52, "")</f>
        <v>14847.161572052411</v>
      </c>
      <c r="Q52" s="33"/>
      <c r="R52" s="33"/>
    </row>
    <row r="53" spans="1:19" ht="17.25" customHeight="1" thickBot="1">
      <c r="A53" s="130" t="s">
        <v>197</v>
      </c>
      <c r="B53" s="131">
        <v>10.6</v>
      </c>
      <c r="C53" s="79">
        <v>-2.7522935799999999E-2</v>
      </c>
      <c r="D53" s="24">
        <v>11.9</v>
      </c>
      <c r="E53" s="25">
        <f t="shared" si="18"/>
        <v>0.12264150943396233</v>
      </c>
      <c r="F53" s="104">
        <f>IF(ISNUMBER(D53), $B64 * E53, "")</f>
        <v>12264.150943396233</v>
      </c>
      <c r="G53" s="102">
        <v>12.1</v>
      </c>
      <c r="H53" s="25">
        <f t="shared" si="19"/>
        <v>0.14150943396226415</v>
      </c>
      <c r="I53" s="103">
        <f>IF(ISNUMBER(G53), $B64 * H53, "")</f>
        <v>14150.943396226414</v>
      </c>
      <c r="J53" s="24">
        <v>12.2</v>
      </c>
      <c r="K53" s="25">
        <f t="shared" si="20"/>
        <v>0.15094339622641506</v>
      </c>
      <c r="L53" s="104">
        <f>IF(ISNUMBER(J53), $B64 * K53, "")</f>
        <v>15094.339622641506</v>
      </c>
      <c r="M53" s="102">
        <v>13.7</v>
      </c>
      <c r="N53" s="25">
        <f t="shared" si="21"/>
        <v>0.29245283018867924</v>
      </c>
      <c r="O53" s="104">
        <f>IF(ISNUMBER(M53), $B64 * N53, "")</f>
        <v>29245.283018867922</v>
      </c>
      <c r="Q53" s="252"/>
      <c r="R53" s="253"/>
      <c r="S53" s="254"/>
    </row>
    <row r="54" spans="1:19" ht="17.25" customHeight="1">
      <c r="A54" s="161" t="s">
        <v>167</v>
      </c>
      <c r="B54" s="124">
        <v>77.7</v>
      </c>
      <c r="C54" s="76">
        <v>-2.7534418000000001E-2</v>
      </c>
      <c r="D54" s="13">
        <v>81.099999999999994</v>
      </c>
      <c r="E54" s="14">
        <f>IF(ISNUMBER(D54), (D54 - $B54) / $B54, "")</f>
        <v>4.3758043758043645E-2</v>
      </c>
      <c r="F54" s="16">
        <f>IF(ISNUMBER(D54), $B64 * E54, "")</f>
        <v>4375.8043758043641</v>
      </c>
      <c r="G54" s="29">
        <v>82.8</v>
      </c>
      <c r="H54" s="14">
        <f>IF(ISNUMBER(G54), (G54 - $B54) / $B54, "")</f>
        <v>6.5637065637065561E-2</v>
      </c>
      <c r="I54" s="100">
        <f>IF(ISNUMBER(G54), $B64 * H54, "")</f>
        <v>6563.7065637065562</v>
      </c>
      <c r="J54" s="13">
        <v>82.1</v>
      </c>
      <c r="K54" s="14">
        <f>IF(ISNUMBER(J54), (J54 - $B54) / $B54, "")</f>
        <v>5.662805662805652E-2</v>
      </c>
      <c r="L54" s="16">
        <f>IF(ISNUMBER(J54), $B64 * K54, "")</f>
        <v>5662.805662805652</v>
      </c>
      <c r="M54" s="29">
        <v>85.7</v>
      </c>
      <c r="N54" s="14">
        <f>IF(ISNUMBER(M54), (M54 - $B54) / $B54, "")</f>
        <v>0.10296010296010295</v>
      </c>
      <c r="O54" s="16">
        <f>IF(ISNUMBER(M54), $B64 * N54, "")</f>
        <v>10296.010296010296</v>
      </c>
      <c r="Q54" s="255"/>
      <c r="R54" s="256"/>
      <c r="S54" s="257"/>
    </row>
    <row r="55" spans="1:19" ht="17.25" customHeight="1" thickBot="1">
      <c r="A55" s="162" t="s">
        <v>236</v>
      </c>
      <c r="B55" s="126">
        <v>81</v>
      </c>
      <c r="C55" s="77">
        <v>-3.1100478500000001E-2</v>
      </c>
      <c r="D55" s="15">
        <v>92.2</v>
      </c>
      <c r="E55" s="32">
        <f t="shared" ref="E55:E58" si="22">IF(ISNUMBER(D55), (D55 - $B55) / $B55, "")</f>
        <v>0.13827160493827165</v>
      </c>
      <c r="F55" s="18">
        <f>IF(ISNUMBER(D55), $B64 * E55, "")</f>
        <v>13827.160493827165</v>
      </c>
      <c r="G55" s="31">
        <v>94</v>
      </c>
      <c r="H55" s="32">
        <f t="shared" ref="H55:H58" si="23">IF(ISNUMBER(G55), (G55 - $B55) / $B55, "")</f>
        <v>0.16049382716049382</v>
      </c>
      <c r="I55" s="101">
        <f>IF(ISNUMBER(G55), $B64 * H55, "")</f>
        <v>16049.382716049382</v>
      </c>
      <c r="J55" s="15">
        <v>90.9</v>
      </c>
      <c r="K55" s="32">
        <f t="shared" ref="K55:K58" si="24">IF(ISNUMBER(J55), (J55 - $B55) / $B55, "")</f>
        <v>0.12222222222222229</v>
      </c>
      <c r="L55" s="18">
        <f>IF(ISNUMBER(J55), $B64 * K55, "")</f>
        <v>12222.222222222228</v>
      </c>
      <c r="M55" s="31">
        <v>90.3</v>
      </c>
      <c r="N55" s="32">
        <f t="shared" ref="N55:N58" si="25">IF(ISNUMBER(M55), (M55 - $B55) / $B55, "")</f>
        <v>0.11481481481481479</v>
      </c>
      <c r="O55" s="18">
        <f>IF(ISNUMBER(M55), $B64 * N55, "")</f>
        <v>11481.481481481478</v>
      </c>
      <c r="Q55" s="258"/>
      <c r="R55" s="259"/>
      <c r="S55" s="260"/>
    </row>
    <row r="56" spans="1:19" ht="17.25" customHeight="1" thickBot="1">
      <c r="A56" s="162" t="s">
        <v>148</v>
      </c>
      <c r="B56" s="126">
        <v>93.8</v>
      </c>
      <c r="C56" s="77">
        <v>-4.0899795500000002E-2</v>
      </c>
      <c r="D56" s="15">
        <v>99.1</v>
      </c>
      <c r="E56" s="32">
        <f t="shared" si="22"/>
        <v>5.6503198294243044E-2</v>
      </c>
      <c r="F56" s="18">
        <f>IF(ISNUMBER(D56), $B64 * E56, "")</f>
        <v>5650.3198294243048</v>
      </c>
      <c r="G56" s="31">
        <v>98.8</v>
      </c>
      <c r="H56" s="32">
        <f t="shared" si="23"/>
        <v>5.3304904051172712E-2</v>
      </c>
      <c r="I56" s="101">
        <f>IF(ISNUMBER(G56), $B64 * H56, "")</f>
        <v>5330.4904051172716</v>
      </c>
      <c r="J56" s="15">
        <v>98.5</v>
      </c>
      <c r="K56" s="32">
        <f t="shared" si="24"/>
        <v>5.010660980810238E-2</v>
      </c>
      <c r="L56" s="18">
        <f>IF(ISNUMBER(J56), $B64 * K56, "")</f>
        <v>5010.6609808102376</v>
      </c>
      <c r="M56" s="31">
        <v>102</v>
      </c>
      <c r="N56" s="32">
        <f t="shared" si="25"/>
        <v>8.7420042643923279E-2</v>
      </c>
      <c r="O56" s="18">
        <f>IF(ISNUMBER(M56), $B64 * N56, "")</f>
        <v>8742.004264392328</v>
      </c>
      <c r="Q56" s="251"/>
      <c r="R56" s="251"/>
      <c r="S56" s="251"/>
    </row>
    <row r="57" spans="1:19" ht="17.25" customHeight="1" thickBot="1">
      <c r="A57" s="162" t="s">
        <v>217</v>
      </c>
      <c r="B57" s="126">
        <v>9.2799999999999994</v>
      </c>
      <c r="C57" s="77">
        <v>-5.59511699E-2</v>
      </c>
      <c r="D57" s="15">
        <v>9.77</v>
      </c>
      <c r="E57" s="32">
        <f t="shared" si="22"/>
        <v>5.2801724137931064E-2</v>
      </c>
      <c r="F57" s="18">
        <f>IF(ISNUMBER(D57), $B64 * E57, "")</f>
        <v>5280.172413793106</v>
      </c>
      <c r="G57" s="31">
        <v>9.82</v>
      </c>
      <c r="H57" s="32">
        <f t="shared" si="23"/>
        <v>5.8189655172413896E-2</v>
      </c>
      <c r="I57" s="101">
        <f>IF(ISNUMBER(G57), $B64 * H57, "")</f>
        <v>5818.9655172413895</v>
      </c>
      <c r="J57" s="15">
        <v>9.84</v>
      </c>
      <c r="K57" s="32">
        <f t="shared" si="24"/>
        <v>6.0344827586206955E-2</v>
      </c>
      <c r="L57" s="18">
        <f>IF(ISNUMBER(J57), $B64 * K57, "")</f>
        <v>6034.4827586206957</v>
      </c>
      <c r="M57" s="31">
        <v>10.199999999999999</v>
      </c>
      <c r="N57" s="32">
        <f t="shared" si="25"/>
        <v>9.9137931034482762E-2</v>
      </c>
      <c r="O57" s="18">
        <f>IF(ISNUMBER(M57), $B64 * N57, "")</f>
        <v>9913.7931034482754</v>
      </c>
      <c r="Q57" s="261"/>
      <c r="R57" s="261"/>
      <c r="S57" s="261"/>
    </row>
    <row r="58" spans="1:19" ht="17.25" customHeight="1" thickBot="1">
      <c r="A58" s="163" t="s">
        <v>234</v>
      </c>
      <c r="B58" s="128">
        <v>81.2</v>
      </c>
      <c r="C58" s="78">
        <v>-5.8004640400000002E-2</v>
      </c>
      <c r="D58" s="20">
        <v>117</v>
      </c>
      <c r="E58" s="21">
        <f t="shared" si="22"/>
        <v>0.44088669950738912</v>
      </c>
      <c r="F58" s="22">
        <f>IF(ISNUMBER(D58), $B64 * E58, "")</f>
        <v>44088.669950738913</v>
      </c>
      <c r="G58" s="30">
        <v>117</v>
      </c>
      <c r="H58" s="21">
        <f t="shared" si="23"/>
        <v>0.44088669950738912</v>
      </c>
      <c r="I58" s="105">
        <f>IF(ISNUMBER(G58), $B64 * H58, "")</f>
        <v>44088.669950738913</v>
      </c>
      <c r="J58" s="20">
        <v>109</v>
      </c>
      <c r="K58" s="21">
        <f t="shared" si="24"/>
        <v>0.3423645320197044</v>
      </c>
      <c r="L58" s="22">
        <f>IF(ISNUMBER(J58), $B64 * K58, "")</f>
        <v>34236.453201970442</v>
      </c>
      <c r="M58" s="30">
        <v>96.1</v>
      </c>
      <c r="N58" s="21">
        <f t="shared" si="25"/>
        <v>0.18349753694581269</v>
      </c>
      <c r="O58" s="22">
        <f>IF(ISNUMBER(M58), $B64 * N58, "")</f>
        <v>18349.753694581268</v>
      </c>
      <c r="Q58" s="261"/>
      <c r="R58" s="261"/>
      <c r="S58" s="261"/>
    </row>
    <row r="59" spans="1:19" ht="17.25" customHeight="1" thickBot="1">
      <c r="A59" s="162" t="s">
        <v>195</v>
      </c>
      <c r="B59" s="129">
        <v>7.79</v>
      </c>
      <c r="C59" s="80">
        <v>-6.0313630899999998E-2</v>
      </c>
      <c r="D59" s="106">
        <v>8.24</v>
      </c>
      <c r="E59" s="107">
        <f>IF(ISNUMBER(D59), (D59 - $B59) / $B59, "")</f>
        <v>5.7766367137355605E-2</v>
      </c>
      <c r="F59" s="108">
        <f>IF(ISNUMBER(D59), $B64 * E59, "")</f>
        <v>5776.6367137355601</v>
      </c>
      <c r="G59" s="109">
        <v>8.42</v>
      </c>
      <c r="H59" s="107">
        <f>IF(ISNUMBER(G59), (G59 - $B59) / $B59, "")</f>
        <v>8.0872913992297804E-2</v>
      </c>
      <c r="I59" s="110">
        <f>IF(ISNUMBER(G59), $B64 * H59, "")</f>
        <v>8087.2913992297808</v>
      </c>
      <c r="J59" s="106">
        <v>8.31</v>
      </c>
      <c r="K59" s="107">
        <f>IF(ISNUMBER(J59), (J59 - $B59) / $B59, "")</f>
        <v>6.6752246469833174E-2</v>
      </c>
      <c r="L59" s="108">
        <f>IF(ISNUMBER(J59), $B64 * K59, "")</f>
        <v>6675.2246469833171</v>
      </c>
      <c r="M59" s="109">
        <v>8.5500000000000007</v>
      </c>
      <c r="N59" s="107">
        <f>IF(ISNUMBER(M59), (M59 - $B59) / $B59, "")</f>
        <v>9.7560975609756184E-2</v>
      </c>
      <c r="O59" s="108">
        <f>IF(ISNUMBER(M59), $B64 * N59, "")</f>
        <v>9756.0975609756188</v>
      </c>
      <c r="Q59" s="251"/>
      <c r="R59" s="251"/>
      <c r="S59" s="251"/>
    </row>
    <row r="60" spans="1:19" ht="17.25" customHeight="1" thickBot="1">
      <c r="A60" s="162" t="s">
        <v>255</v>
      </c>
      <c r="B60" s="126">
        <v>53.8</v>
      </c>
      <c r="C60" s="77">
        <v>-6.1082024399999997E-2</v>
      </c>
      <c r="D60" s="15">
        <v>56.4</v>
      </c>
      <c r="E60" s="32">
        <f t="shared" ref="E60:E63" si="26">IF(ISNUMBER(D60), (D60 - $B60) / $B60, "")</f>
        <v>4.8327137546468432E-2</v>
      </c>
      <c r="F60" s="18">
        <f>IF(ISNUMBER(D60), $B64 * E60, "")</f>
        <v>4832.713754646843</v>
      </c>
      <c r="G60" s="31">
        <v>57.1</v>
      </c>
      <c r="H60" s="32">
        <f t="shared" ref="H60:H63" si="27">IF(ISNUMBER(G60), (G60 - $B60) / $B60, "")</f>
        <v>6.1338289962825358E-2</v>
      </c>
      <c r="I60" s="101">
        <f>IF(ISNUMBER(G60), $B64 * H60, "")</f>
        <v>6133.8289962825356</v>
      </c>
      <c r="J60" s="15">
        <v>56.6</v>
      </c>
      <c r="K60" s="32">
        <f t="shared" ref="K60:K63" si="28">IF(ISNUMBER(J60), (J60 - $B60) / $B60, "")</f>
        <v>5.2044609665427594E-2</v>
      </c>
      <c r="L60" s="18">
        <f>IF(ISNUMBER(J60), $B64 * K60, "")</f>
        <v>5204.4609665427597</v>
      </c>
      <c r="M60" s="31">
        <v>58.4</v>
      </c>
      <c r="N60" s="32">
        <f t="shared" ref="N60:N63" si="29">IF(ISNUMBER(M60), (M60 - $B60) / $B60, "")</f>
        <v>8.5501858736059505E-2</v>
      </c>
      <c r="O60" s="18">
        <f>IF(ISNUMBER(M60), $B64 * N60, "")</f>
        <v>8550.1858736059512</v>
      </c>
      <c r="Q60" s="251"/>
      <c r="R60" s="251"/>
      <c r="S60" s="251"/>
    </row>
    <row r="61" spans="1:19" ht="17.25" customHeight="1" thickBot="1">
      <c r="A61" s="162" t="s">
        <v>277</v>
      </c>
      <c r="B61" s="126">
        <v>51.8</v>
      </c>
      <c r="C61" s="77">
        <v>-6.4981949499999997E-2</v>
      </c>
      <c r="D61" s="15">
        <v>63.4</v>
      </c>
      <c r="E61" s="32">
        <f t="shared" si="26"/>
        <v>0.22393822393822399</v>
      </c>
      <c r="F61" s="18">
        <f>IF(ISNUMBER(D61), $B64 * E61, "")</f>
        <v>22393.8223938224</v>
      </c>
      <c r="G61" s="31">
        <v>71.5</v>
      </c>
      <c r="H61" s="32">
        <f t="shared" si="27"/>
        <v>0.38030888030888038</v>
      </c>
      <c r="I61" s="101">
        <f>IF(ISNUMBER(G61), $B64 * H61, "")</f>
        <v>38030.88803088804</v>
      </c>
      <c r="J61" s="15">
        <v>61.2</v>
      </c>
      <c r="K61" s="32">
        <f t="shared" si="28"/>
        <v>0.18146718146718158</v>
      </c>
      <c r="L61" s="18">
        <f>IF(ISNUMBER(J61), $B64 * K61, "")</f>
        <v>18146.718146718158</v>
      </c>
      <c r="M61" s="31">
        <v>55.4</v>
      </c>
      <c r="N61" s="32">
        <f t="shared" si="29"/>
        <v>6.9498069498069526E-2</v>
      </c>
      <c r="O61" s="18">
        <f>IF(ISNUMBER(M61), $B64 * N61, "")</f>
        <v>6949.8069498069526</v>
      </c>
      <c r="Q61" s="251"/>
      <c r="R61" s="251"/>
      <c r="S61" s="251"/>
    </row>
    <row r="62" spans="1:19" ht="17.25" customHeight="1">
      <c r="A62" s="162" t="s">
        <v>246</v>
      </c>
      <c r="B62" s="126">
        <v>53</v>
      </c>
      <c r="C62" s="77">
        <v>-6.8541300499999999E-2</v>
      </c>
      <c r="D62" s="15">
        <v>63.1</v>
      </c>
      <c r="E62" s="32">
        <f t="shared" si="26"/>
        <v>0.19056603773584907</v>
      </c>
      <c r="F62" s="18">
        <f>IF(ISNUMBER(D62), $B64 * E62, "")</f>
        <v>19056.603773584906</v>
      </c>
      <c r="G62" s="31">
        <v>71.7</v>
      </c>
      <c r="H62" s="32">
        <f t="shared" si="27"/>
        <v>0.35283018867924532</v>
      </c>
      <c r="I62" s="101">
        <f>IF(ISNUMBER(G62), $B64 * H62, "")</f>
        <v>35283.018867924533</v>
      </c>
      <c r="J62" s="15">
        <v>62.6</v>
      </c>
      <c r="K62" s="32">
        <f t="shared" si="28"/>
        <v>0.18113207547169813</v>
      </c>
      <c r="L62" s="18">
        <f>IF(ISNUMBER(J62), $B64 * K62, "")</f>
        <v>18113.207547169812</v>
      </c>
      <c r="M62" s="31">
        <v>58</v>
      </c>
      <c r="N62" s="32">
        <f t="shared" si="29"/>
        <v>9.4339622641509441E-2</v>
      </c>
      <c r="O62" s="18">
        <f>IF(ISNUMBER(M62), $B64 * N62, "")</f>
        <v>9433.962264150945</v>
      </c>
      <c r="Q62" s="240"/>
      <c r="R62" s="241"/>
      <c r="S62" s="242"/>
    </row>
    <row r="63" spans="1:19" ht="17.25" customHeight="1" thickBot="1">
      <c r="A63" s="130" t="s">
        <v>263</v>
      </c>
      <c r="B63" s="131">
        <v>26.8</v>
      </c>
      <c r="C63" s="79">
        <v>-7.5862069000000004E-2</v>
      </c>
      <c r="D63" s="24">
        <v>32.700000000000003</v>
      </c>
      <c r="E63" s="25">
        <f t="shared" si="26"/>
        <v>0.22014925373134336</v>
      </c>
      <c r="F63" s="104">
        <f>IF(ISNUMBER(D63), $B64 * E63, "")</f>
        <v>22014.925373134338</v>
      </c>
      <c r="G63" s="102">
        <v>37.200000000000003</v>
      </c>
      <c r="H63" s="25">
        <f t="shared" si="27"/>
        <v>0.38805970149253738</v>
      </c>
      <c r="I63" s="103">
        <f>IF(ISNUMBER(G63), $B64 * H63, "")</f>
        <v>38805.970149253735</v>
      </c>
      <c r="J63" s="24">
        <v>31.6</v>
      </c>
      <c r="K63" s="25">
        <f t="shared" si="28"/>
        <v>0.17910447761194032</v>
      </c>
      <c r="L63" s="104">
        <f>IF(ISNUMBER(J63), $B64 * K63, "")</f>
        <v>17910.447761194031</v>
      </c>
      <c r="M63" s="102">
        <v>28.5</v>
      </c>
      <c r="N63" s="25">
        <f t="shared" si="29"/>
        <v>6.3432835820895497E-2</v>
      </c>
      <c r="O63" s="104">
        <f>IF(ISNUMBER(M63), $B64 * N63, "")</f>
        <v>6343.2835820895498</v>
      </c>
      <c r="Q63" s="243"/>
      <c r="R63" s="244"/>
      <c r="S63" s="245"/>
    </row>
    <row r="64" spans="1:19" ht="17.25" customHeight="1" thickBot="1">
      <c r="A64" s="132" t="s">
        <v>295</v>
      </c>
      <c r="B64" s="304">
        <f>$B$37</f>
        <v>100000</v>
      </c>
      <c r="C64" s="305"/>
      <c r="D64" s="26" t="s">
        <v>296</v>
      </c>
      <c r="E64" s="27">
        <f>IF(COUNT(E44:E63), SUM(E44:E63) / COUNT(E44:E63), 0)</f>
        <v>9.4169462753961625E-2</v>
      </c>
      <c r="F64" s="28">
        <f>SUM(F44:F63)</f>
        <v>188338.92550792324</v>
      </c>
      <c r="G64" s="26" t="s">
        <v>296</v>
      </c>
      <c r="H64" s="27">
        <f>IF(COUNT(H44:H63), SUM(H44:H63) / COUNT(H44:H63), 0)</f>
        <v>0.12982152969022417</v>
      </c>
      <c r="I64" s="28">
        <f>SUM(I44:I63)</f>
        <v>259643.05938044831</v>
      </c>
      <c r="J64" s="26" t="s">
        <v>296</v>
      </c>
      <c r="K64" s="27">
        <f>IF(COUNT(K44:K63), SUM(K44:K63) / COUNT(K44:K63), 0)</f>
        <v>8.9008299103578714E-2</v>
      </c>
      <c r="L64" s="28">
        <f>SUM(L44:L63)</f>
        <v>178016.59820715743</v>
      </c>
      <c r="M64" s="26" t="s">
        <v>296</v>
      </c>
      <c r="N64" s="27">
        <f>IF(COUNT(N44:N63), SUM(N44:N63) / COUNT(N44:N63), 0)</f>
        <v>9.6243299021396417E-2</v>
      </c>
      <c r="O64" s="28">
        <f>SUM(O44:O63)</f>
        <v>192486.59804279282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262" t="s">
        <v>45</v>
      </c>
      <c r="B67" s="263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4"/>
      <c r="Q67" s="261"/>
      <c r="R67" s="261"/>
      <c r="S67" s="261"/>
    </row>
    <row r="68" spans="1:19" ht="17.25" thickBot="1">
      <c r="A68" s="212" t="s">
        <v>292</v>
      </c>
      <c r="B68" s="262" t="s">
        <v>49</v>
      </c>
      <c r="C68" s="264"/>
      <c r="D68" s="262" t="s">
        <v>58</v>
      </c>
      <c r="E68" s="263"/>
      <c r="F68" s="264"/>
      <c r="G68" s="265">
        <f>_xlfn.IFNA(VLOOKUP(B68, 현재가테이블!$B$2:$D$200, 2, FALSE), "-")</f>
        <v>40538000</v>
      </c>
      <c r="H68" s="266"/>
      <c r="I68" s="267"/>
      <c r="J68" s="262" t="s">
        <v>59</v>
      </c>
      <c r="K68" s="263"/>
      <c r="L68" s="264"/>
      <c r="M68" s="268">
        <f>_xlfn.IFNA(VLOOKUP(B68, 현재가테이블!$B$2:$D$200, 3, FALSE), "-")</f>
        <v>-3.68275993E-2</v>
      </c>
      <c r="N68" s="269"/>
      <c r="O68" s="270"/>
      <c r="Q68" s="261"/>
      <c r="R68" s="261"/>
      <c r="S68" s="261"/>
    </row>
    <row r="69" spans="1:19" ht="17.25" thickBot="1">
      <c r="A69" s="306" t="s">
        <v>55</v>
      </c>
      <c r="B69" s="302" t="str">
        <f>TEXT($G$1, "[$-ko-KR]yyyy-mm-dd(ddd) ") &amp; "오전 00:00"</f>
        <v>2021-06-14(월) 오전 00:00</v>
      </c>
      <c r="C69" s="303"/>
      <c r="D69" s="275" t="str">
        <f>TEXT($G$1, "[$-ko-KR]yyyy-mm-dd(ddd) ") &amp; "오후 14:00"</f>
        <v>2021-06-14(월) 오후 14:00</v>
      </c>
      <c r="E69" s="276"/>
      <c r="F69" s="277"/>
      <c r="G69" s="275" t="str">
        <f>TEXT($G$1, "[$-ko-KR]yyyy-mm-dd(ddd) ") &amp; "오후 19:00"</f>
        <v>2021-06-14(월) 오후 19:00</v>
      </c>
      <c r="H69" s="276"/>
      <c r="I69" s="277"/>
      <c r="J69" s="275" t="str">
        <f>TEXT($G$1, "[$-ko-KR]yyyy-mm-dd(ddd) ") &amp; "오후 21:00"</f>
        <v>2021-06-14(월) 오후 21:00</v>
      </c>
      <c r="K69" s="276"/>
      <c r="L69" s="277"/>
      <c r="M69" s="275" t="str">
        <f>TEXT($G$1+1, "[$-ko-KR]yyyy-mm-dd(ddd) ") &amp; "오전 00:00"</f>
        <v>2021-06-15(화) 오전 00:00</v>
      </c>
      <c r="N69" s="276"/>
      <c r="O69" s="277"/>
      <c r="Q69" s="261"/>
      <c r="R69" s="261"/>
      <c r="S69" s="261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3" t="s">
        <v>58</v>
      </c>
      <c r="H70" s="214" t="s">
        <v>293</v>
      </c>
      <c r="I70" s="21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1"/>
      <c r="R70" s="251"/>
      <c r="S70" s="251"/>
    </row>
    <row r="71" spans="1:19" ht="17.25" thickBot="1">
      <c r="A71" s="161" t="s">
        <v>142</v>
      </c>
      <c r="B71" s="124">
        <v>589</v>
      </c>
      <c r="C71" s="76">
        <v>0.19715447150000001</v>
      </c>
      <c r="D71" s="13">
        <v>613</v>
      </c>
      <c r="E71" s="14">
        <f>IF(ISNUMBER(D71), (D71 - $B71) / $B71, "")</f>
        <v>4.074702886247878E-2</v>
      </c>
      <c r="F71" s="16">
        <f>IF(ISNUMBER(D71), $B91 * E71, "")</f>
        <v>4074.7028862478783</v>
      </c>
      <c r="G71" s="29">
        <v>616</v>
      </c>
      <c r="H71" s="14">
        <f>IF(ISNUMBER(G71), (G71 - $B71) / $B71, "")</f>
        <v>4.5840407470288627E-2</v>
      </c>
      <c r="I71" s="100">
        <f>IF(ISNUMBER(G71), $B91 * H71, "")</f>
        <v>4584.0407470288628</v>
      </c>
      <c r="J71" s="13">
        <v>619</v>
      </c>
      <c r="K71" s="14">
        <f>IF(ISNUMBER(J71), (J71 - $B71) / $B71, "")</f>
        <v>5.0933786078098474E-2</v>
      </c>
      <c r="L71" s="16">
        <f>IF(ISNUMBER(J71), $B91 * K71, "")</f>
        <v>5093.3786078098474</v>
      </c>
      <c r="M71" s="29">
        <v>638</v>
      </c>
      <c r="N71" s="14">
        <f>IF(ISNUMBER(M71), (M71 - $B71) / $B71, "")</f>
        <v>8.3191850594227498E-2</v>
      </c>
      <c r="O71" s="16">
        <f>IF(ISNUMBER(M71), $B91 * N71, "")</f>
        <v>8319.185059422749</v>
      </c>
      <c r="Q71" s="261"/>
      <c r="R71" s="261"/>
      <c r="S71" s="261"/>
    </row>
    <row r="72" spans="1:19" ht="17.25" thickBot="1">
      <c r="A72" s="162" t="s">
        <v>253</v>
      </c>
      <c r="B72" s="126">
        <v>409</v>
      </c>
      <c r="C72" s="77">
        <v>7.6315789499999995E-2</v>
      </c>
      <c r="D72" s="15">
        <v>405</v>
      </c>
      <c r="E72" s="32">
        <f t="shared" ref="E72:E75" si="30">IF(ISNUMBER(D72), (D72 - $B72) / $B72, "")</f>
        <v>-9.7799511002444987E-3</v>
      </c>
      <c r="F72" s="18">
        <f>IF(ISNUMBER(D72), $B91 * E72, "")</f>
        <v>-977.9951100244499</v>
      </c>
      <c r="G72" s="31">
        <v>408</v>
      </c>
      <c r="H72" s="32">
        <f t="shared" ref="H72:H75" si="31">IF(ISNUMBER(G72), (G72 - $B72) / $B72, "")</f>
        <v>-2.4449877750611247E-3</v>
      </c>
      <c r="I72" s="101">
        <f>IF(ISNUMBER(G72), $B91 * H72, "")</f>
        <v>-244.49877750611248</v>
      </c>
      <c r="J72" s="15">
        <v>407</v>
      </c>
      <c r="K72" s="32">
        <f t="shared" ref="K72:K75" si="32">IF(ISNUMBER(J72), (J72 - $B72) / $B72, "")</f>
        <v>-4.8899755501222494E-3</v>
      </c>
      <c r="L72" s="18">
        <f>IF(ISNUMBER(J72), $B91 * K72, "")</f>
        <v>-488.99755501222495</v>
      </c>
      <c r="M72" s="31">
        <v>419</v>
      </c>
      <c r="N72" s="32">
        <f t="shared" ref="N72:N75" si="33">IF(ISNUMBER(M72), (M72 - $B72) / $B72, "")</f>
        <v>2.4449877750611249E-2</v>
      </c>
      <c r="O72" s="18">
        <f>IF(ISNUMBER(M72), $B91 * N72, "")</f>
        <v>2444.9877750611249</v>
      </c>
      <c r="Q72" s="261"/>
      <c r="R72" s="261"/>
      <c r="S72" s="261"/>
    </row>
    <row r="73" spans="1:19" ht="17.25" thickBot="1">
      <c r="A73" s="162" t="s">
        <v>199</v>
      </c>
      <c r="B73" s="126">
        <v>160</v>
      </c>
      <c r="C73" s="77">
        <v>7.3825503400000006E-2</v>
      </c>
      <c r="D73" s="15">
        <v>157</v>
      </c>
      <c r="E73" s="32">
        <f t="shared" si="30"/>
        <v>-1.8749999999999999E-2</v>
      </c>
      <c r="F73" s="18">
        <f>IF(ISNUMBER(D73), $B91 * E73, "")</f>
        <v>-1875</v>
      </c>
      <c r="G73" s="31">
        <v>159</v>
      </c>
      <c r="H73" s="32">
        <f t="shared" si="31"/>
        <v>-6.2500000000000003E-3</v>
      </c>
      <c r="I73" s="101">
        <f>IF(ISNUMBER(G73), $B91 * H73, "")</f>
        <v>-625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161</v>
      </c>
      <c r="N73" s="32">
        <f t="shared" si="33"/>
        <v>6.2500000000000003E-3</v>
      </c>
      <c r="O73" s="18">
        <f>IF(ISNUMBER(M73), $B91 * N73, "")</f>
        <v>625</v>
      </c>
      <c r="Q73" s="251"/>
      <c r="R73" s="251"/>
      <c r="S73" s="251"/>
    </row>
    <row r="74" spans="1:19" ht="17.25" thickBot="1">
      <c r="A74" s="162" t="s">
        <v>214</v>
      </c>
      <c r="B74" s="126">
        <v>250</v>
      </c>
      <c r="C74" s="77">
        <v>6.3829787200000002E-2</v>
      </c>
      <c r="D74" s="15">
        <v>243</v>
      </c>
      <c r="E74" s="32">
        <f t="shared" si="30"/>
        <v>-2.8000000000000001E-2</v>
      </c>
      <c r="F74" s="18">
        <f>IF(ISNUMBER(D74), $B91 * E74, "")</f>
        <v>-2800</v>
      </c>
      <c r="G74" s="31">
        <v>243</v>
      </c>
      <c r="H74" s="32">
        <f t="shared" si="31"/>
        <v>-2.8000000000000001E-2</v>
      </c>
      <c r="I74" s="101">
        <f>IF(ISNUMBER(G74), $B91 * H74, "")</f>
        <v>-2800</v>
      </c>
      <c r="J74" s="15">
        <v>243</v>
      </c>
      <c r="K74" s="32">
        <f t="shared" si="32"/>
        <v>-2.8000000000000001E-2</v>
      </c>
      <c r="L74" s="18">
        <f>IF(ISNUMBER(J74), $B91 * K74, "")</f>
        <v>-2800</v>
      </c>
      <c r="M74" s="31">
        <v>248</v>
      </c>
      <c r="N74" s="32">
        <f t="shared" si="33"/>
        <v>-8.0000000000000002E-3</v>
      </c>
      <c r="O74" s="18">
        <f>IF(ISNUMBER(M74), $B91 * N74, "")</f>
        <v>-800</v>
      </c>
      <c r="Q74" s="251"/>
      <c r="R74" s="251"/>
      <c r="S74" s="251"/>
    </row>
    <row r="75" spans="1:19" ht="17.25" thickBot="1">
      <c r="A75" s="163" t="s">
        <v>169</v>
      </c>
      <c r="B75" s="128">
        <v>256</v>
      </c>
      <c r="C75" s="78">
        <v>5.7851239700000001E-2</v>
      </c>
      <c r="D75" s="20">
        <v>238</v>
      </c>
      <c r="E75" s="21">
        <f t="shared" si="30"/>
        <v>-7.03125E-2</v>
      </c>
      <c r="F75" s="22">
        <f>IF(ISNUMBER(D75), $B91 * E75, "")</f>
        <v>-7031.25</v>
      </c>
      <c r="G75" s="30">
        <v>242</v>
      </c>
      <c r="H75" s="21">
        <f t="shared" si="31"/>
        <v>-5.46875E-2</v>
      </c>
      <c r="I75" s="105">
        <f>IF(ISNUMBER(G75), $B91 * H75, "")</f>
        <v>-5468.75</v>
      </c>
      <c r="J75" s="20">
        <v>242</v>
      </c>
      <c r="K75" s="21">
        <f t="shared" si="32"/>
        <v>-5.46875E-2</v>
      </c>
      <c r="L75" s="22">
        <f>IF(ISNUMBER(J75), $B91 * K75, "")</f>
        <v>-5468.75</v>
      </c>
      <c r="M75" s="30">
        <v>247</v>
      </c>
      <c r="N75" s="21">
        <f t="shared" si="33"/>
        <v>-3.515625E-2</v>
      </c>
      <c r="O75" s="22">
        <f>IF(ISNUMBER(M75), $B91 * N75, "")</f>
        <v>-3515.625</v>
      </c>
      <c r="Q75" s="251"/>
      <c r="R75" s="251"/>
      <c r="S75" s="251"/>
    </row>
    <row r="76" spans="1:19" ht="17.25" thickBot="1">
      <c r="A76" s="162" t="s">
        <v>191</v>
      </c>
      <c r="B76" s="129">
        <v>957</v>
      </c>
      <c r="C76" s="80">
        <v>4.7045951900000001E-2</v>
      </c>
      <c r="D76" s="106">
        <v>1015</v>
      </c>
      <c r="E76" s="107">
        <f>IF(ISNUMBER(D76), (D76 - $B76) / $B76, "")</f>
        <v>6.0606060606060608E-2</v>
      </c>
      <c r="F76" s="108">
        <f>IF(ISNUMBER(D76), $B91 * E76, "")</f>
        <v>6060.606060606061</v>
      </c>
      <c r="G76" s="109">
        <v>991</v>
      </c>
      <c r="H76" s="107">
        <f>IF(ISNUMBER(G76), (G76 - $B76) / $B76, "")</f>
        <v>3.5527690700104496E-2</v>
      </c>
      <c r="I76" s="110">
        <f>IF(ISNUMBER(G76), $B91 * H76, "")</f>
        <v>3552.7690700104495</v>
      </c>
      <c r="J76" s="106">
        <v>980</v>
      </c>
      <c r="K76" s="107">
        <f>IF(ISNUMBER(J76), (J76 - $B76) / $B76, "")</f>
        <v>2.4033437826541274E-2</v>
      </c>
      <c r="L76" s="108">
        <f>IF(ISNUMBER(J76), $B91 * K76, "")</f>
        <v>2403.3437826541276</v>
      </c>
      <c r="M76" s="109">
        <v>999</v>
      </c>
      <c r="N76" s="107">
        <f>IF(ISNUMBER(M76), (M76 - $B76) / $B76, "")</f>
        <v>4.3887147335423198E-2</v>
      </c>
      <c r="O76" s="108">
        <f>IF(ISNUMBER(M76), $B91 * N76, "")</f>
        <v>4388.7147335423197</v>
      </c>
      <c r="Q76" s="251"/>
      <c r="R76" s="251"/>
      <c r="S76" s="251"/>
    </row>
    <row r="77" spans="1:19" ht="17.25" thickBot="1">
      <c r="A77" s="162" t="s">
        <v>265</v>
      </c>
      <c r="B77" s="126">
        <v>309</v>
      </c>
      <c r="C77" s="77">
        <v>2.3178807900000001E-2</v>
      </c>
      <c r="D77" s="15">
        <v>317</v>
      </c>
      <c r="E77" s="32">
        <f t="shared" ref="E77:E80" si="34">IF(ISNUMBER(D77), (D77 - $B77) / $B77, "")</f>
        <v>2.5889967637540454E-2</v>
      </c>
      <c r="F77" s="18">
        <f>IF(ISNUMBER(D77), $B91 * E77, "")</f>
        <v>2588.9967637540453</v>
      </c>
      <c r="G77" s="31">
        <v>324</v>
      </c>
      <c r="H77" s="32">
        <f t="shared" ref="H77:H80" si="35">IF(ISNUMBER(G77), (G77 - $B77) / $B77, "")</f>
        <v>4.8543689320388349E-2</v>
      </c>
      <c r="I77" s="101">
        <f>IF(ISNUMBER(G77), $B91 * H77, "")</f>
        <v>4854.3689320388348</v>
      </c>
      <c r="J77" s="15">
        <v>329</v>
      </c>
      <c r="K77" s="32">
        <f t="shared" ref="K77:K80" si="36">IF(ISNUMBER(J77), (J77 - $B77) / $B77, "")</f>
        <v>6.4724919093851127E-2</v>
      </c>
      <c r="L77" s="18">
        <f>IF(ISNUMBER(J77), $B91 * K77, "")</f>
        <v>6472.4919093851131</v>
      </c>
      <c r="M77" s="31">
        <v>338</v>
      </c>
      <c r="N77" s="32">
        <f t="shared" ref="N77:N80" si="37">IF(ISNUMBER(M77), (M77 - $B77) / $B77, "")</f>
        <v>9.3851132686084138E-2</v>
      </c>
      <c r="O77" s="18">
        <f>IF(ISNUMBER(M77), $B91 * N77, "")</f>
        <v>9385.1132686084129</v>
      </c>
      <c r="Q77" s="251"/>
      <c r="R77" s="251"/>
      <c r="S77" s="251"/>
    </row>
    <row r="78" spans="1:19" ht="17.25" thickBot="1">
      <c r="A78" s="162" t="s">
        <v>120</v>
      </c>
      <c r="B78" s="126">
        <v>131</v>
      </c>
      <c r="C78" s="77">
        <v>7.6923076999999996E-3</v>
      </c>
      <c r="D78" s="15">
        <v>136</v>
      </c>
      <c r="E78" s="32">
        <f t="shared" si="34"/>
        <v>3.8167938931297711E-2</v>
      </c>
      <c r="F78" s="18">
        <f>IF(ISNUMBER(D78), $B91 * E78, "")</f>
        <v>3816.7938931297713</v>
      </c>
      <c r="G78" s="31">
        <v>137</v>
      </c>
      <c r="H78" s="32">
        <f t="shared" si="35"/>
        <v>4.5801526717557252E-2</v>
      </c>
      <c r="I78" s="101">
        <f>IF(ISNUMBER(G78), $B91 * H78, "")</f>
        <v>4580.1526717557254</v>
      </c>
      <c r="J78" s="15">
        <v>136</v>
      </c>
      <c r="K78" s="32">
        <f t="shared" si="36"/>
        <v>3.8167938931297711E-2</v>
      </c>
      <c r="L78" s="18">
        <f>IF(ISNUMBER(J78), $B91 * K78, "")</f>
        <v>3816.7938931297713</v>
      </c>
      <c r="M78" s="31">
        <v>139</v>
      </c>
      <c r="N78" s="32">
        <f t="shared" si="37"/>
        <v>6.1068702290076333E-2</v>
      </c>
      <c r="O78" s="18">
        <f>IF(ISNUMBER(M78), $B91 * N78, "")</f>
        <v>6106.8702290076335</v>
      </c>
      <c r="Q78" s="251"/>
      <c r="R78" s="251"/>
      <c r="S78" s="251"/>
    </row>
    <row r="79" spans="1:19" ht="17.25" thickBot="1">
      <c r="A79" s="162" t="s">
        <v>92</v>
      </c>
      <c r="B79" s="126">
        <v>965</v>
      </c>
      <c r="C79" s="77">
        <v>-2.0682523000000001E-3</v>
      </c>
      <c r="D79" s="15">
        <v>1000</v>
      </c>
      <c r="E79" s="32">
        <f t="shared" si="34"/>
        <v>3.6269430051813469E-2</v>
      </c>
      <c r="F79" s="18">
        <f>IF(ISNUMBER(D79), $B91 * E79, "")</f>
        <v>3626.943005181347</v>
      </c>
      <c r="G79" s="31">
        <v>1000</v>
      </c>
      <c r="H79" s="32">
        <f t="shared" si="35"/>
        <v>3.6269430051813469E-2</v>
      </c>
      <c r="I79" s="101">
        <f>IF(ISNUMBER(G79), $B91 * H79, "")</f>
        <v>3626.943005181347</v>
      </c>
      <c r="J79" s="15">
        <v>999</v>
      </c>
      <c r="K79" s="32">
        <f t="shared" si="36"/>
        <v>3.5233160621761656E-2</v>
      </c>
      <c r="L79" s="18">
        <f>IF(ISNUMBER(J79), $B91 * K79, "")</f>
        <v>3523.3160621761654</v>
      </c>
      <c r="M79" s="31">
        <v>1020</v>
      </c>
      <c r="N79" s="32">
        <f t="shared" si="37"/>
        <v>5.6994818652849742E-2</v>
      </c>
      <c r="O79" s="18">
        <f>IF(ISNUMBER(M79), $B91 * N79, "")</f>
        <v>5699.4818652849744</v>
      </c>
      <c r="Q79" s="33"/>
      <c r="R79" s="33"/>
    </row>
    <row r="80" spans="1:19" ht="17.25" thickBot="1">
      <c r="A80" s="130" t="s">
        <v>57</v>
      </c>
      <c r="B80" s="131">
        <v>182</v>
      </c>
      <c r="C80" s="79">
        <v>-5.4644808999999997E-3</v>
      </c>
      <c r="D80" s="24">
        <v>189</v>
      </c>
      <c r="E80" s="25">
        <f t="shared" si="34"/>
        <v>3.8461538461538464E-2</v>
      </c>
      <c r="F80" s="104">
        <f>IF(ISNUMBER(D80), $B91 * E80, "")</f>
        <v>3846.1538461538462</v>
      </c>
      <c r="G80" s="102">
        <v>189</v>
      </c>
      <c r="H80" s="25">
        <f t="shared" si="35"/>
        <v>3.8461538461538464E-2</v>
      </c>
      <c r="I80" s="103">
        <f>IF(ISNUMBER(G80), $B91 * H80, "")</f>
        <v>3846.1538461538462</v>
      </c>
      <c r="J80" s="24">
        <v>188</v>
      </c>
      <c r="K80" s="25">
        <f t="shared" si="36"/>
        <v>3.2967032967032968E-2</v>
      </c>
      <c r="L80" s="104">
        <f>IF(ISNUMBER(J80), $B91 * K80, "")</f>
        <v>3296.7032967032969</v>
      </c>
      <c r="M80" s="102">
        <v>194</v>
      </c>
      <c r="N80" s="25">
        <f t="shared" si="37"/>
        <v>6.5934065934065936E-2</v>
      </c>
      <c r="O80" s="104">
        <f>IF(ISNUMBER(M80), $B91 * N80, "")</f>
        <v>6593.4065934065939</v>
      </c>
      <c r="Q80" s="252"/>
      <c r="R80" s="253"/>
      <c r="S80" s="254"/>
    </row>
    <row r="81" spans="1:19">
      <c r="A81" s="161" t="s">
        <v>291</v>
      </c>
      <c r="B81" s="124">
        <v>360</v>
      </c>
      <c r="C81" s="76">
        <v>-5.5248618999999997E-3</v>
      </c>
      <c r="D81" s="13">
        <v>374</v>
      </c>
      <c r="E81" s="14">
        <f>IF(ISNUMBER(D81), (D81 - $B81) / $B81, "")</f>
        <v>3.888888888888889E-2</v>
      </c>
      <c r="F81" s="16">
        <f>IF(ISNUMBER(D81), $B91 * E81, "")</f>
        <v>3888.8888888888891</v>
      </c>
      <c r="G81" s="29">
        <v>373</v>
      </c>
      <c r="H81" s="14">
        <f>IF(ISNUMBER(G81), (G81 - $B81) / $B81, "")</f>
        <v>3.6111111111111108E-2</v>
      </c>
      <c r="I81" s="100">
        <f>IF(ISNUMBER(G81), $B91 * H81, "")</f>
        <v>3611.1111111111109</v>
      </c>
      <c r="J81" s="13">
        <v>371</v>
      </c>
      <c r="K81" s="14">
        <f>IF(ISNUMBER(J81), (J81 - $B81) / $B81, "")</f>
        <v>3.0555555555555555E-2</v>
      </c>
      <c r="L81" s="16">
        <f>IF(ISNUMBER(J81), $B91 * K81, "")</f>
        <v>3055.5555555555557</v>
      </c>
      <c r="M81" s="29">
        <v>380</v>
      </c>
      <c r="N81" s="14">
        <f>IF(ISNUMBER(M81), (M81 - $B81) / $B81, "")</f>
        <v>5.5555555555555552E-2</v>
      </c>
      <c r="O81" s="16">
        <f>IF(ISNUMBER(M81), $B91 * N81, "")</f>
        <v>5555.5555555555557</v>
      </c>
      <c r="Q81" s="255"/>
      <c r="R81" s="256"/>
      <c r="S81" s="257"/>
    </row>
    <row r="82" spans="1:19" ht="17.25" thickBot="1">
      <c r="A82" s="162" t="s">
        <v>175</v>
      </c>
      <c r="B82" s="126">
        <v>972</v>
      </c>
      <c r="C82" s="77">
        <v>-6.1349693000000002E-3</v>
      </c>
      <c r="D82" s="15">
        <v>1010</v>
      </c>
      <c r="E82" s="32">
        <f t="shared" ref="E82:E85" si="38">IF(ISNUMBER(D82), (D82 - $B82) / $B82, "")</f>
        <v>3.9094650205761319E-2</v>
      </c>
      <c r="F82" s="18">
        <f>IF(ISNUMBER(D82), $B91 * E82, "")</f>
        <v>3909.4650205761318</v>
      </c>
      <c r="G82" s="31">
        <v>997</v>
      </c>
      <c r="H82" s="32">
        <f t="shared" ref="H82:H85" si="39">IF(ISNUMBER(G82), (G82 - $B82) / $B82, "")</f>
        <v>2.5720164609053499E-2</v>
      </c>
      <c r="I82" s="101">
        <f>IF(ISNUMBER(G82), $B91 * H82, "")</f>
        <v>2572.01646090535</v>
      </c>
      <c r="J82" s="15">
        <v>1005</v>
      </c>
      <c r="K82" s="32">
        <f t="shared" ref="K82:K85" si="40">IF(ISNUMBER(J82), (J82 - $B82) / $B82, "")</f>
        <v>3.3950617283950615E-2</v>
      </c>
      <c r="L82" s="18">
        <f>IF(ISNUMBER(J82), $B91 * K82, "")</f>
        <v>3395.0617283950614</v>
      </c>
      <c r="M82" s="31">
        <v>1020</v>
      </c>
      <c r="N82" s="32">
        <f t="shared" ref="N82:N85" si="41">IF(ISNUMBER(M82), (M82 - $B82) / $B82, "")</f>
        <v>4.9382716049382713E-2</v>
      </c>
      <c r="O82" s="18">
        <f>IF(ISNUMBER(M82), $B91 * N82, "")</f>
        <v>4938.2716049382716</v>
      </c>
      <c r="Q82" s="258"/>
      <c r="R82" s="259"/>
      <c r="S82" s="260"/>
    </row>
    <row r="83" spans="1:19" ht="17.25" thickBot="1">
      <c r="A83" s="162" t="s">
        <v>61</v>
      </c>
      <c r="B83" s="126">
        <v>755</v>
      </c>
      <c r="C83" s="77">
        <v>-1.30718954E-2</v>
      </c>
      <c r="D83" s="15">
        <v>784</v>
      </c>
      <c r="E83" s="32">
        <f t="shared" si="38"/>
        <v>3.8410596026490065E-2</v>
      </c>
      <c r="F83" s="18">
        <f>IF(ISNUMBER(D83), $B91 * E83, "")</f>
        <v>3841.0596026490066</v>
      </c>
      <c r="G83" s="31">
        <v>793</v>
      </c>
      <c r="H83" s="32">
        <f t="shared" si="39"/>
        <v>5.0331125827814571E-2</v>
      </c>
      <c r="I83" s="101">
        <f>IF(ISNUMBER(G83), $B91 * H83, "")</f>
        <v>5033.1125827814567</v>
      </c>
      <c r="J83" s="15">
        <v>789</v>
      </c>
      <c r="K83" s="32">
        <f t="shared" si="40"/>
        <v>4.5033112582781455E-2</v>
      </c>
      <c r="L83" s="18">
        <f>IF(ISNUMBER(J83), $B91 * K83, "")</f>
        <v>4503.3112582781459</v>
      </c>
      <c r="M83" s="31">
        <v>816</v>
      </c>
      <c r="N83" s="32">
        <f t="shared" si="41"/>
        <v>8.0794701986754966E-2</v>
      </c>
      <c r="O83" s="18">
        <f>IF(ISNUMBER(M83), $B91 * N83, "")</f>
        <v>8079.4701986754962</v>
      </c>
      <c r="Q83" s="251"/>
      <c r="R83" s="251"/>
      <c r="S83" s="251"/>
    </row>
    <row r="84" spans="1:19" ht="17.25" thickBot="1">
      <c r="A84" s="162" t="s">
        <v>80</v>
      </c>
      <c r="B84" s="126">
        <v>708</v>
      </c>
      <c r="C84" s="77">
        <v>-1.52990264E-2</v>
      </c>
      <c r="D84" s="15">
        <v>737</v>
      </c>
      <c r="E84" s="32">
        <f t="shared" si="38"/>
        <v>4.0960451977401127E-2</v>
      </c>
      <c r="F84" s="18">
        <f>IF(ISNUMBER(D84), $B91 * E84, "")</f>
        <v>4096.0451977401126</v>
      </c>
      <c r="G84" s="31">
        <v>742</v>
      </c>
      <c r="H84" s="32">
        <f t="shared" si="39"/>
        <v>4.8022598870056499E-2</v>
      </c>
      <c r="I84" s="101">
        <f>IF(ISNUMBER(G84), $B91 * H84, "")</f>
        <v>4802.2598870056499</v>
      </c>
      <c r="J84" s="15">
        <v>743</v>
      </c>
      <c r="K84" s="32">
        <f t="shared" si="40"/>
        <v>4.9435028248587573E-2</v>
      </c>
      <c r="L84" s="18">
        <f>IF(ISNUMBER(J84), $B91 * K84, "")</f>
        <v>4943.5028248587569</v>
      </c>
      <c r="M84" s="31">
        <v>771</v>
      </c>
      <c r="N84" s="32">
        <f t="shared" si="41"/>
        <v>8.8983050847457626E-2</v>
      </c>
      <c r="O84" s="18">
        <f>IF(ISNUMBER(M84), $B91 * N84, "")</f>
        <v>8898.3050847457635</v>
      </c>
      <c r="Q84" s="261"/>
      <c r="R84" s="261"/>
      <c r="S84" s="261"/>
    </row>
    <row r="85" spans="1:19" ht="17.25" thickBot="1">
      <c r="A85" s="163" t="s">
        <v>128</v>
      </c>
      <c r="B85" s="128">
        <v>290</v>
      </c>
      <c r="C85" s="78">
        <v>-1.6949152499999998E-2</v>
      </c>
      <c r="D85" s="20">
        <v>301</v>
      </c>
      <c r="E85" s="21">
        <f t="shared" si="38"/>
        <v>3.793103448275862E-2</v>
      </c>
      <c r="F85" s="22">
        <f>IF(ISNUMBER(D85), $B91 * E85, "")</f>
        <v>3793.1034482758619</v>
      </c>
      <c r="G85" s="30">
        <v>317</v>
      </c>
      <c r="H85" s="21">
        <f t="shared" si="39"/>
        <v>9.3103448275862075E-2</v>
      </c>
      <c r="I85" s="105">
        <f>IF(ISNUMBER(G85), $B91 * H85, "")</f>
        <v>9310.3448275862083</v>
      </c>
      <c r="J85" s="20">
        <v>311</v>
      </c>
      <c r="K85" s="21">
        <f t="shared" si="40"/>
        <v>7.2413793103448282E-2</v>
      </c>
      <c r="L85" s="22">
        <f>IF(ISNUMBER(J85), $B91 * K85, "")</f>
        <v>7241.3793103448279</v>
      </c>
      <c r="M85" s="30">
        <v>316</v>
      </c>
      <c r="N85" s="21">
        <f t="shared" si="41"/>
        <v>8.9655172413793102E-2</v>
      </c>
      <c r="O85" s="22">
        <f>IF(ISNUMBER(M85), $B91 * N85, "")</f>
        <v>8965.5172413793098</v>
      </c>
      <c r="Q85" s="261"/>
      <c r="R85" s="261"/>
      <c r="S85" s="261"/>
    </row>
    <row r="86" spans="1:19" ht="17.25" thickBot="1">
      <c r="A86" s="162" t="s">
        <v>136</v>
      </c>
      <c r="B86" s="129">
        <v>113</v>
      </c>
      <c r="C86" s="80">
        <v>-1.73913043E-2</v>
      </c>
      <c r="D86" s="106">
        <v>124</v>
      </c>
      <c r="E86" s="107">
        <f>IF(ISNUMBER(D86), (D86 - $B86) / $B86, "")</f>
        <v>9.7345132743362831E-2</v>
      </c>
      <c r="F86" s="108">
        <f>IF(ISNUMBER(D86), $B91 * E86, "")</f>
        <v>9734.5132743362828</v>
      </c>
      <c r="G86" s="109">
        <v>122</v>
      </c>
      <c r="H86" s="107">
        <f>IF(ISNUMBER(G86), (G86 - $B86) / $B86, "")</f>
        <v>7.9646017699115043E-2</v>
      </c>
      <c r="I86" s="110">
        <f>IF(ISNUMBER(G86), $B91 * H86, "")</f>
        <v>7964.6017699115046</v>
      </c>
      <c r="J86" s="106">
        <v>122</v>
      </c>
      <c r="K86" s="107">
        <f>IF(ISNUMBER(J86), (J86 - $B86) / $B86, "")</f>
        <v>7.9646017699115043E-2</v>
      </c>
      <c r="L86" s="108">
        <f>IF(ISNUMBER(J86), $B91 * K86, "")</f>
        <v>7964.6017699115046</v>
      </c>
      <c r="M86" s="109">
        <v>125</v>
      </c>
      <c r="N86" s="107">
        <f>IF(ISNUMBER(M86), (M86 - $B86) / $B86, "")</f>
        <v>0.10619469026548672</v>
      </c>
      <c r="O86" s="108">
        <f>IF(ISNUMBER(M86), $B91 * N86, "")</f>
        <v>10619.469026548672</v>
      </c>
      <c r="Q86" s="251"/>
      <c r="R86" s="251"/>
      <c r="S86" s="251"/>
    </row>
    <row r="87" spans="1:19" ht="17.25" thickBot="1">
      <c r="A87" s="162" t="s">
        <v>181</v>
      </c>
      <c r="B87" s="126">
        <v>222</v>
      </c>
      <c r="C87" s="77">
        <v>-1.7699115000000001E-2</v>
      </c>
      <c r="D87" s="15">
        <v>229</v>
      </c>
      <c r="E87" s="32">
        <f t="shared" ref="E87:E90" si="42">IF(ISNUMBER(D87), (D87 - $B87) / $B87, "")</f>
        <v>3.1531531531531529E-2</v>
      </c>
      <c r="F87" s="18">
        <f>IF(ISNUMBER(D87), $B91 * E87, "")</f>
        <v>3153.1531531531527</v>
      </c>
      <c r="G87" s="31">
        <v>231</v>
      </c>
      <c r="H87" s="32">
        <f t="shared" ref="H87:H90" si="43">IF(ISNUMBER(G87), (G87 - $B87) / $B87, "")</f>
        <v>4.0540540540540543E-2</v>
      </c>
      <c r="I87" s="101">
        <f>IF(ISNUMBER(G87), $B91 * H87, "")</f>
        <v>4054.0540540540542</v>
      </c>
      <c r="J87" s="15">
        <v>228</v>
      </c>
      <c r="K87" s="32">
        <f t="shared" ref="K87:K90" si="44">IF(ISNUMBER(J87), (J87 - $B87) / $B87, "")</f>
        <v>2.7027027027027029E-2</v>
      </c>
      <c r="L87" s="18">
        <f>IF(ISNUMBER(J87), $B91 * K87, "")</f>
        <v>2702.7027027027029</v>
      </c>
      <c r="M87" s="31">
        <v>237</v>
      </c>
      <c r="N87" s="32">
        <f t="shared" ref="N87:N90" si="45">IF(ISNUMBER(M87), (M87 - $B87) / $B87, "")</f>
        <v>6.7567567567567571E-2</v>
      </c>
      <c r="O87" s="18">
        <f>IF(ISNUMBER(M87), $B91 * N87, "")</f>
        <v>6756.7567567567576</v>
      </c>
      <c r="Q87" s="251"/>
      <c r="R87" s="251"/>
      <c r="S87" s="251"/>
    </row>
    <row r="88" spans="1:19" ht="17.25" thickBot="1">
      <c r="A88" s="162" t="s">
        <v>88</v>
      </c>
      <c r="B88" s="126">
        <v>311</v>
      </c>
      <c r="C88" s="77">
        <v>-2.2012578599999999E-2</v>
      </c>
      <c r="D88" s="15">
        <v>323</v>
      </c>
      <c r="E88" s="32">
        <f t="shared" si="42"/>
        <v>3.8585209003215437E-2</v>
      </c>
      <c r="F88" s="18">
        <f>IF(ISNUMBER(D88), $B91 * E88, "")</f>
        <v>3858.5209003215436</v>
      </c>
      <c r="G88" s="31">
        <v>326</v>
      </c>
      <c r="H88" s="32">
        <f t="shared" si="43"/>
        <v>4.8231511254019289E-2</v>
      </c>
      <c r="I88" s="101">
        <f>IF(ISNUMBER(G88), $B91 * H88, "")</f>
        <v>4823.1511254019288</v>
      </c>
      <c r="J88" s="15">
        <v>322</v>
      </c>
      <c r="K88" s="32">
        <f t="shared" si="44"/>
        <v>3.5369774919614148E-2</v>
      </c>
      <c r="L88" s="18">
        <f>IF(ISNUMBER(J88), $B91 * K88, "")</f>
        <v>3536.9774919614147</v>
      </c>
      <c r="M88" s="31">
        <v>330</v>
      </c>
      <c r="N88" s="32">
        <f t="shared" si="45"/>
        <v>6.1093247588424437E-2</v>
      </c>
      <c r="O88" s="18">
        <f>IF(ISNUMBER(M88), $B91 * N88, "")</f>
        <v>6109.3247588424438</v>
      </c>
      <c r="Q88" s="251"/>
      <c r="R88" s="251"/>
      <c r="S88" s="251"/>
    </row>
    <row r="89" spans="1:19">
      <c r="A89" s="162" t="s">
        <v>257</v>
      </c>
      <c r="B89" s="126">
        <v>453</v>
      </c>
      <c r="C89" s="77">
        <v>-2.3706896599999999E-2</v>
      </c>
      <c r="D89" s="15">
        <v>485</v>
      </c>
      <c r="E89" s="32">
        <f t="shared" si="42"/>
        <v>7.0640176600441501E-2</v>
      </c>
      <c r="F89" s="18">
        <f>IF(ISNUMBER(D89), $B91 * E89, "")</f>
        <v>7064.01766004415</v>
      </c>
      <c r="G89" s="31">
        <v>491</v>
      </c>
      <c r="H89" s="32">
        <f t="shared" si="43"/>
        <v>8.3885209713024281E-2</v>
      </c>
      <c r="I89" s="101">
        <f>IF(ISNUMBER(G89), $B91 * H89, "")</f>
        <v>8388.5209713024287</v>
      </c>
      <c r="J89" s="15">
        <v>487</v>
      </c>
      <c r="K89" s="32">
        <f t="shared" si="44"/>
        <v>7.505518763796909E-2</v>
      </c>
      <c r="L89" s="18">
        <f>IF(ISNUMBER(J89), $B91 * K89, "")</f>
        <v>7505.5187637969093</v>
      </c>
      <c r="M89" s="31">
        <v>501</v>
      </c>
      <c r="N89" s="32">
        <f t="shared" si="45"/>
        <v>0.10596026490066225</v>
      </c>
      <c r="O89" s="18">
        <f>IF(ISNUMBER(M89), $B91 * N89, "")</f>
        <v>10596.026490066226</v>
      </c>
      <c r="Q89" s="240"/>
      <c r="R89" s="241"/>
      <c r="S89" s="242"/>
    </row>
    <row r="90" spans="1:19" ht="17.25" thickBot="1">
      <c r="A90" s="130" t="s">
        <v>116</v>
      </c>
      <c r="B90" s="131">
        <v>297</v>
      </c>
      <c r="C90" s="79">
        <v>-2.9411764699999999E-2</v>
      </c>
      <c r="D90" s="24">
        <v>313</v>
      </c>
      <c r="E90" s="25">
        <f t="shared" si="42"/>
        <v>5.387205387205387E-2</v>
      </c>
      <c r="F90" s="104">
        <f>IF(ISNUMBER(D90), $B91 * E90, "")</f>
        <v>5387.2053872053866</v>
      </c>
      <c r="G90" s="102">
        <v>314</v>
      </c>
      <c r="H90" s="25">
        <f t="shared" si="43"/>
        <v>5.7239057239057242E-2</v>
      </c>
      <c r="I90" s="103">
        <f>IF(ISNUMBER(G90), $B91 * H90, "")</f>
        <v>5723.9057239057238</v>
      </c>
      <c r="J90" s="24">
        <v>313</v>
      </c>
      <c r="K90" s="25">
        <f t="shared" si="44"/>
        <v>5.387205387205387E-2</v>
      </c>
      <c r="L90" s="104">
        <f>IF(ISNUMBER(J90), $B91 * K90, "")</f>
        <v>5387.2053872053866</v>
      </c>
      <c r="M90" s="102">
        <v>323</v>
      </c>
      <c r="N90" s="25">
        <f t="shared" si="45"/>
        <v>8.7542087542087546E-2</v>
      </c>
      <c r="O90" s="104">
        <f>IF(ISNUMBER(M90), $B91 * N90, "")</f>
        <v>8754.2087542087538</v>
      </c>
      <c r="Q90" s="243"/>
      <c r="R90" s="244"/>
      <c r="S90" s="245"/>
    </row>
    <row r="91" spans="1:19" ht="17.25" thickBot="1">
      <c r="A91" s="132" t="s">
        <v>295</v>
      </c>
      <c r="B91" s="304">
        <f>$B$37</f>
        <v>100000</v>
      </c>
      <c r="C91" s="305"/>
      <c r="D91" s="26" t="s">
        <v>296</v>
      </c>
      <c r="E91" s="27">
        <f>IF(COUNT(E71:E90), SUM(E71:E90) / COUNT(E71:E90), 0)</f>
        <v>3.0027961939119507E-2</v>
      </c>
      <c r="F91" s="28">
        <f>SUM(F71:F90)</f>
        <v>60055.923878239017</v>
      </c>
      <c r="G91" s="26" t="s">
        <v>296</v>
      </c>
      <c r="H91" s="27">
        <f>IF(COUNT(H71:H90), SUM(H71:H90) / COUNT(H71:H90), 0)</f>
        <v>3.6094629004314184E-2</v>
      </c>
      <c r="I91" s="28">
        <f>SUM(I71:I90)</f>
        <v>72189.258008628371</v>
      </c>
      <c r="J91" s="26" t="s">
        <v>296</v>
      </c>
      <c r="K91" s="27">
        <f>IF(COUNT(K71:K90), SUM(K71:K90) / COUNT(K71:K90), 0)</f>
        <v>3.2417048394928184E-2</v>
      </c>
      <c r="L91" s="28">
        <f>SUM(L71:L90)</f>
        <v>64834.096789856354</v>
      </c>
      <c r="M91" s="26" t="s">
        <v>296</v>
      </c>
      <c r="N91" s="27">
        <f>IF(COUNT(N71:N90), SUM(N71:N90) / COUNT(N71:N90), 0)</f>
        <v>5.9260019998025534E-2</v>
      </c>
      <c r="O91" s="28">
        <f>SUM(O71:O90)</f>
        <v>118520.03999605105</v>
      </c>
      <c r="Q91" s="246"/>
      <c r="R91" s="247"/>
      <c r="S91" s="248"/>
    </row>
    <row r="93" spans="1:19" ht="17.25" thickBot="1"/>
    <row r="94" spans="1:19" ht="17.25" thickBot="1">
      <c r="A94" s="262" t="s">
        <v>46</v>
      </c>
      <c r="B94" s="263"/>
      <c r="C94" s="263"/>
      <c r="D94" s="263"/>
      <c r="E94" s="263"/>
      <c r="F94" s="263"/>
      <c r="G94" s="263"/>
      <c r="H94" s="263"/>
      <c r="I94" s="263"/>
      <c r="J94" s="263"/>
      <c r="K94" s="263"/>
      <c r="L94" s="263"/>
      <c r="M94" s="263"/>
      <c r="N94" s="263"/>
      <c r="O94" s="264"/>
      <c r="Q94" s="261"/>
      <c r="R94" s="261"/>
      <c r="S94" s="261"/>
    </row>
    <row r="95" spans="1:19" ht="17.25" thickBot="1">
      <c r="A95" s="212" t="s">
        <v>292</v>
      </c>
      <c r="B95" s="262" t="s">
        <v>49</v>
      </c>
      <c r="C95" s="264"/>
      <c r="D95" s="262" t="s">
        <v>58</v>
      </c>
      <c r="E95" s="263"/>
      <c r="F95" s="264"/>
      <c r="G95" s="265">
        <f>_xlfn.IFNA(VLOOKUP(B95, 현재가테이블!$B$2:$D$200, 2, FALSE), "-")</f>
        <v>40538000</v>
      </c>
      <c r="H95" s="266"/>
      <c r="I95" s="267"/>
      <c r="J95" s="262" t="s">
        <v>59</v>
      </c>
      <c r="K95" s="263"/>
      <c r="L95" s="264"/>
      <c r="M95" s="268">
        <f>_xlfn.IFNA(VLOOKUP(B95, 현재가테이블!$B$2:$D$200, 3, FALSE), "-")</f>
        <v>-3.68275993E-2</v>
      </c>
      <c r="N95" s="269"/>
      <c r="O95" s="270"/>
      <c r="Q95" s="261"/>
      <c r="R95" s="261"/>
      <c r="S95" s="261"/>
    </row>
    <row r="96" spans="1:19" ht="17.25" thickBot="1">
      <c r="A96" s="306" t="s">
        <v>55</v>
      </c>
      <c r="B96" s="302" t="str">
        <f>TEXT($G$1, "[$-ko-KR]yyyy-mm-dd(ddd) ") &amp; "오전 00:00"</f>
        <v>2021-06-14(월) 오전 00:00</v>
      </c>
      <c r="C96" s="303"/>
      <c r="D96" s="275" t="str">
        <f>TEXT($G$1, "[$-ko-KR]yyyy-mm-dd(ddd) ") &amp; "오후 14:00"</f>
        <v>2021-06-14(월) 오후 14:00</v>
      </c>
      <c r="E96" s="276"/>
      <c r="F96" s="277"/>
      <c r="G96" s="275" t="str">
        <f>TEXT($G$1, "[$-ko-KR]yyyy-mm-dd(ddd) ") &amp; "오후 19:00"</f>
        <v>2021-06-14(월) 오후 19:00</v>
      </c>
      <c r="H96" s="276"/>
      <c r="I96" s="277"/>
      <c r="J96" s="275" t="str">
        <f>TEXT($G$1, "[$-ko-KR]yyyy-mm-dd(ddd) ") &amp; "오후 21:00"</f>
        <v>2021-06-14(월) 오후 21:00</v>
      </c>
      <c r="K96" s="276"/>
      <c r="L96" s="277"/>
      <c r="M96" s="275" t="str">
        <f>TEXT($G$1+1, "[$-ko-KR]yyyy-mm-dd(ddd) ") &amp; "오전 00:00"</f>
        <v>2021-06-15(화) 오전 00:00</v>
      </c>
      <c r="N96" s="276"/>
      <c r="O96" s="277"/>
      <c r="Q96" s="261"/>
      <c r="R96" s="261"/>
      <c r="S96" s="261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3" t="s">
        <v>58</v>
      </c>
      <c r="H97" s="214" t="s">
        <v>293</v>
      </c>
      <c r="I97" s="21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1"/>
      <c r="R97" s="251"/>
      <c r="S97" s="251"/>
    </row>
    <row r="98" spans="1:19" ht="17.25" thickBot="1">
      <c r="A98" s="161" t="s">
        <v>142</v>
      </c>
      <c r="B98" s="124">
        <v>589</v>
      </c>
      <c r="C98" s="76">
        <v>0.19715447150000001</v>
      </c>
      <c r="D98" s="13">
        <v>613</v>
      </c>
      <c r="E98" s="14">
        <f>IF(ISNUMBER(D98), (D98 - $B98) / $B98, "")</f>
        <v>4.074702886247878E-2</v>
      </c>
      <c r="F98" s="16">
        <f>IF(ISNUMBER(D98), $B118 * E98, "")</f>
        <v>4074.7028862478783</v>
      </c>
      <c r="G98" s="29">
        <v>616</v>
      </c>
      <c r="H98" s="14">
        <f>IF(ISNUMBER(G98), (G98 - $B98) / $B98, "")</f>
        <v>4.5840407470288627E-2</v>
      </c>
      <c r="I98" s="100">
        <f>IF(ISNUMBER(G98), $B118 * H98, "")</f>
        <v>4584.0407470288628</v>
      </c>
      <c r="J98" s="13">
        <v>619</v>
      </c>
      <c r="K98" s="14">
        <f>IF(ISNUMBER(J98), (J98 - $B98) / $B98, "")</f>
        <v>5.0933786078098474E-2</v>
      </c>
      <c r="L98" s="16">
        <f>IF(ISNUMBER(J98), $B118 * K98, "")</f>
        <v>5093.3786078098474</v>
      </c>
      <c r="M98" s="29">
        <v>638</v>
      </c>
      <c r="N98" s="14">
        <f>IF(ISNUMBER(M98), (M98 - $B98) / $B98, "")</f>
        <v>8.3191850594227498E-2</v>
      </c>
      <c r="O98" s="16">
        <f>IF(ISNUMBER(M98), $B118 * N98, "")</f>
        <v>8319.185059422749</v>
      </c>
      <c r="Q98" s="261"/>
      <c r="R98" s="261"/>
      <c r="S98" s="261"/>
    </row>
    <row r="99" spans="1:19" ht="17.25" thickBot="1">
      <c r="A99" s="162" t="s">
        <v>189</v>
      </c>
      <c r="B99" s="126">
        <v>50460</v>
      </c>
      <c r="C99" s="77">
        <v>7.6594836799999996E-2</v>
      </c>
      <c r="D99" s="15">
        <v>50000</v>
      </c>
      <c r="E99" s="32">
        <f t="shared" ref="E99:E102" si="46">IF(ISNUMBER(D99), (D99 - $B99) / $B99, "")</f>
        <v>-9.116131589377725E-3</v>
      </c>
      <c r="F99" s="18">
        <f>IF(ISNUMBER(D99), $B118 * E99, "")</f>
        <v>-911.61315893777248</v>
      </c>
      <c r="G99" s="31">
        <v>50650</v>
      </c>
      <c r="H99" s="32">
        <f t="shared" ref="H99:H102" si="47">IF(ISNUMBER(G99), (G99 - $B99) / $B99, "")</f>
        <v>3.7653586999603647E-3</v>
      </c>
      <c r="I99" s="101">
        <f>IF(ISNUMBER(G99), $B118 * H99, "")</f>
        <v>376.53586999603647</v>
      </c>
      <c r="J99" s="15">
        <v>50820</v>
      </c>
      <c r="K99" s="32">
        <f t="shared" ref="K99:K102" si="48">IF(ISNUMBER(J99), (J99 - $B99) / $B99, "")</f>
        <v>7.1343638525564806E-3</v>
      </c>
      <c r="L99" s="18">
        <f>IF(ISNUMBER(J99), $B118 * K99, "")</f>
        <v>713.43638525564802</v>
      </c>
      <c r="M99" s="31">
        <v>52800</v>
      </c>
      <c r="N99" s="32">
        <f t="shared" ref="N99:N102" si="49">IF(ISNUMBER(M99), (M99 - $B99) / $B99, "")</f>
        <v>4.6373365041617119E-2</v>
      </c>
      <c r="O99" s="18">
        <f>IF(ISNUMBER(M99), $B118 * N99, "")</f>
        <v>4637.3365041617117</v>
      </c>
      <c r="Q99" s="261"/>
      <c r="R99" s="261"/>
      <c r="S99" s="261"/>
    </row>
    <row r="100" spans="1:19" ht="17.25" thickBot="1">
      <c r="A100" s="162" t="s">
        <v>269</v>
      </c>
      <c r="B100" s="126">
        <v>7110</v>
      </c>
      <c r="C100" s="77">
        <v>7.6457229400000007E-2</v>
      </c>
      <c r="D100" s="15">
        <v>7825</v>
      </c>
      <c r="E100" s="32">
        <f t="shared" si="46"/>
        <v>0.10056258790436005</v>
      </c>
      <c r="F100" s="18">
        <f>IF(ISNUMBER(D100), $B118 * E100, "")</f>
        <v>10056.258790436006</v>
      </c>
      <c r="G100" s="31">
        <v>7635</v>
      </c>
      <c r="H100" s="32">
        <f t="shared" si="47"/>
        <v>7.3839662447257384E-2</v>
      </c>
      <c r="I100" s="101">
        <f>IF(ISNUMBER(G100), $B118 * H100, "")</f>
        <v>7383.9662447257388</v>
      </c>
      <c r="J100" s="15">
        <v>7465</v>
      </c>
      <c r="K100" s="32">
        <f t="shared" si="48"/>
        <v>4.9929676511954992E-2</v>
      </c>
      <c r="L100" s="18">
        <f>IF(ISNUMBER(J100), $B118 * K100, "")</f>
        <v>4992.9676511954995</v>
      </c>
      <c r="M100" s="31">
        <v>7875</v>
      </c>
      <c r="N100" s="32">
        <f t="shared" si="49"/>
        <v>0.10759493670886076</v>
      </c>
      <c r="O100" s="18">
        <f>IF(ISNUMBER(M100), $B118 * N100, "")</f>
        <v>10759.493670886077</v>
      </c>
      <c r="Q100" s="251"/>
      <c r="R100" s="251"/>
      <c r="S100" s="251"/>
    </row>
    <row r="101" spans="1:19" ht="17.25" thickBot="1">
      <c r="A101" s="162" t="s">
        <v>253</v>
      </c>
      <c r="B101" s="126">
        <v>409</v>
      </c>
      <c r="C101" s="77">
        <v>7.6315789499999995E-2</v>
      </c>
      <c r="D101" s="15">
        <v>405</v>
      </c>
      <c r="E101" s="32">
        <f t="shared" si="46"/>
        <v>-9.7799511002444987E-3</v>
      </c>
      <c r="F101" s="18">
        <f>IF(ISNUMBER(D101), $B118 * E101, "")</f>
        <v>-977.9951100244499</v>
      </c>
      <c r="G101" s="31">
        <v>408</v>
      </c>
      <c r="H101" s="32">
        <f t="shared" si="47"/>
        <v>-2.4449877750611247E-3</v>
      </c>
      <c r="I101" s="101">
        <f>IF(ISNUMBER(G101), $B118 * H101, "")</f>
        <v>-244.49877750611248</v>
      </c>
      <c r="J101" s="15">
        <v>407</v>
      </c>
      <c r="K101" s="32">
        <f t="shared" si="48"/>
        <v>-4.8899755501222494E-3</v>
      </c>
      <c r="L101" s="18">
        <f>IF(ISNUMBER(J101), $B118 * K101, "")</f>
        <v>-488.99755501222495</v>
      </c>
      <c r="M101" s="31">
        <v>419</v>
      </c>
      <c r="N101" s="32">
        <f t="shared" si="49"/>
        <v>2.4449877750611249E-2</v>
      </c>
      <c r="O101" s="18">
        <f>IF(ISNUMBER(M101), $B118 * N101, "")</f>
        <v>2444.9877750611249</v>
      </c>
      <c r="Q101" s="251"/>
      <c r="R101" s="251"/>
      <c r="S101" s="251"/>
    </row>
    <row r="102" spans="1:19" ht="17.25" thickBot="1">
      <c r="A102" s="163" t="s">
        <v>199</v>
      </c>
      <c r="B102" s="128">
        <v>160</v>
      </c>
      <c r="C102" s="78">
        <v>7.3825503400000006E-2</v>
      </c>
      <c r="D102" s="20">
        <v>157</v>
      </c>
      <c r="E102" s="21">
        <f t="shared" si="46"/>
        <v>-1.8749999999999999E-2</v>
      </c>
      <c r="F102" s="22">
        <f>IF(ISNUMBER(D102), $B118 * E102, "")</f>
        <v>-1875</v>
      </c>
      <c r="G102" s="30">
        <v>159</v>
      </c>
      <c r="H102" s="21">
        <f t="shared" si="47"/>
        <v>-6.2500000000000003E-3</v>
      </c>
      <c r="I102" s="105">
        <f>IF(ISNUMBER(G102), $B118 * H102, "")</f>
        <v>-625</v>
      </c>
      <c r="J102" s="20">
        <v>158</v>
      </c>
      <c r="K102" s="21">
        <f t="shared" si="48"/>
        <v>-1.2500000000000001E-2</v>
      </c>
      <c r="L102" s="22">
        <f>IF(ISNUMBER(J102), $B118 * K102, "")</f>
        <v>-1250</v>
      </c>
      <c r="M102" s="30">
        <v>161</v>
      </c>
      <c r="N102" s="21">
        <f t="shared" si="49"/>
        <v>6.2500000000000003E-3</v>
      </c>
      <c r="O102" s="22">
        <f>IF(ISNUMBER(M102), $B118 * N102, "")</f>
        <v>625</v>
      </c>
      <c r="Q102" s="251"/>
      <c r="R102" s="251"/>
      <c r="S102" s="251"/>
    </row>
    <row r="103" spans="1:19" ht="17.25" thickBot="1">
      <c r="A103" s="162" t="s">
        <v>214</v>
      </c>
      <c r="B103" s="129">
        <v>250</v>
      </c>
      <c r="C103" s="80">
        <v>6.3829787200000002E-2</v>
      </c>
      <c r="D103" s="106">
        <v>243</v>
      </c>
      <c r="E103" s="107">
        <f>IF(ISNUMBER(D103), (D103 - $B103) / $B103, "")</f>
        <v>-2.8000000000000001E-2</v>
      </c>
      <c r="F103" s="108">
        <f>IF(ISNUMBER(D103), $B118 * E103, "")</f>
        <v>-2800</v>
      </c>
      <c r="G103" s="109">
        <v>243</v>
      </c>
      <c r="H103" s="107">
        <f>IF(ISNUMBER(G103), (G103 - $B103) / $B103, "")</f>
        <v>-2.8000000000000001E-2</v>
      </c>
      <c r="I103" s="110">
        <f>IF(ISNUMBER(G103), $B118 * H103, "")</f>
        <v>-2800</v>
      </c>
      <c r="J103" s="106">
        <v>243</v>
      </c>
      <c r="K103" s="107">
        <f>IF(ISNUMBER(J103), (J103 - $B103) / $B103, "")</f>
        <v>-2.8000000000000001E-2</v>
      </c>
      <c r="L103" s="108">
        <f>IF(ISNUMBER(J103), $B118 * K103, "")</f>
        <v>-2800</v>
      </c>
      <c r="M103" s="109">
        <v>248</v>
      </c>
      <c r="N103" s="107">
        <f>IF(ISNUMBER(M103), (M103 - $B103) / $B103, "")</f>
        <v>-8.0000000000000002E-3</v>
      </c>
      <c r="O103" s="108">
        <f>IF(ISNUMBER(M103), $B118 * N103, "")</f>
        <v>-800</v>
      </c>
      <c r="Q103" s="251"/>
      <c r="R103" s="251"/>
      <c r="S103" s="251"/>
    </row>
    <row r="104" spans="1:19" ht="17.25" thickBot="1">
      <c r="A104" s="162" t="s">
        <v>169</v>
      </c>
      <c r="B104" s="126">
        <v>256</v>
      </c>
      <c r="C104" s="77">
        <v>5.7851239700000001E-2</v>
      </c>
      <c r="D104" s="15">
        <v>238</v>
      </c>
      <c r="E104" s="32">
        <f t="shared" ref="E104:E107" si="50">IF(ISNUMBER(D104), (D104 - $B104) / $B104, "")</f>
        <v>-7.03125E-2</v>
      </c>
      <c r="F104" s="18">
        <f>IF(ISNUMBER(D104), $B118 * E104, "")</f>
        <v>-7031.25</v>
      </c>
      <c r="G104" s="31">
        <v>242</v>
      </c>
      <c r="H104" s="32">
        <f t="shared" ref="H104:H107" si="51">IF(ISNUMBER(G104), (G104 - $B104) / $B104, "")</f>
        <v>-5.46875E-2</v>
      </c>
      <c r="I104" s="101">
        <f>IF(ISNUMBER(G104), $B118 * H104, "")</f>
        <v>-5468.75</v>
      </c>
      <c r="J104" s="15">
        <v>242</v>
      </c>
      <c r="K104" s="32">
        <f t="shared" ref="K104:K107" si="52">IF(ISNUMBER(J104), (J104 - $B104) / $B104, "")</f>
        <v>-5.46875E-2</v>
      </c>
      <c r="L104" s="18">
        <f>IF(ISNUMBER(J104), $B118 * K104, "")</f>
        <v>-5468.75</v>
      </c>
      <c r="M104" s="31">
        <v>247</v>
      </c>
      <c r="N104" s="32">
        <f t="shared" ref="N104:N107" si="53">IF(ISNUMBER(M104), (M104 - $B104) / $B104, "")</f>
        <v>-3.515625E-2</v>
      </c>
      <c r="O104" s="18">
        <f>IF(ISNUMBER(M104), $B118 * N104, "")</f>
        <v>-3515.625</v>
      </c>
      <c r="Q104" s="251"/>
      <c r="R104" s="251"/>
      <c r="S104" s="251"/>
    </row>
    <row r="105" spans="1:19" ht="17.25" thickBot="1">
      <c r="A105" s="162" t="s">
        <v>191</v>
      </c>
      <c r="B105" s="126">
        <v>957</v>
      </c>
      <c r="C105" s="77">
        <v>4.7045951900000001E-2</v>
      </c>
      <c r="D105" s="15">
        <v>1015</v>
      </c>
      <c r="E105" s="32">
        <f t="shared" si="50"/>
        <v>6.0606060606060608E-2</v>
      </c>
      <c r="F105" s="18">
        <f>IF(ISNUMBER(D105), $B118 * E105, "")</f>
        <v>6060.606060606061</v>
      </c>
      <c r="G105" s="31">
        <v>991</v>
      </c>
      <c r="H105" s="32">
        <f t="shared" si="51"/>
        <v>3.5527690700104496E-2</v>
      </c>
      <c r="I105" s="101">
        <f>IF(ISNUMBER(G105), $B118 * H105, "")</f>
        <v>3552.7690700104495</v>
      </c>
      <c r="J105" s="15">
        <v>980</v>
      </c>
      <c r="K105" s="32">
        <f t="shared" si="52"/>
        <v>2.4033437826541274E-2</v>
      </c>
      <c r="L105" s="18">
        <f>IF(ISNUMBER(J105), $B118 * K105, "")</f>
        <v>2403.3437826541276</v>
      </c>
      <c r="M105" s="31">
        <v>999</v>
      </c>
      <c r="N105" s="32">
        <f t="shared" si="53"/>
        <v>4.3887147335423198E-2</v>
      </c>
      <c r="O105" s="18">
        <f>IF(ISNUMBER(M105), $B118 * N105, "")</f>
        <v>4388.7147335423197</v>
      </c>
      <c r="Q105" s="251"/>
      <c r="R105" s="251"/>
      <c r="S105" s="251"/>
    </row>
    <row r="106" spans="1:19" ht="17.25" thickBot="1">
      <c r="A106" s="162" t="s">
        <v>114</v>
      </c>
      <c r="B106" s="126">
        <v>9475</v>
      </c>
      <c r="C106" s="77">
        <v>3.7219485500000003E-2</v>
      </c>
      <c r="D106" s="15">
        <v>10020</v>
      </c>
      <c r="E106" s="32">
        <f t="shared" si="50"/>
        <v>5.7519788918205805E-2</v>
      </c>
      <c r="F106" s="18">
        <f>IF(ISNUMBER(D106), $B118 * E106, "")</f>
        <v>5751.9788918205804</v>
      </c>
      <c r="G106" s="31">
        <v>10420</v>
      </c>
      <c r="H106" s="32">
        <f t="shared" si="51"/>
        <v>9.9736147757255936E-2</v>
      </c>
      <c r="I106" s="101">
        <f>IF(ISNUMBER(G106), $B118 * H106, "")</f>
        <v>9973.6147757255931</v>
      </c>
      <c r="J106" s="15">
        <v>10510</v>
      </c>
      <c r="K106" s="32">
        <f t="shared" si="52"/>
        <v>0.10923482849604221</v>
      </c>
      <c r="L106" s="18">
        <f>IF(ISNUMBER(J106), $B118 * K106, "")</f>
        <v>10923.482849604221</v>
      </c>
      <c r="M106" s="31">
        <v>10570</v>
      </c>
      <c r="N106" s="32">
        <f t="shared" si="53"/>
        <v>0.11556728232189974</v>
      </c>
      <c r="O106" s="18">
        <f>IF(ISNUMBER(M106), $B118 * N106, "")</f>
        <v>11556.728232189973</v>
      </c>
      <c r="Q106" s="33"/>
      <c r="R106" s="33"/>
    </row>
    <row r="107" spans="1:19" ht="17.25" thickBot="1">
      <c r="A107" s="130" t="s">
        <v>185</v>
      </c>
      <c r="B107" s="131">
        <v>14</v>
      </c>
      <c r="C107" s="79">
        <v>3.7037037000000002E-2</v>
      </c>
      <c r="D107" s="24">
        <v>14.6</v>
      </c>
      <c r="E107" s="25">
        <f t="shared" si="50"/>
        <v>4.285714285714283E-2</v>
      </c>
      <c r="F107" s="104">
        <f>IF(ISNUMBER(D107), $B118 * E107, "")</f>
        <v>4285.7142857142826</v>
      </c>
      <c r="G107" s="102">
        <v>14.6</v>
      </c>
      <c r="H107" s="25">
        <f t="shared" si="51"/>
        <v>4.285714285714283E-2</v>
      </c>
      <c r="I107" s="103">
        <f>IF(ISNUMBER(G107), $B118 * H107, "")</f>
        <v>4285.7142857142826</v>
      </c>
      <c r="J107" s="24">
        <v>14.5</v>
      </c>
      <c r="K107" s="25">
        <f t="shared" si="52"/>
        <v>3.5714285714285712E-2</v>
      </c>
      <c r="L107" s="104">
        <f>IF(ISNUMBER(J107), $B118 * K107, "")</f>
        <v>3571.4285714285711</v>
      </c>
      <c r="M107" s="102">
        <v>14.9</v>
      </c>
      <c r="N107" s="25">
        <f t="shared" si="53"/>
        <v>6.4285714285714307E-2</v>
      </c>
      <c r="O107" s="104">
        <f>IF(ISNUMBER(M107), $B118 * N107, "")</f>
        <v>6428.5714285714303</v>
      </c>
      <c r="Q107" s="252"/>
      <c r="R107" s="253"/>
      <c r="S107" s="254"/>
    </row>
    <row r="108" spans="1:19">
      <c r="A108" s="161" t="s">
        <v>244</v>
      </c>
      <c r="B108" s="124">
        <v>1250</v>
      </c>
      <c r="C108" s="76">
        <v>3.3057851200000002E-2</v>
      </c>
      <c r="D108" s="13">
        <v>1450</v>
      </c>
      <c r="E108" s="14">
        <f>IF(ISNUMBER(D108), (D108 - $B108) / $B108, "")</f>
        <v>0.16</v>
      </c>
      <c r="F108" s="16">
        <f>IF(ISNUMBER(D108), $B118 * E108, "")</f>
        <v>16000</v>
      </c>
      <c r="G108" s="29">
        <v>1590</v>
      </c>
      <c r="H108" s="14">
        <f>IF(ISNUMBER(G108), (G108 - $B108) / $B108, "")</f>
        <v>0.27200000000000002</v>
      </c>
      <c r="I108" s="100">
        <f>IF(ISNUMBER(G108), $B118 * H108, "")</f>
        <v>27200.000000000004</v>
      </c>
      <c r="J108" s="13">
        <v>1395</v>
      </c>
      <c r="K108" s="14">
        <f>IF(ISNUMBER(J108), (J108 - $B108) / $B108, "")</f>
        <v>0.11600000000000001</v>
      </c>
      <c r="L108" s="16">
        <f>IF(ISNUMBER(J108), $B118 * K108, "")</f>
        <v>11600</v>
      </c>
      <c r="M108" s="29">
        <v>1310</v>
      </c>
      <c r="N108" s="14">
        <f>IF(ISNUMBER(M108), (M108 - $B108) / $B108, "")</f>
        <v>4.8000000000000001E-2</v>
      </c>
      <c r="O108" s="16">
        <f>IF(ISNUMBER(M108), $B118 * N108, "")</f>
        <v>4800</v>
      </c>
      <c r="Q108" s="255"/>
      <c r="R108" s="256"/>
      <c r="S108" s="257"/>
    </row>
    <row r="109" spans="1:19" ht="17.25" thickBot="1">
      <c r="A109" s="162" t="s">
        <v>146</v>
      </c>
      <c r="B109" s="126">
        <v>9075</v>
      </c>
      <c r="C109" s="77">
        <v>3.0079455200000001E-2</v>
      </c>
      <c r="D109" s="15">
        <v>9090</v>
      </c>
      <c r="E109" s="32">
        <f t="shared" ref="E109:E112" si="54">IF(ISNUMBER(D109), (D109 - $B109) / $B109, "")</f>
        <v>1.652892561983471E-3</v>
      </c>
      <c r="F109" s="18">
        <f>IF(ISNUMBER(D109), $B118 * E109, "")</f>
        <v>165.28925619834709</v>
      </c>
      <c r="G109" s="31">
        <v>9095</v>
      </c>
      <c r="H109" s="32">
        <f t="shared" ref="H109:H112" si="55">IF(ISNUMBER(G109), (G109 - $B109) / $B109, "")</f>
        <v>2.2038567493112946E-3</v>
      </c>
      <c r="I109" s="101">
        <f>IF(ISNUMBER(G109), $B118 * H109, "")</f>
        <v>220.38567493112944</v>
      </c>
      <c r="J109" s="15">
        <v>9070</v>
      </c>
      <c r="K109" s="32">
        <f t="shared" ref="K109:K112" si="56">IF(ISNUMBER(J109), (J109 - $B109) / $B109, "")</f>
        <v>-5.5096418732782364E-4</v>
      </c>
      <c r="L109" s="18">
        <f>IF(ISNUMBER(J109), $B118 * K109, "")</f>
        <v>-55.096418732782361</v>
      </c>
      <c r="M109" s="31">
        <v>9320</v>
      </c>
      <c r="N109" s="32">
        <f t="shared" ref="N109:N112" si="57">IF(ISNUMBER(M109), (M109 - $B109) / $B109, "")</f>
        <v>2.6997245179063361E-2</v>
      </c>
      <c r="O109" s="18">
        <f>IF(ISNUMBER(M109), $B118 * N109, "")</f>
        <v>2699.7245179063361</v>
      </c>
      <c r="Q109" s="258"/>
      <c r="R109" s="259"/>
      <c r="S109" s="260"/>
    </row>
    <row r="110" spans="1:19" ht="17.25" thickBot="1">
      <c r="A110" s="162" t="s">
        <v>265</v>
      </c>
      <c r="B110" s="126">
        <v>309</v>
      </c>
      <c r="C110" s="77">
        <v>2.3178807900000001E-2</v>
      </c>
      <c r="D110" s="15">
        <v>317</v>
      </c>
      <c r="E110" s="32">
        <f t="shared" si="54"/>
        <v>2.5889967637540454E-2</v>
      </c>
      <c r="F110" s="18">
        <f>IF(ISNUMBER(D110), $B118 * E110, "")</f>
        <v>2588.9967637540453</v>
      </c>
      <c r="G110" s="31">
        <v>324</v>
      </c>
      <c r="H110" s="32">
        <f t="shared" si="55"/>
        <v>4.8543689320388349E-2</v>
      </c>
      <c r="I110" s="101">
        <f>IF(ISNUMBER(G110), $B118 * H110, "")</f>
        <v>4854.3689320388348</v>
      </c>
      <c r="J110" s="15">
        <v>329</v>
      </c>
      <c r="K110" s="32">
        <f t="shared" si="56"/>
        <v>6.4724919093851127E-2</v>
      </c>
      <c r="L110" s="18">
        <f>IF(ISNUMBER(J110), $B118 * K110, "")</f>
        <v>6472.4919093851131</v>
      </c>
      <c r="M110" s="31">
        <v>338</v>
      </c>
      <c r="N110" s="32">
        <f t="shared" si="57"/>
        <v>9.3851132686084138E-2</v>
      </c>
      <c r="O110" s="18">
        <f>IF(ISNUMBER(M110), $B118 * N110, "")</f>
        <v>9385.1132686084129</v>
      </c>
      <c r="Q110" s="251"/>
      <c r="R110" s="251"/>
      <c r="S110" s="251"/>
    </row>
    <row r="111" spans="1:19" ht="17.25" thickBot="1">
      <c r="A111" s="162" t="s">
        <v>271</v>
      </c>
      <c r="B111" s="126">
        <v>2430</v>
      </c>
      <c r="C111" s="77">
        <v>2.10084034E-2</v>
      </c>
      <c r="D111" s="15">
        <v>2445</v>
      </c>
      <c r="E111" s="32">
        <f t="shared" si="54"/>
        <v>6.1728395061728392E-3</v>
      </c>
      <c r="F111" s="18">
        <f>IF(ISNUMBER(D111), $B118 * E111, "")</f>
        <v>617.28395061728395</v>
      </c>
      <c r="G111" s="31">
        <v>2450</v>
      </c>
      <c r="H111" s="32">
        <f t="shared" si="55"/>
        <v>8.23045267489712E-3</v>
      </c>
      <c r="I111" s="101">
        <f>IF(ISNUMBER(G111), $B118 * H111, "")</f>
        <v>823.04526748971205</v>
      </c>
      <c r="J111" s="15">
        <v>2460</v>
      </c>
      <c r="K111" s="32">
        <f t="shared" si="56"/>
        <v>1.2345679012345678E-2</v>
      </c>
      <c r="L111" s="18">
        <f>IF(ISNUMBER(J111), $B118 * K111, "")</f>
        <v>1234.5679012345679</v>
      </c>
      <c r="M111" s="31">
        <v>2530</v>
      </c>
      <c r="N111" s="32">
        <f t="shared" si="57"/>
        <v>4.1152263374485597E-2</v>
      </c>
      <c r="O111" s="18">
        <f>IF(ISNUMBER(M111), $B118 * N111, "")</f>
        <v>4115.2263374485601</v>
      </c>
      <c r="Q111" s="261"/>
      <c r="R111" s="261"/>
      <c r="S111" s="261"/>
    </row>
    <row r="112" spans="1:19" ht="17.25" thickBot="1">
      <c r="A112" s="163" t="s">
        <v>267</v>
      </c>
      <c r="B112" s="128">
        <v>1235</v>
      </c>
      <c r="C112" s="78">
        <v>2.0661156999999999E-2</v>
      </c>
      <c r="D112" s="20">
        <v>1225</v>
      </c>
      <c r="E112" s="21">
        <f t="shared" si="54"/>
        <v>-8.0971659919028341E-3</v>
      </c>
      <c r="F112" s="22">
        <f>IF(ISNUMBER(D112), $B118 * E112, "")</f>
        <v>-809.71659919028343</v>
      </c>
      <c r="G112" s="30">
        <v>1230</v>
      </c>
      <c r="H112" s="21">
        <f t="shared" si="55"/>
        <v>-4.048582995951417E-3</v>
      </c>
      <c r="I112" s="105">
        <f>IF(ISNUMBER(G112), $B118 * H112, "")</f>
        <v>-404.85829959514172</v>
      </c>
      <c r="J112" s="20">
        <v>1230</v>
      </c>
      <c r="K112" s="21">
        <f t="shared" si="56"/>
        <v>-4.048582995951417E-3</v>
      </c>
      <c r="L112" s="22">
        <f>IF(ISNUMBER(J112), $B118 * K112, "")</f>
        <v>-404.85829959514172</v>
      </c>
      <c r="M112" s="30">
        <v>1255</v>
      </c>
      <c r="N112" s="21">
        <f t="shared" si="57"/>
        <v>1.6194331983805668E-2</v>
      </c>
      <c r="O112" s="22">
        <f>IF(ISNUMBER(M112), $B118 * N112, "")</f>
        <v>1619.4331983805669</v>
      </c>
      <c r="Q112" s="261"/>
      <c r="R112" s="261"/>
      <c r="S112" s="261"/>
    </row>
    <row r="113" spans="1:19" ht="17.25" thickBot="1">
      <c r="A113" s="162" t="s">
        <v>108</v>
      </c>
      <c r="B113" s="129">
        <v>28780</v>
      </c>
      <c r="C113" s="80">
        <v>1.4809591E-2</v>
      </c>
      <c r="D113" s="106">
        <v>29200</v>
      </c>
      <c r="E113" s="107">
        <f>IF(ISNUMBER(D113), (D113 - $B113) / $B113, "")</f>
        <v>1.4593467685892982E-2</v>
      </c>
      <c r="F113" s="108">
        <f>IF(ISNUMBER(D113), $B118 * E113, "")</f>
        <v>1459.3467685892981</v>
      </c>
      <c r="G113" s="109">
        <v>29260</v>
      </c>
      <c r="H113" s="107">
        <f>IF(ISNUMBER(G113), (G113 - $B113) / $B113, "")</f>
        <v>1.6678248783877692E-2</v>
      </c>
      <c r="I113" s="110">
        <f>IF(ISNUMBER(G113), $B118 * H113, "")</f>
        <v>1667.8248783877691</v>
      </c>
      <c r="J113" s="106">
        <v>29260</v>
      </c>
      <c r="K113" s="107">
        <f>IF(ISNUMBER(J113), (J113 - $B113) / $B113, "")</f>
        <v>1.6678248783877692E-2</v>
      </c>
      <c r="L113" s="108">
        <f>IF(ISNUMBER(J113), $B118 * K113, "")</f>
        <v>1667.8248783877691</v>
      </c>
      <c r="M113" s="109">
        <v>30270</v>
      </c>
      <c r="N113" s="107">
        <f>IF(ISNUMBER(M113), (M113 - $B113) / $B113, "")</f>
        <v>5.1772063933287003E-2</v>
      </c>
      <c r="O113" s="108">
        <f>IF(ISNUMBER(M113), $B118 * N113, "")</f>
        <v>5177.2063933287</v>
      </c>
      <c r="Q113" s="251"/>
      <c r="R113" s="251"/>
      <c r="S113" s="251"/>
    </row>
    <row r="114" spans="1:19" ht="17.25" thickBot="1">
      <c r="A114" s="162" t="s">
        <v>150</v>
      </c>
      <c r="B114" s="126">
        <v>1995</v>
      </c>
      <c r="C114" s="77">
        <v>1.2690355299999999E-2</v>
      </c>
      <c r="D114" s="15">
        <v>2205</v>
      </c>
      <c r="E114" s="32">
        <f t="shared" ref="E114:E117" si="58">IF(ISNUMBER(D114), (D114 - $B114) / $B114, "")</f>
        <v>0.10526315789473684</v>
      </c>
      <c r="F114" s="18">
        <f>IF(ISNUMBER(D114), $B118 * E114, "")</f>
        <v>10526.315789473683</v>
      </c>
      <c r="G114" s="31">
        <v>2250</v>
      </c>
      <c r="H114" s="32">
        <f t="shared" ref="H114:H117" si="59">IF(ISNUMBER(G114), (G114 - $B114) / $B114, "")</f>
        <v>0.12781954887218044</v>
      </c>
      <c r="I114" s="101">
        <f>IF(ISNUMBER(G114), $B118 * H114, "")</f>
        <v>12781.954887218044</v>
      </c>
      <c r="J114" s="15">
        <v>2230</v>
      </c>
      <c r="K114" s="32">
        <f t="shared" ref="K114:K117" si="60">IF(ISNUMBER(J114), (J114 - $B114) / $B114, "")</f>
        <v>0.11779448621553884</v>
      </c>
      <c r="L114" s="18">
        <f>IF(ISNUMBER(J114), $B118 * K114, "")</f>
        <v>11779.448621553884</v>
      </c>
      <c r="M114" s="31">
        <v>2340</v>
      </c>
      <c r="N114" s="32">
        <f t="shared" ref="N114:N117" si="61">IF(ISNUMBER(M114), (M114 - $B114) / $B114, "")</f>
        <v>0.17293233082706766</v>
      </c>
      <c r="O114" s="18">
        <f>IF(ISNUMBER(M114), $B118 * N114, "")</f>
        <v>17293.233082706767</v>
      </c>
      <c r="Q114" s="251"/>
      <c r="R114" s="251"/>
      <c r="S114" s="251"/>
    </row>
    <row r="115" spans="1:19" ht="17.25" thickBot="1">
      <c r="A115" s="162" t="s">
        <v>49</v>
      </c>
      <c r="B115" s="126">
        <v>41806000</v>
      </c>
      <c r="C115" s="77">
        <v>9.0755491000000001E-3</v>
      </c>
      <c r="D115" s="15">
        <v>44999000</v>
      </c>
      <c r="E115" s="32">
        <f t="shared" si="58"/>
        <v>7.6376596660766391E-2</v>
      </c>
      <c r="F115" s="18">
        <f>IF(ISNUMBER(D115), $B118 * E115, "")</f>
        <v>7637.659666076639</v>
      </c>
      <c r="G115" s="31">
        <v>45375000</v>
      </c>
      <c r="H115" s="32">
        <f t="shared" si="59"/>
        <v>8.537052097785007E-2</v>
      </c>
      <c r="I115" s="101">
        <f>IF(ISNUMBER(G115), $B118 * H115, "")</f>
        <v>8537.0520977850065</v>
      </c>
      <c r="J115" s="15">
        <v>45147000</v>
      </c>
      <c r="K115" s="32">
        <f t="shared" si="60"/>
        <v>7.9916758360044013E-2</v>
      </c>
      <c r="L115" s="18">
        <f>IF(ISNUMBER(J115), $B118 * K115, "")</f>
        <v>7991.6758360044014</v>
      </c>
      <c r="M115" s="31">
        <v>46809000</v>
      </c>
      <c r="N115" s="32">
        <f t="shared" si="61"/>
        <v>0.11967181744247238</v>
      </c>
      <c r="O115" s="18">
        <f>IF(ISNUMBER(M115), $B118 * N115, "")</f>
        <v>11967.181744247238</v>
      </c>
      <c r="Q115" s="251"/>
      <c r="R115" s="251"/>
      <c r="S115" s="251"/>
    </row>
    <row r="116" spans="1:19">
      <c r="A116" s="162" t="s">
        <v>120</v>
      </c>
      <c r="B116" s="126">
        <v>131</v>
      </c>
      <c r="C116" s="77">
        <v>7.6923076999999996E-3</v>
      </c>
      <c r="D116" s="15">
        <v>136</v>
      </c>
      <c r="E116" s="32">
        <f t="shared" si="58"/>
        <v>3.8167938931297711E-2</v>
      </c>
      <c r="F116" s="18">
        <f>IF(ISNUMBER(D116), $B118 * E116, "")</f>
        <v>3816.7938931297713</v>
      </c>
      <c r="G116" s="31">
        <v>137</v>
      </c>
      <c r="H116" s="32">
        <f t="shared" si="59"/>
        <v>4.5801526717557252E-2</v>
      </c>
      <c r="I116" s="101">
        <f>IF(ISNUMBER(G116), $B118 * H116, "")</f>
        <v>4580.1526717557254</v>
      </c>
      <c r="J116" s="15">
        <v>136</v>
      </c>
      <c r="K116" s="32">
        <f t="shared" si="60"/>
        <v>3.8167938931297711E-2</v>
      </c>
      <c r="L116" s="18">
        <f>IF(ISNUMBER(J116), $B118 * K116, "")</f>
        <v>3816.7938931297713</v>
      </c>
      <c r="M116" s="31">
        <v>139</v>
      </c>
      <c r="N116" s="32">
        <f t="shared" si="61"/>
        <v>6.1068702290076333E-2</v>
      </c>
      <c r="O116" s="18">
        <f>IF(ISNUMBER(M116), $B118 * N116, "")</f>
        <v>6106.8702290076335</v>
      </c>
      <c r="Q116" s="240"/>
      <c r="R116" s="241"/>
      <c r="S116" s="242"/>
    </row>
    <row r="117" spans="1:19" ht="17.25" thickBot="1">
      <c r="A117" s="130" t="s">
        <v>90</v>
      </c>
      <c r="B117" s="131">
        <v>187900</v>
      </c>
      <c r="C117" s="79">
        <v>1.0655300999999999E-3</v>
      </c>
      <c r="D117" s="24">
        <v>194200</v>
      </c>
      <c r="E117" s="25">
        <f t="shared" si="58"/>
        <v>3.3528472591804151E-2</v>
      </c>
      <c r="F117" s="104">
        <f>IF(ISNUMBER(D117), $B118 * E117, "")</f>
        <v>3352.8472591804152</v>
      </c>
      <c r="G117" s="102">
        <v>197250</v>
      </c>
      <c r="H117" s="25">
        <f t="shared" si="59"/>
        <v>4.9760510910058543E-2</v>
      </c>
      <c r="I117" s="103">
        <f>IF(ISNUMBER(G117), $B118 * H117, "")</f>
        <v>4976.0510910058547</v>
      </c>
      <c r="J117" s="24">
        <v>194850</v>
      </c>
      <c r="K117" s="25">
        <f t="shared" si="60"/>
        <v>3.6987759446514105E-2</v>
      </c>
      <c r="L117" s="104">
        <f>IF(ISNUMBER(J117), $B118 * K117, "")</f>
        <v>3698.7759446514106</v>
      </c>
      <c r="M117" s="102">
        <v>199750</v>
      </c>
      <c r="N117" s="25">
        <f t="shared" si="61"/>
        <v>6.3065460351250671E-2</v>
      </c>
      <c r="O117" s="104">
        <f>IF(ISNUMBER(M117), $B118 * N117, "")</f>
        <v>6306.5460351250667</v>
      </c>
      <c r="Q117" s="243"/>
      <c r="R117" s="244"/>
      <c r="S117" s="245"/>
    </row>
    <row r="118" spans="1:19" ht="17.25" thickBot="1">
      <c r="A118" s="132" t="s">
        <v>295</v>
      </c>
      <c r="B118" s="304">
        <f>$B$37</f>
        <v>100000</v>
      </c>
      <c r="C118" s="305"/>
      <c r="D118" s="26" t="s">
        <v>296</v>
      </c>
      <c r="E118" s="27">
        <f>IF(COUNT(E98:E117), SUM(E98:E117) / COUNT(E98:E117), 0)</f>
        <v>3.0994109696845889E-2</v>
      </c>
      <c r="F118" s="28">
        <f>SUM(F98:F117)</f>
        <v>61988.21939369179</v>
      </c>
      <c r="G118" s="26" t="s">
        <v>296</v>
      </c>
      <c r="H118" s="27">
        <f>IF(COUNT(H98:H117), SUM(H98:H117) / COUNT(H98:H117), 0)</f>
        <v>4.312718470835588E-2</v>
      </c>
      <c r="I118" s="28">
        <f>SUM(I98:I117)</f>
        <v>86254.369416711794</v>
      </c>
      <c r="J118" s="26" t="s">
        <v>296</v>
      </c>
      <c r="K118" s="27">
        <f>IF(COUNT(K98:K117), SUM(K98:K117) / COUNT(K98:K117), 0)</f>
        <v>3.2745957279477336E-2</v>
      </c>
      <c r="L118" s="28">
        <f>SUM(L98:L117)</f>
        <v>65491.914558954682</v>
      </c>
      <c r="M118" s="26" t="s">
        <v>296</v>
      </c>
      <c r="N118" s="27">
        <f>IF(COUNT(N98:N117), SUM(N98:N117) / COUNT(N98:N117), 0)</f>
        <v>5.7157463605297346E-2</v>
      </c>
      <c r="O118" s="28">
        <f>SUM(O98:O117)</f>
        <v>114314.92721059466</v>
      </c>
      <c r="Q118" s="246"/>
      <c r="R118" s="247"/>
      <c r="S118" s="248"/>
    </row>
    <row r="120" spans="1:19" ht="17.25" thickBot="1"/>
    <row r="121" spans="1:19" ht="17.25" thickBot="1">
      <c r="A121" s="262" t="s">
        <v>283</v>
      </c>
      <c r="B121" s="263"/>
      <c r="C121" s="263"/>
      <c r="D121" s="263"/>
      <c r="E121" s="263"/>
      <c r="F121" s="263"/>
      <c r="G121" s="263"/>
      <c r="H121" s="263"/>
      <c r="I121" s="263"/>
      <c r="J121" s="263"/>
      <c r="K121" s="263"/>
      <c r="L121" s="263"/>
      <c r="M121" s="263"/>
      <c r="N121" s="263"/>
      <c r="O121" s="264"/>
      <c r="Q121" s="261"/>
      <c r="R121" s="261"/>
      <c r="S121" s="261"/>
    </row>
    <row r="122" spans="1:19" ht="17.25" thickBot="1">
      <c r="A122" s="212" t="s">
        <v>292</v>
      </c>
      <c r="B122" s="262" t="s">
        <v>49</v>
      </c>
      <c r="C122" s="264"/>
      <c r="D122" s="262" t="s">
        <v>58</v>
      </c>
      <c r="E122" s="263"/>
      <c r="F122" s="264"/>
      <c r="G122" s="265">
        <f>_xlfn.IFNA(VLOOKUP(B122, 현재가테이블!$B$2:$D$200, 2, FALSE), "-")</f>
        <v>40538000</v>
      </c>
      <c r="H122" s="266"/>
      <c r="I122" s="267"/>
      <c r="J122" s="262" t="s">
        <v>59</v>
      </c>
      <c r="K122" s="263"/>
      <c r="L122" s="264"/>
      <c r="M122" s="268">
        <f>_xlfn.IFNA(VLOOKUP(B122, 현재가테이블!$B$2:$D$200, 3, FALSE), "-")</f>
        <v>-3.68275993E-2</v>
      </c>
      <c r="N122" s="269"/>
      <c r="O122" s="270"/>
      <c r="Q122" s="261"/>
      <c r="R122" s="261"/>
      <c r="S122" s="261"/>
    </row>
    <row r="123" spans="1:19" ht="17.25" thickBot="1">
      <c r="A123" s="306" t="s">
        <v>55</v>
      </c>
      <c r="B123" s="302" t="str">
        <f>TEXT($G$1, "[$-ko-KR]yyyy-mm-dd(ddd) ") &amp; "오전 00:00"</f>
        <v>2021-06-14(월) 오전 00:00</v>
      </c>
      <c r="C123" s="303"/>
      <c r="D123" s="275" t="str">
        <f>TEXT($G$1, "[$-ko-KR]yyyy-mm-dd(ddd) ") &amp; "오후 14:00"</f>
        <v>2021-06-14(월) 오후 14:00</v>
      </c>
      <c r="E123" s="276"/>
      <c r="F123" s="277"/>
      <c r="G123" s="275" t="str">
        <f>TEXT($G$1, "[$-ko-KR]yyyy-mm-dd(ddd) ") &amp; "오후 19:00"</f>
        <v>2021-06-14(월) 오후 19:00</v>
      </c>
      <c r="H123" s="276"/>
      <c r="I123" s="277"/>
      <c r="J123" s="275" t="str">
        <f>TEXT($G$1, "[$-ko-KR]yyyy-mm-dd(ddd) ") &amp; "오후 21:00"</f>
        <v>2021-06-14(월) 오후 21:00</v>
      </c>
      <c r="K123" s="276"/>
      <c r="L123" s="277"/>
      <c r="M123" s="275" t="str">
        <f>TEXT($G$1+1, "[$-ko-KR]yyyy-mm-dd(ddd) ") &amp; "오전 00:00"</f>
        <v>2021-06-15(화) 오전 00:00</v>
      </c>
      <c r="N123" s="276"/>
      <c r="O123" s="277"/>
      <c r="Q123" s="261"/>
      <c r="R123" s="261"/>
      <c r="S123" s="261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3" t="s">
        <v>58</v>
      </c>
      <c r="H124" s="214" t="s">
        <v>293</v>
      </c>
      <c r="I124" s="21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1"/>
      <c r="R124" s="251"/>
      <c r="S124" s="251"/>
    </row>
    <row r="125" spans="1:19" ht="17.25" thickBot="1">
      <c r="A125" s="161" t="s">
        <v>246</v>
      </c>
      <c r="B125" s="124">
        <v>53</v>
      </c>
      <c r="C125" s="76">
        <v>-6.8541300499999999E-2</v>
      </c>
      <c r="D125" s="13">
        <v>63.1</v>
      </c>
      <c r="E125" s="14">
        <f>IF(ISNUMBER(D125), (D125 - $B125) / $B125, "")</f>
        <v>0.19056603773584907</v>
      </c>
      <c r="F125" s="16">
        <f>IF(ISNUMBER(D125), $B145 * E125, "")</f>
        <v>19056.603773584906</v>
      </c>
      <c r="G125" s="29">
        <v>71.7</v>
      </c>
      <c r="H125" s="14">
        <f>IF(ISNUMBER(G125), (G125 - $B125) / $B125, "")</f>
        <v>0.35283018867924532</v>
      </c>
      <c r="I125" s="100">
        <f>IF(ISNUMBER(G125), $B145 * H125, "")</f>
        <v>35283.018867924533</v>
      </c>
      <c r="J125" s="13">
        <v>62.6</v>
      </c>
      <c r="K125" s="14">
        <f>IF(ISNUMBER(J125), (J125 - $B125) / $B125, "")</f>
        <v>0.18113207547169813</v>
      </c>
      <c r="L125" s="16">
        <f>IF(ISNUMBER(J125), $B145 * K125, "")</f>
        <v>18113.207547169812</v>
      </c>
      <c r="M125" s="29">
        <v>58</v>
      </c>
      <c r="N125" s="14">
        <f>IF(ISNUMBER(M125), (M125 - $B125) / $B125, "")</f>
        <v>9.4339622641509441E-2</v>
      </c>
      <c r="O125" s="16">
        <f>IF(ISNUMBER(M125), $B145 * N125, "")</f>
        <v>9433.962264150945</v>
      </c>
      <c r="Q125" s="261"/>
      <c r="R125" s="261"/>
      <c r="S125" s="261"/>
    </row>
    <row r="126" spans="1:19" ht="17.25" thickBot="1">
      <c r="A126" s="162" t="s">
        <v>263</v>
      </c>
      <c r="B126" s="126">
        <v>26.8</v>
      </c>
      <c r="C126" s="77">
        <v>-7.5862069000000004E-2</v>
      </c>
      <c r="D126" s="15">
        <v>32.700000000000003</v>
      </c>
      <c r="E126" s="32">
        <f t="shared" ref="E126:E129" si="62">IF(ISNUMBER(D126), (D126 - $B126) / $B126, "")</f>
        <v>0.22014925373134336</v>
      </c>
      <c r="F126" s="18">
        <f>IF(ISNUMBER(D126), $B145 * E126, "")</f>
        <v>22014.925373134338</v>
      </c>
      <c r="G126" s="31">
        <v>37.200000000000003</v>
      </c>
      <c r="H126" s="32">
        <f t="shared" ref="H126:H129" si="63">IF(ISNUMBER(G126), (G126 - $B126) / $B126, "")</f>
        <v>0.38805970149253738</v>
      </c>
      <c r="I126" s="101">
        <f>IF(ISNUMBER(G126), $B145 * H126, "")</f>
        <v>38805.970149253735</v>
      </c>
      <c r="J126" s="15">
        <v>31.6</v>
      </c>
      <c r="K126" s="32">
        <f t="shared" ref="K126:K129" si="64">IF(ISNUMBER(J126), (J126 - $B126) / $B126, "")</f>
        <v>0.17910447761194032</v>
      </c>
      <c r="L126" s="18">
        <f>IF(ISNUMBER(J126), $B145 * K126, "")</f>
        <v>17910.447761194031</v>
      </c>
      <c r="M126" s="31">
        <v>28.5</v>
      </c>
      <c r="N126" s="32">
        <f t="shared" ref="N126:N129" si="65">IF(ISNUMBER(M126), (M126 - $B126) / $B126, "")</f>
        <v>6.3432835820895497E-2</v>
      </c>
      <c r="O126" s="18">
        <f>IF(ISNUMBER(M126), $B145 * N126, "")</f>
        <v>6343.2835820895498</v>
      </c>
      <c r="Q126" s="261"/>
      <c r="R126" s="261"/>
      <c r="S126" s="261"/>
    </row>
    <row r="127" spans="1:19" ht="17.25" thickBot="1">
      <c r="A127" s="162" t="s">
        <v>210</v>
      </c>
      <c r="B127" s="126">
        <v>50.7</v>
      </c>
      <c r="C127" s="77">
        <v>-7.6502732200000007E-2</v>
      </c>
      <c r="D127" s="15">
        <v>55.9</v>
      </c>
      <c r="E127" s="32">
        <f t="shared" si="62"/>
        <v>0.10256410256410248</v>
      </c>
      <c r="F127" s="18">
        <f>IF(ISNUMBER(D127), $B145 * E127, "")</f>
        <v>10256.410256410249</v>
      </c>
      <c r="G127" s="31">
        <v>56.5</v>
      </c>
      <c r="H127" s="32">
        <f t="shared" si="63"/>
        <v>0.11439842209072972</v>
      </c>
      <c r="I127" s="101">
        <f>IF(ISNUMBER(G127), $B145 * H127, "")</f>
        <v>11439.842209072971</v>
      </c>
      <c r="J127" s="15">
        <v>55.6</v>
      </c>
      <c r="K127" s="32">
        <f t="shared" si="64"/>
        <v>9.6646942800788921E-2</v>
      </c>
      <c r="L127" s="18">
        <f>IF(ISNUMBER(J127), $B145 * K127, "")</f>
        <v>9664.6942800788929</v>
      </c>
      <c r="M127" s="31">
        <v>56.5</v>
      </c>
      <c r="N127" s="32">
        <f t="shared" si="65"/>
        <v>0.11439842209072972</v>
      </c>
      <c r="O127" s="18">
        <f>IF(ISNUMBER(M127), $B145 * N127, "")</f>
        <v>11439.842209072971</v>
      </c>
      <c r="Q127" s="251"/>
      <c r="R127" s="251"/>
      <c r="S127" s="251"/>
    </row>
    <row r="128" spans="1:19" ht="17.25" thickBot="1">
      <c r="A128" s="162" t="s">
        <v>225</v>
      </c>
      <c r="B128" s="126">
        <v>7.17</v>
      </c>
      <c r="C128" s="77">
        <v>-7.84061697E-2</v>
      </c>
      <c r="D128" s="15">
        <v>7.69</v>
      </c>
      <c r="E128" s="32">
        <f t="shared" si="62"/>
        <v>7.252440725244079E-2</v>
      </c>
      <c r="F128" s="18">
        <f>IF(ISNUMBER(D128), $B145 * E128, "")</f>
        <v>7252.4407252440787</v>
      </c>
      <c r="G128" s="31">
        <v>7.84</v>
      </c>
      <c r="H128" s="32">
        <f t="shared" si="63"/>
        <v>9.3444909344490928E-2</v>
      </c>
      <c r="I128" s="101">
        <f>IF(ISNUMBER(G128), $B145 * H128, "")</f>
        <v>9344.4909344490934</v>
      </c>
      <c r="J128" s="15">
        <v>7.93</v>
      </c>
      <c r="K128" s="32">
        <f t="shared" si="64"/>
        <v>0.10599721059972103</v>
      </c>
      <c r="L128" s="18">
        <f>IF(ISNUMBER(J128), $B145 * K128, "")</f>
        <v>10599.721059972104</v>
      </c>
      <c r="M128" s="31">
        <v>8.17</v>
      </c>
      <c r="N128" s="32">
        <f t="shared" si="65"/>
        <v>0.1394700139470014</v>
      </c>
      <c r="O128" s="18">
        <f>IF(ISNUMBER(M128), $B145 * N128, "")</f>
        <v>13947.001394700139</v>
      </c>
      <c r="Q128" s="251"/>
      <c r="R128" s="251"/>
      <c r="S128" s="251"/>
    </row>
    <row r="129" spans="1:19" ht="17.25" thickBot="1">
      <c r="A129" s="163" t="s">
        <v>219</v>
      </c>
      <c r="B129" s="128">
        <v>7.51</v>
      </c>
      <c r="C129" s="78">
        <v>-8.4146341499999999E-2</v>
      </c>
      <c r="D129" s="20">
        <v>8.1999999999999993</v>
      </c>
      <c r="E129" s="21">
        <f t="shared" si="62"/>
        <v>9.1877496671105133E-2</v>
      </c>
      <c r="F129" s="22">
        <f>IF(ISNUMBER(D129), $B145 * E129, "")</f>
        <v>9187.7496671105127</v>
      </c>
      <c r="G129" s="30">
        <v>8.1199999999999992</v>
      </c>
      <c r="H129" s="21">
        <f t="shared" si="63"/>
        <v>8.1225033288947993E-2</v>
      </c>
      <c r="I129" s="105">
        <f>IF(ISNUMBER(G129), $B145 * H129, "")</f>
        <v>8122.5033288947989</v>
      </c>
      <c r="J129" s="20">
        <v>8.0399999999999991</v>
      </c>
      <c r="K129" s="21">
        <f t="shared" si="64"/>
        <v>7.0572569906790866E-2</v>
      </c>
      <c r="L129" s="22">
        <f>IF(ISNUMBER(J129), $B145 * K129, "")</f>
        <v>7057.2569906790868</v>
      </c>
      <c r="M129" s="30">
        <v>8.4</v>
      </c>
      <c r="N129" s="21">
        <f t="shared" si="65"/>
        <v>0.11850865512649808</v>
      </c>
      <c r="O129" s="22">
        <f>IF(ISNUMBER(M129), $B145 * N129, "")</f>
        <v>11850.865512649809</v>
      </c>
      <c r="Q129" s="251"/>
      <c r="R129" s="251"/>
      <c r="S129" s="251"/>
    </row>
    <row r="130" spans="1:19" ht="17.25" thickBot="1">
      <c r="A130" s="162" t="s">
        <v>229</v>
      </c>
      <c r="B130" s="129">
        <v>77.3</v>
      </c>
      <c r="C130" s="80">
        <v>-8.5207100600000002E-2</v>
      </c>
      <c r="D130" s="106">
        <v>100</v>
      </c>
      <c r="E130" s="107">
        <f>IF(ISNUMBER(D130), (D130 - $B130) / $B130, "")</f>
        <v>0.29366106080206988</v>
      </c>
      <c r="F130" s="108">
        <f>IF(ISNUMBER(D130), $B145 * E130, "")</f>
        <v>29366.106080206988</v>
      </c>
      <c r="G130" s="109">
        <v>98.7</v>
      </c>
      <c r="H130" s="107">
        <f>IF(ISNUMBER(G130), (G130 - $B130) / $B130, "")</f>
        <v>0.27684346701164303</v>
      </c>
      <c r="I130" s="110">
        <f>IF(ISNUMBER(G130), $B145 * H130, "")</f>
        <v>27684.346701164304</v>
      </c>
      <c r="J130" s="106">
        <v>100</v>
      </c>
      <c r="K130" s="107">
        <f>IF(ISNUMBER(J130), (J130 - $B130) / $B130, "")</f>
        <v>0.29366106080206988</v>
      </c>
      <c r="L130" s="108">
        <f>IF(ISNUMBER(J130), $B145 * K130, "")</f>
        <v>29366.106080206988</v>
      </c>
      <c r="M130" s="109">
        <v>94.3</v>
      </c>
      <c r="N130" s="107">
        <f>IF(ISNUMBER(M130), (M130 - $B130) / $B130, "")</f>
        <v>0.21992238033635189</v>
      </c>
      <c r="O130" s="108">
        <f>IF(ISNUMBER(M130), $B145 * N130, "")</f>
        <v>21992.238033635189</v>
      </c>
      <c r="Q130" s="251"/>
      <c r="R130" s="251"/>
      <c r="S130" s="251"/>
    </row>
    <row r="131" spans="1:19" ht="17.25" thickBot="1">
      <c r="A131" s="162" t="s">
        <v>215</v>
      </c>
      <c r="B131" s="126">
        <v>4.8499999999999996</v>
      </c>
      <c r="C131" s="77">
        <v>-8.6629001900000002E-2</v>
      </c>
      <c r="D131" s="15">
        <v>6.81</v>
      </c>
      <c r="E131" s="32">
        <f t="shared" ref="E131:E134" si="66">IF(ISNUMBER(D131), (D131 - $B131) / $B131, "")</f>
        <v>0.40412371134020619</v>
      </c>
      <c r="F131" s="18">
        <f>IF(ISNUMBER(D131), $B145 * E131, "")</f>
        <v>40412.371134020621</v>
      </c>
      <c r="G131" s="31">
        <v>7.42</v>
      </c>
      <c r="H131" s="32">
        <f t="shared" ref="H131:H134" si="67">IF(ISNUMBER(G131), (G131 - $B131) / $B131, "")</f>
        <v>0.52989690721649496</v>
      </c>
      <c r="I131" s="101">
        <f>IF(ISNUMBER(G131), $B145 * H131, "")</f>
        <v>52989.690721649495</v>
      </c>
      <c r="J131" s="15">
        <v>6.63</v>
      </c>
      <c r="K131" s="32">
        <f t="shared" ref="K131:K134" si="68">IF(ISNUMBER(J131), (J131 - $B131) / $B131, "")</f>
        <v>0.3670103092783506</v>
      </c>
      <c r="L131" s="18">
        <f>IF(ISNUMBER(J131), $B145 * K131, "")</f>
        <v>36701.030927835061</v>
      </c>
      <c r="M131" s="31">
        <v>5.8</v>
      </c>
      <c r="N131" s="32">
        <f t="shared" ref="N131:N134" si="69">IF(ISNUMBER(M131), (M131 - $B131) / $B131, "")</f>
        <v>0.19587628865979387</v>
      </c>
      <c r="O131" s="18">
        <f>IF(ISNUMBER(M131), $B145 * N131, "")</f>
        <v>19587.628865979386</v>
      </c>
      <c r="Q131" s="251"/>
      <c r="R131" s="251"/>
      <c r="S131" s="251"/>
    </row>
    <row r="132" spans="1:19" ht="17.25" thickBot="1">
      <c r="A132" s="162" t="s">
        <v>206</v>
      </c>
      <c r="B132" s="126">
        <v>84.9</v>
      </c>
      <c r="C132" s="77">
        <v>-8.7096774200000004E-2</v>
      </c>
      <c r="D132" s="15">
        <v>125</v>
      </c>
      <c r="E132" s="32">
        <f t="shared" si="66"/>
        <v>0.4723203769140164</v>
      </c>
      <c r="F132" s="18">
        <f>IF(ISNUMBER(D132), $B145 * E132, "")</f>
        <v>47232.037691401638</v>
      </c>
      <c r="G132" s="31">
        <v>131</v>
      </c>
      <c r="H132" s="32">
        <f t="shared" si="67"/>
        <v>0.54299175500588914</v>
      </c>
      <c r="I132" s="101">
        <f>IF(ISNUMBER(G132), $B145 * H132, "")</f>
        <v>54299.175500588914</v>
      </c>
      <c r="J132" s="15">
        <v>112</v>
      </c>
      <c r="K132" s="32">
        <f t="shared" si="68"/>
        <v>0.31919905771495871</v>
      </c>
      <c r="L132" s="18">
        <f>IF(ISNUMBER(J132), $B145 * K132, "")</f>
        <v>31919.905771495873</v>
      </c>
      <c r="M132" s="31">
        <v>97.8</v>
      </c>
      <c r="N132" s="32">
        <f t="shared" si="69"/>
        <v>0.15194346289752639</v>
      </c>
      <c r="O132" s="18">
        <f>IF(ISNUMBER(M132), $B145 * N132, "")</f>
        <v>15194.346289752639</v>
      </c>
      <c r="Q132" s="251"/>
      <c r="R132" s="251"/>
      <c r="S132" s="251"/>
    </row>
    <row r="133" spans="1:19" ht="17.25" thickBot="1">
      <c r="A133" s="162" t="s">
        <v>261</v>
      </c>
      <c r="B133" s="126">
        <v>50.5</v>
      </c>
      <c r="C133" s="77">
        <v>-9.0090090100000006E-2</v>
      </c>
      <c r="D133" s="15">
        <v>51.7</v>
      </c>
      <c r="E133" s="32">
        <f t="shared" si="66"/>
        <v>2.3762376237623818E-2</v>
      </c>
      <c r="F133" s="18">
        <f>IF(ISNUMBER(D133), $B145 * E133, "")</f>
        <v>2376.2376237623816</v>
      </c>
      <c r="G133" s="31">
        <v>52.2</v>
      </c>
      <c r="H133" s="32">
        <f t="shared" si="67"/>
        <v>3.3663366336633721E-2</v>
      </c>
      <c r="I133" s="101">
        <f>IF(ISNUMBER(G133), $B145 * H133, "")</f>
        <v>3366.3366336633721</v>
      </c>
      <c r="J133" s="15">
        <v>52.3</v>
      </c>
      <c r="K133" s="32">
        <f t="shared" si="68"/>
        <v>3.5643564356435585E-2</v>
      </c>
      <c r="L133" s="18">
        <f>IF(ISNUMBER(J133), $B145 * K133, "")</f>
        <v>3564.3564356435586</v>
      </c>
      <c r="M133" s="31">
        <v>54.2</v>
      </c>
      <c r="N133" s="32">
        <f t="shared" si="69"/>
        <v>7.3267326732673319E-2</v>
      </c>
      <c r="O133" s="18">
        <f>IF(ISNUMBER(M133), $B145 * N133, "")</f>
        <v>7326.7326732673318</v>
      </c>
      <c r="Q133" s="33"/>
      <c r="R133" s="33"/>
    </row>
    <row r="134" spans="1:19" ht="17.25" thickBot="1">
      <c r="A134" s="130" t="s">
        <v>227</v>
      </c>
      <c r="B134" s="131">
        <v>82.3</v>
      </c>
      <c r="C134" s="79">
        <v>-9.0607734800000006E-2</v>
      </c>
      <c r="D134" s="24">
        <v>90.4</v>
      </c>
      <c r="E134" s="25">
        <f t="shared" si="66"/>
        <v>9.8420413122721859E-2</v>
      </c>
      <c r="F134" s="104">
        <f>IF(ISNUMBER(D134), $B145 * E134, "")</f>
        <v>9842.0413122721857</v>
      </c>
      <c r="G134" s="102">
        <v>95.8</v>
      </c>
      <c r="H134" s="25">
        <f t="shared" si="67"/>
        <v>0.16403402187120292</v>
      </c>
      <c r="I134" s="103">
        <f>IF(ISNUMBER(G134), $B145 * H134, "")</f>
        <v>16403.402187120293</v>
      </c>
      <c r="J134" s="24">
        <v>91.7</v>
      </c>
      <c r="K134" s="25">
        <f t="shared" si="68"/>
        <v>0.11421628189550433</v>
      </c>
      <c r="L134" s="104">
        <f>IF(ISNUMBER(J134), $B145 * K134, "")</f>
        <v>11421.628189550433</v>
      </c>
      <c r="M134" s="102">
        <v>93.2</v>
      </c>
      <c r="N134" s="25">
        <f t="shared" si="69"/>
        <v>0.13244228432563798</v>
      </c>
      <c r="O134" s="104">
        <f>IF(ISNUMBER(M134), $B145 * N134, "")</f>
        <v>13244.228432563797</v>
      </c>
      <c r="Q134" s="252"/>
      <c r="R134" s="253"/>
      <c r="S134" s="254"/>
    </row>
    <row r="135" spans="1:19">
      <c r="A135" s="161" t="s">
        <v>201</v>
      </c>
      <c r="B135" s="124">
        <v>81</v>
      </c>
      <c r="C135" s="76">
        <v>-9.5982142899999998E-2</v>
      </c>
      <c r="D135" s="13">
        <v>89</v>
      </c>
      <c r="E135" s="14">
        <f>IF(ISNUMBER(D135), (D135 - $B135) / $B135, "")</f>
        <v>9.8765432098765427E-2</v>
      </c>
      <c r="F135" s="16">
        <f>IF(ISNUMBER(D135), $B145 * E135, "")</f>
        <v>9876.5432098765432</v>
      </c>
      <c r="G135" s="29">
        <v>89.6</v>
      </c>
      <c r="H135" s="14">
        <f>IF(ISNUMBER(G135), (G135 - $B135) / $B135, "")</f>
        <v>0.10617283950617278</v>
      </c>
      <c r="I135" s="100">
        <f>IF(ISNUMBER(G135), $B145 * H135, "")</f>
        <v>10617.283950617277</v>
      </c>
      <c r="J135" s="13">
        <v>88.8</v>
      </c>
      <c r="K135" s="14">
        <f>IF(ISNUMBER(J135), (J135 - $B135) / $B135, "")</f>
        <v>9.6296296296296255E-2</v>
      </c>
      <c r="L135" s="16">
        <f>IF(ISNUMBER(J135), $B145 * K135, "")</f>
        <v>9629.6296296296259</v>
      </c>
      <c r="M135" s="29">
        <v>91.1</v>
      </c>
      <c r="N135" s="14">
        <f>IF(ISNUMBER(M135), (M135 - $B135) / $B135, "")</f>
        <v>0.12469135802469129</v>
      </c>
      <c r="O135" s="16">
        <f>IF(ISNUMBER(M135), $B145 * N135, "")</f>
        <v>12469.135802469129</v>
      </c>
      <c r="Q135" s="255"/>
      <c r="R135" s="256"/>
      <c r="S135" s="257"/>
    </row>
    <row r="136" spans="1:19" ht="17.25" thickBot="1">
      <c r="A136" s="162" t="s">
        <v>259</v>
      </c>
      <c r="B136" s="126">
        <v>72</v>
      </c>
      <c r="C136" s="77">
        <v>-0.1089108911</v>
      </c>
      <c r="D136" s="15">
        <v>73.099999999999994</v>
      </c>
      <c r="E136" s="32">
        <f t="shared" ref="E136:E139" si="70">IF(ISNUMBER(D136), (D136 - $B136) / $B136, "")</f>
        <v>1.5277777777777699E-2</v>
      </c>
      <c r="F136" s="18">
        <f>IF(ISNUMBER(D136), $B145 * E136, "")</f>
        <v>1527.7777777777699</v>
      </c>
      <c r="G136" s="31">
        <v>74.099999999999994</v>
      </c>
      <c r="H136" s="32">
        <f t="shared" ref="H136:H139" si="71">IF(ISNUMBER(G136), (G136 - $B136) / $B136, "")</f>
        <v>2.9166666666666587E-2</v>
      </c>
      <c r="I136" s="101">
        <f>IF(ISNUMBER(G136), $B145 * H136, "")</f>
        <v>2916.6666666666588</v>
      </c>
      <c r="J136" s="15">
        <v>73.7</v>
      </c>
      <c r="K136" s="32">
        <f t="shared" ref="K136:K139" si="72">IF(ISNUMBER(J136), (J136 - $B136) / $B136, "")</f>
        <v>2.3611111111111152E-2</v>
      </c>
      <c r="L136" s="18">
        <f>IF(ISNUMBER(J136), $B145 * K136, "")</f>
        <v>2361.1111111111154</v>
      </c>
      <c r="M136" s="31">
        <v>75.8</v>
      </c>
      <c r="N136" s="32">
        <f t="shared" ref="N136:N139" si="73">IF(ISNUMBER(M136), (M136 - $B136) / $B136, "")</f>
        <v>5.2777777777777736E-2</v>
      </c>
      <c r="O136" s="18">
        <f>IF(ISNUMBER(M136), $B145 * N136, "")</f>
        <v>5277.7777777777737</v>
      </c>
      <c r="Q136" s="258"/>
      <c r="R136" s="259"/>
      <c r="S136" s="260"/>
    </row>
    <row r="137" spans="1:19" ht="17.25" thickBot="1">
      <c r="A137" s="162" t="s">
        <v>212</v>
      </c>
      <c r="B137" s="126">
        <v>8.2200000000000006</v>
      </c>
      <c r="C137" s="77">
        <v>-0.1103896104</v>
      </c>
      <c r="D137" s="15">
        <v>8.9700000000000006</v>
      </c>
      <c r="E137" s="32">
        <f t="shared" si="70"/>
        <v>9.1240875912408759E-2</v>
      </c>
      <c r="F137" s="18">
        <f>IF(ISNUMBER(D137), $B145 * E137, "")</f>
        <v>9124.0875912408756</v>
      </c>
      <c r="G137" s="31">
        <v>9.1</v>
      </c>
      <c r="H137" s="32">
        <f t="shared" si="71"/>
        <v>0.10705596107055948</v>
      </c>
      <c r="I137" s="101">
        <f>IF(ISNUMBER(G137), $B145 * H137, "")</f>
        <v>10705.596107055948</v>
      </c>
      <c r="J137" s="15">
        <v>9.06</v>
      </c>
      <c r="K137" s="32">
        <f t="shared" si="72"/>
        <v>0.10218978102189778</v>
      </c>
      <c r="L137" s="18">
        <f>IF(ISNUMBER(J137), $B145 * K137, "")</f>
        <v>10218.978102189778</v>
      </c>
      <c r="M137" s="31">
        <v>9.9700000000000006</v>
      </c>
      <c r="N137" s="32">
        <f t="shared" si="73"/>
        <v>0.21289537712895376</v>
      </c>
      <c r="O137" s="18">
        <f>IF(ISNUMBER(M137), $B145 * N137, "")</f>
        <v>21289.537712895377</v>
      </c>
      <c r="Q137" s="251"/>
      <c r="R137" s="251"/>
      <c r="S137" s="251"/>
    </row>
    <row r="138" spans="1:19" ht="17.25" thickBot="1">
      <c r="A138" s="162" t="s">
        <v>208</v>
      </c>
      <c r="B138" s="126">
        <v>75</v>
      </c>
      <c r="C138" s="77">
        <v>-0.11242603549999999</v>
      </c>
      <c r="D138" s="15">
        <v>85.2</v>
      </c>
      <c r="E138" s="32">
        <f t="shared" si="70"/>
        <v>0.13600000000000004</v>
      </c>
      <c r="F138" s="18">
        <f>IF(ISNUMBER(D138), $B145 * E138, "")</f>
        <v>13600.000000000004</v>
      </c>
      <c r="G138" s="31">
        <v>86.2</v>
      </c>
      <c r="H138" s="32">
        <f t="shared" si="71"/>
        <v>0.14933333333333337</v>
      </c>
      <c r="I138" s="101">
        <f>IF(ISNUMBER(G138), $B145 * H138, "")</f>
        <v>14933.333333333338</v>
      </c>
      <c r="J138" s="15">
        <v>83.6</v>
      </c>
      <c r="K138" s="32">
        <f t="shared" si="72"/>
        <v>0.1146666666666666</v>
      </c>
      <c r="L138" s="18">
        <f>IF(ISNUMBER(J138), $B145 * K138, "")</f>
        <v>11466.666666666661</v>
      </c>
      <c r="M138" s="31">
        <v>86.5</v>
      </c>
      <c r="N138" s="32">
        <f t="shared" si="73"/>
        <v>0.15333333333333332</v>
      </c>
      <c r="O138" s="18">
        <f>IF(ISNUMBER(M138), $B145 * N138, "")</f>
        <v>15333.333333333332</v>
      </c>
      <c r="Q138" s="261"/>
      <c r="R138" s="261"/>
      <c r="S138" s="261"/>
    </row>
    <row r="139" spans="1:19" ht="17.25" thickBot="1">
      <c r="A139" s="163" t="s">
        <v>154</v>
      </c>
      <c r="B139" s="128">
        <v>7.54</v>
      </c>
      <c r="C139" s="78">
        <v>-0.12325581400000001</v>
      </c>
      <c r="D139" s="20">
        <v>8.4</v>
      </c>
      <c r="E139" s="21">
        <f t="shared" si="70"/>
        <v>0.11405835543766582</v>
      </c>
      <c r="F139" s="22">
        <f>IF(ISNUMBER(D139), $B145 * E139, "")</f>
        <v>11405.835543766581</v>
      </c>
      <c r="G139" s="30">
        <v>8.3699999999999992</v>
      </c>
      <c r="H139" s="21">
        <f t="shared" si="71"/>
        <v>0.11007957559681687</v>
      </c>
      <c r="I139" s="105">
        <f>IF(ISNUMBER(G139), $B145 * H139, "")</f>
        <v>11007.957559681687</v>
      </c>
      <c r="J139" s="20">
        <v>8.2799999999999994</v>
      </c>
      <c r="K139" s="21">
        <f t="shared" si="72"/>
        <v>9.8143236074270473E-2</v>
      </c>
      <c r="L139" s="22">
        <f>IF(ISNUMBER(J139), $B145 * K139, "")</f>
        <v>9814.323607427048</v>
      </c>
      <c r="M139" s="30">
        <v>8.76</v>
      </c>
      <c r="N139" s="21">
        <f t="shared" si="73"/>
        <v>0.16180371352785142</v>
      </c>
      <c r="O139" s="22">
        <f>IF(ISNUMBER(M139), $B145 * N139, "")</f>
        <v>16180.371352785141</v>
      </c>
      <c r="Q139" s="261"/>
      <c r="R139" s="261"/>
      <c r="S139" s="261"/>
    </row>
    <row r="140" spans="1:19" ht="17.25" thickBot="1">
      <c r="A140" s="162" t="s">
        <v>171</v>
      </c>
      <c r="B140" s="129">
        <v>4.4400000000000004</v>
      </c>
      <c r="C140" s="80">
        <v>-0.14285714290000001</v>
      </c>
      <c r="D140" s="106">
        <v>5.55</v>
      </c>
      <c r="E140" s="107">
        <f>IF(ISNUMBER(D140), (D140 - $B140) / $B140, "")</f>
        <v>0.24999999999999986</v>
      </c>
      <c r="F140" s="108">
        <f>IF(ISNUMBER(D140), $B145 * E140, "")</f>
        <v>24999.999999999985</v>
      </c>
      <c r="G140" s="109">
        <v>6.27</v>
      </c>
      <c r="H140" s="107">
        <f>IF(ISNUMBER(G140), (G140 - $B140) / $B140, "")</f>
        <v>0.41216216216216195</v>
      </c>
      <c r="I140" s="110">
        <f>IF(ISNUMBER(G140), $B145 * H140, "")</f>
        <v>41216.216216216199</v>
      </c>
      <c r="J140" s="106">
        <v>5.45</v>
      </c>
      <c r="K140" s="107">
        <f>IF(ISNUMBER(J140), (J140 - $B140) / $B140, "")</f>
        <v>0.2274774774774774</v>
      </c>
      <c r="L140" s="108">
        <f>IF(ISNUMBER(J140), $B145 * K140, "")</f>
        <v>22747.747747747741</v>
      </c>
      <c r="M140" s="109">
        <v>4.79</v>
      </c>
      <c r="N140" s="107">
        <f>IF(ISNUMBER(M140), (M140 - $B140) / $B140, "")</f>
        <v>7.8828828828828745E-2</v>
      </c>
      <c r="O140" s="108">
        <f>IF(ISNUMBER(M140), $B145 * N140, "")</f>
        <v>7882.8828828828746</v>
      </c>
      <c r="Q140" s="251"/>
      <c r="R140" s="251"/>
      <c r="S140" s="251"/>
    </row>
    <row r="141" spans="1:19" ht="17.25" thickBot="1">
      <c r="A141" s="162" t="s">
        <v>122</v>
      </c>
      <c r="B141" s="126">
        <v>20.8</v>
      </c>
      <c r="C141" s="77">
        <v>-0.15102040820000001</v>
      </c>
      <c r="D141" s="15">
        <v>27.7</v>
      </c>
      <c r="E141" s="32">
        <f t="shared" ref="E141:E144" si="74">IF(ISNUMBER(D141), (D141 - $B141) / $B141, "")</f>
        <v>0.33173076923076916</v>
      </c>
      <c r="F141" s="18">
        <f>IF(ISNUMBER(D141), $B145 * E141, "")</f>
        <v>33173.076923076915</v>
      </c>
      <c r="G141" s="31">
        <v>30.8</v>
      </c>
      <c r="H141" s="32">
        <f t="shared" ref="H141:H144" si="75">IF(ISNUMBER(G141), (G141 - $B141) / $B141, "")</f>
        <v>0.48076923076923073</v>
      </c>
      <c r="I141" s="101">
        <f>IF(ISNUMBER(G141), $B145 * H141, "")</f>
        <v>48076.923076923071</v>
      </c>
      <c r="J141" s="15">
        <v>25.6</v>
      </c>
      <c r="K141" s="32">
        <f t="shared" ref="K141:K144" si="76">IF(ISNUMBER(J141), (J141 - $B141) / $B141, "")</f>
        <v>0.23076923076923078</v>
      </c>
      <c r="L141" s="18">
        <f>IF(ISNUMBER(J141), $B145 * K141, "")</f>
        <v>23076.923076923078</v>
      </c>
      <c r="M141" s="31">
        <v>22.5</v>
      </c>
      <c r="N141" s="32">
        <f t="shared" ref="N141:N144" si="77">IF(ISNUMBER(M141), (M141 - $B141) / $B141, "")</f>
        <v>8.173076923076919E-2</v>
      </c>
      <c r="O141" s="18">
        <f>IF(ISNUMBER(M141), $B145 * N141, "")</f>
        <v>8173.0769230769192</v>
      </c>
      <c r="Q141" s="251"/>
      <c r="R141" s="251"/>
      <c r="S141" s="251"/>
    </row>
    <row r="142" spans="1:19" ht="17.25" thickBot="1">
      <c r="A142" s="162" t="s">
        <v>249</v>
      </c>
      <c r="B142" s="126">
        <v>17.899999999999999</v>
      </c>
      <c r="C142" s="77">
        <v>-0.15165876780000001</v>
      </c>
      <c r="D142" s="15">
        <v>25.2</v>
      </c>
      <c r="E142" s="32">
        <f t="shared" si="74"/>
        <v>0.4078212290502794</v>
      </c>
      <c r="F142" s="18">
        <f>IF(ISNUMBER(D142), $B145 * E142, "")</f>
        <v>40782.122905027943</v>
      </c>
      <c r="G142" s="31">
        <v>26.4</v>
      </c>
      <c r="H142" s="32">
        <f t="shared" si="75"/>
        <v>0.47486033519553078</v>
      </c>
      <c r="I142" s="101">
        <f>IF(ISNUMBER(G142), $B145 * H142, "")</f>
        <v>47486.033519553079</v>
      </c>
      <c r="J142" s="15">
        <v>22.9</v>
      </c>
      <c r="K142" s="32">
        <f t="shared" si="76"/>
        <v>0.27932960893854752</v>
      </c>
      <c r="L142" s="18">
        <f>IF(ISNUMBER(J142), $B145 * K142, "")</f>
        <v>27932.960893854754</v>
      </c>
      <c r="M142" s="31">
        <v>20.6</v>
      </c>
      <c r="N142" s="32">
        <f t="shared" si="77"/>
        <v>0.15083798882681582</v>
      </c>
      <c r="O142" s="18">
        <f>IF(ISNUMBER(M142), $B145 * N142, "")</f>
        <v>15083.798882681582</v>
      </c>
      <c r="Q142" s="251"/>
      <c r="R142" s="251"/>
      <c r="S142" s="251"/>
    </row>
    <row r="143" spans="1:19">
      <c r="A143" s="162" t="s">
        <v>248</v>
      </c>
      <c r="B143" s="126">
        <v>89.9</v>
      </c>
      <c r="C143" s="77">
        <v>-0.15188679250000001</v>
      </c>
      <c r="D143" s="15">
        <v>119</v>
      </c>
      <c r="E143" s="32">
        <f t="shared" si="74"/>
        <v>0.32369299221357056</v>
      </c>
      <c r="F143" s="18">
        <f>IF(ISNUMBER(D143), $B145 * E143, "")</f>
        <v>32369.299221357058</v>
      </c>
      <c r="G143" s="31">
        <v>133</v>
      </c>
      <c r="H143" s="32">
        <f t="shared" si="75"/>
        <v>0.47942157953281417</v>
      </c>
      <c r="I143" s="101">
        <f>IF(ISNUMBER(G143), $B145 * H143, "")</f>
        <v>47942.157953281414</v>
      </c>
      <c r="J143" s="15">
        <v>114</v>
      </c>
      <c r="K143" s="32">
        <f t="shared" si="76"/>
        <v>0.26807563959955499</v>
      </c>
      <c r="L143" s="18">
        <f>IF(ISNUMBER(J143), $B145 * K143, "")</f>
        <v>26807.5639599555</v>
      </c>
      <c r="M143" s="31">
        <v>102</v>
      </c>
      <c r="N143" s="32">
        <f t="shared" si="77"/>
        <v>0.13459399332591762</v>
      </c>
      <c r="O143" s="18">
        <f>IF(ISNUMBER(M143), $B145 * N143, "")</f>
        <v>13459.399332591762</v>
      </c>
      <c r="Q143" s="240"/>
      <c r="R143" s="241"/>
      <c r="S143" s="242"/>
    </row>
    <row r="144" spans="1:19" ht="17.25" thickBot="1">
      <c r="A144" s="130" t="s">
        <v>233</v>
      </c>
      <c r="B144" s="131">
        <v>16.899999999999999</v>
      </c>
      <c r="C144" s="79">
        <v>-0.1633663366</v>
      </c>
      <c r="D144" s="24">
        <v>22</v>
      </c>
      <c r="E144" s="25">
        <f t="shared" si="74"/>
        <v>0.30177514792899418</v>
      </c>
      <c r="F144" s="104">
        <f>IF(ISNUMBER(D144), $B145 * E144, "")</f>
        <v>30177.514792899419</v>
      </c>
      <c r="G144" s="102">
        <v>24.1</v>
      </c>
      <c r="H144" s="25">
        <f t="shared" si="75"/>
        <v>0.42603550295858006</v>
      </c>
      <c r="I144" s="103">
        <f>IF(ISNUMBER(G144), $B145 * H144, "")</f>
        <v>42603.550295858004</v>
      </c>
      <c r="J144" s="24">
        <v>20.8</v>
      </c>
      <c r="K144" s="25">
        <f t="shared" si="76"/>
        <v>0.23076923076923092</v>
      </c>
      <c r="L144" s="104">
        <f>IF(ISNUMBER(J144), $B145 * K144, "")</f>
        <v>23076.923076923093</v>
      </c>
      <c r="M144" s="102">
        <v>18.600000000000001</v>
      </c>
      <c r="N144" s="25">
        <f t="shared" si="77"/>
        <v>0.10059171597633154</v>
      </c>
      <c r="O144" s="104">
        <f>IF(ISNUMBER(M144), $B145 * N144, "")</f>
        <v>10059.171597633154</v>
      </c>
      <c r="Q144" s="243"/>
      <c r="R144" s="244"/>
      <c r="S144" s="245"/>
    </row>
    <row r="145" spans="1:19" ht="17.25" thickBot="1">
      <c r="A145" s="132" t="s">
        <v>295</v>
      </c>
      <c r="B145" s="304">
        <f>$B$37</f>
        <v>100000</v>
      </c>
      <c r="C145" s="305"/>
      <c r="D145" s="26" t="s">
        <v>296</v>
      </c>
      <c r="E145" s="27">
        <f>IF(COUNT(E125:E144), SUM(E125:E144) / COUNT(E125:E144), 0)</f>
        <v>0.2020165908010855</v>
      </c>
      <c r="F145" s="28">
        <f>SUM(F125:F144)</f>
        <v>404033.18160217098</v>
      </c>
      <c r="G145" s="26" t="s">
        <v>296</v>
      </c>
      <c r="H145" s="27">
        <f>IF(COUNT(H125:H144), SUM(H125:H144) / COUNT(H125:H144), 0)</f>
        <v>0.26762224795648415</v>
      </c>
      <c r="I145" s="28">
        <f>SUM(I125:I144)</f>
        <v>535244.49591296818</v>
      </c>
      <c r="J145" s="26" t="s">
        <v>296</v>
      </c>
      <c r="K145" s="27">
        <f>IF(COUNT(K125:K144), SUM(K125:K144) / COUNT(K125:K144), 0)</f>
        <v>0.17172559145812713</v>
      </c>
      <c r="L145" s="28">
        <f>SUM(L125:L144)</f>
        <v>343451.18291625427</v>
      </c>
      <c r="M145" s="26" t="s">
        <v>296</v>
      </c>
      <c r="N145" s="27">
        <f>IF(COUNT(N125:N144), SUM(N125:N144) / COUNT(N125:N144), 0)</f>
        <v>0.12778430742799443</v>
      </c>
      <c r="O145" s="28">
        <f>SUM(O125:O144)</f>
        <v>255568.61485598882</v>
      </c>
      <c r="Q145" s="246"/>
      <c r="R145" s="247"/>
      <c r="S145" s="248"/>
    </row>
    <row r="147" spans="1:19" ht="17.25" thickBot="1"/>
    <row r="148" spans="1:19" ht="17.25" thickBot="1">
      <c r="A148" s="262" t="s">
        <v>284</v>
      </c>
      <c r="B148" s="263"/>
      <c r="C148" s="263"/>
      <c r="D148" s="263"/>
      <c r="E148" s="263"/>
      <c r="F148" s="263"/>
      <c r="G148" s="263"/>
      <c r="H148" s="263"/>
      <c r="I148" s="263"/>
      <c r="J148" s="263"/>
      <c r="K148" s="263"/>
      <c r="L148" s="263"/>
      <c r="M148" s="263"/>
      <c r="N148" s="263"/>
      <c r="O148" s="264"/>
      <c r="Q148" s="261"/>
      <c r="R148" s="261"/>
      <c r="S148" s="261"/>
    </row>
    <row r="149" spans="1:19" ht="17.25" thickBot="1">
      <c r="A149" s="212" t="s">
        <v>292</v>
      </c>
      <c r="B149" s="262" t="s">
        <v>49</v>
      </c>
      <c r="C149" s="264"/>
      <c r="D149" s="262" t="s">
        <v>58</v>
      </c>
      <c r="E149" s="263"/>
      <c r="F149" s="264"/>
      <c r="G149" s="265">
        <f>_xlfn.IFNA(VLOOKUP(B149, 현재가테이블!$B$2:$D$200, 2, FALSE), "-")</f>
        <v>40538000</v>
      </c>
      <c r="H149" s="266"/>
      <c r="I149" s="267"/>
      <c r="J149" s="262" t="s">
        <v>59</v>
      </c>
      <c r="K149" s="263"/>
      <c r="L149" s="264"/>
      <c r="M149" s="268">
        <f>_xlfn.IFNA(VLOOKUP(B149, 현재가테이블!$B$2:$D$200, 3, FALSE), "-")</f>
        <v>-3.68275993E-2</v>
      </c>
      <c r="N149" s="269"/>
      <c r="O149" s="270"/>
      <c r="Q149" s="261"/>
      <c r="R149" s="261"/>
      <c r="S149" s="261"/>
    </row>
    <row r="150" spans="1:19" ht="17.25" thickBot="1">
      <c r="A150" s="306" t="s">
        <v>55</v>
      </c>
      <c r="B150" s="302" t="str">
        <f>TEXT($G$1, "[$-ko-KR]yyyy-mm-dd(ddd) ") &amp; "오전 00:00"</f>
        <v>2021-06-14(월) 오전 00:00</v>
      </c>
      <c r="C150" s="303"/>
      <c r="D150" s="275" t="str">
        <f>TEXT($G$1, "[$-ko-KR]yyyy-mm-dd(ddd) ") &amp; "오후 14:00"</f>
        <v>2021-06-14(월) 오후 14:00</v>
      </c>
      <c r="E150" s="276"/>
      <c r="F150" s="277"/>
      <c r="G150" s="275" t="str">
        <f>TEXT($G$1, "[$-ko-KR]yyyy-mm-dd(ddd) ") &amp; "오후 19:00"</f>
        <v>2021-06-14(월) 오후 19:00</v>
      </c>
      <c r="H150" s="276"/>
      <c r="I150" s="277"/>
      <c r="J150" s="275" t="str">
        <f>TEXT($G$1, "[$-ko-KR]yyyy-mm-dd(ddd) ") &amp; "오후 21:00"</f>
        <v>2021-06-14(월) 오후 21:00</v>
      </c>
      <c r="K150" s="276"/>
      <c r="L150" s="277"/>
      <c r="M150" s="275" t="str">
        <f>TEXT($G$1+1, "[$-ko-KR]yyyy-mm-dd(ddd) ") &amp; "오전 00:00"</f>
        <v>2021-06-15(화) 오전 00:00</v>
      </c>
      <c r="N150" s="276"/>
      <c r="O150" s="277"/>
      <c r="Q150" s="261"/>
      <c r="R150" s="261"/>
      <c r="S150" s="261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3" t="s">
        <v>58</v>
      </c>
      <c r="H151" s="214" t="s">
        <v>293</v>
      </c>
      <c r="I151" s="21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1"/>
      <c r="R151" s="251"/>
      <c r="S151" s="251"/>
    </row>
    <row r="152" spans="1:19" ht="17.25" thickBot="1">
      <c r="A152" s="161" t="s">
        <v>128</v>
      </c>
      <c r="B152" s="124">
        <v>290</v>
      </c>
      <c r="C152" s="76">
        <v>-1.6949152499999998E-2</v>
      </c>
      <c r="D152" s="13">
        <v>301</v>
      </c>
      <c r="E152" s="14">
        <f>IF(ISNUMBER(D152), (D152 - $B152) / $B152, "")</f>
        <v>3.793103448275862E-2</v>
      </c>
      <c r="F152" s="16">
        <f>IF(ISNUMBER(D152), $B172 * E152, "")</f>
        <v>3793.1034482758619</v>
      </c>
      <c r="G152" s="29">
        <v>317</v>
      </c>
      <c r="H152" s="14">
        <f>IF(ISNUMBER(G152), (G152 - $B152) / $B152, "")</f>
        <v>9.3103448275862075E-2</v>
      </c>
      <c r="I152" s="100">
        <f>IF(ISNUMBER(G152), $B172 * H152, "")</f>
        <v>9310.3448275862083</v>
      </c>
      <c r="J152" s="13">
        <v>311</v>
      </c>
      <c r="K152" s="14">
        <f>IF(ISNUMBER(J152), (J152 - $B152) / $B152, "")</f>
        <v>7.2413793103448282E-2</v>
      </c>
      <c r="L152" s="16">
        <f>IF(ISNUMBER(J152), $B172 * K152, "")</f>
        <v>7241.3793103448279</v>
      </c>
      <c r="M152" s="29">
        <v>316</v>
      </c>
      <c r="N152" s="14">
        <f>IF(ISNUMBER(M152), (M152 - $B152) / $B152, "")</f>
        <v>8.9655172413793102E-2</v>
      </c>
      <c r="O152" s="16">
        <f>IF(ISNUMBER(M152), $B172 * N152, "")</f>
        <v>8965.5172413793098</v>
      </c>
      <c r="Q152" s="261"/>
      <c r="R152" s="261"/>
      <c r="S152" s="261"/>
    </row>
    <row r="153" spans="1:19" ht="17.25" thickBot="1">
      <c r="A153" s="162" t="s">
        <v>136</v>
      </c>
      <c r="B153" s="126">
        <v>113</v>
      </c>
      <c r="C153" s="77">
        <v>-1.73913043E-2</v>
      </c>
      <c r="D153" s="15">
        <v>124</v>
      </c>
      <c r="E153" s="32">
        <f t="shared" ref="E153:E156" si="78">IF(ISNUMBER(D153), (D153 - $B153) / $B153, "")</f>
        <v>9.7345132743362831E-2</v>
      </c>
      <c r="F153" s="18">
        <f>IF(ISNUMBER(D153), $B172 * E153, "")</f>
        <v>9734.5132743362828</v>
      </c>
      <c r="G153" s="31">
        <v>122</v>
      </c>
      <c r="H153" s="32">
        <f t="shared" ref="H153:H156" si="79">IF(ISNUMBER(G153), (G153 - $B153) / $B153, "")</f>
        <v>7.9646017699115043E-2</v>
      </c>
      <c r="I153" s="101">
        <f>IF(ISNUMBER(G153), $B172 * H153, "")</f>
        <v>7964.6017699115046</v>
      </c>
      <c r="J153" s="15">
        <v>122</v>
      </c>
      <c r="K153" s="32">
        <f t="shared" ref="K153:K156" si="80">IF(ISNUMBER(J153), (J153 - $B153) / $B153, "")</f>
        <v>7.9646017699115043E-2</v>
      </c>
      <c r="L153" s="18">
        <f>IF(ISNUMBER(J153), $B172 * K153, "")</f>
        <v>7964.6017699115046</v>
      </c>
      <c r="M153" s="31">
        <v>125</v>
      </c>
      <c r="N153" s="32">
        <f t="shared" ref="N153:N156" si="81">IF(ISNUMBER(M153), (M153 - $B153) / $B153, "")</f>
        <v>0.10619469026548672</v>
      </c>
      <c r="O153" s="18">
        <f>IF(ISNUMBER(M153), $B172 * N153, "")</f>
        <v>10619.469026548672</v>
      </c>
      <c r="Q153" s="261"/>
      <c r="R153" s="261"/>
      <c r="S153" s="261"/>
    </row>
    <row r="154" spans="1:19" ht="17.25" thickBot="1">
      <c r="A154" s="162" t="s">
        <v>181</v>
      </c>
      <c r="B154" s="126">
        <v>222</v>
      </c>
      <c r="C154" s="77">
        <v>-1.7699115000000001E-2</v>
      </c>
      <c r="D154" s="15">
        <v>229</v>
      </c>
      <c r="E154" s="32">
        <f t="shared" si="78"/>
        <v>3.1531531531531529E-2</v>
      </c>
      <c r="F154" s="18">
        <f>IF(ISNUMBER(D154), $B172 * E154, "")</f>
        <v>3153.1531531531527</v>
      </c>
      <c r="G154" s="31">
        <v>231</v>
      </c>
      <c r="H154" s="32">
        <f t="shared" si="79"/>
        <v>4.0540540540540543E-2</v>
      </c>
      <c r="I154" s="101">
        <f>IF(ISNUMBER(G154), $B172 * H154, "")</f>
        <v>4054.0540540540542</v>
      </c>
      <c r="J154" s="15">
        <v>228</v>
      </c>
      <c r="K154" s="32">
        <f t="shared" si="80"/>
        <v>2.7027027027027029E-2</v>
      </c>
      <c r="L154" s="18">
        <f>IF(ISNUMBER(J154), $B172 * K154, "")</f>
        <v>2702.7027027027029</v>
      </c>
      <c r="M154" s="31">
        <v>237</v>
      </c>
      <c r="N154" s="32">
        <f t="shared" si="81"/>
        <v>6.7567567567567571E-2</v>
      </c>
      <c r="O154" s="18">
        <f>IF(ISNUMBER(M154), $B172 * N154, "")</f>
        <v>6756.7567567567576</v>
      </c>
      <c r="Q154" s="251"/>
      <c r="R154" s="251"/>
      <c r="S154" s="251"/>
    </row>
    <row r="155" spans="1:19" ht="17.25" thickBot="1">
      <c r="A155" s="162" t="s">
        <v>88</v>
      </c>
      <c r="B155" s="126">
        <v>311</v>
      </c>
      <c r="C155" s="77">
        <v>-2.2012578599999999E-2</v>
      </c>
      <c r="D155" s="15">
        <v>323</v>
      </c>
      <c r="E155" s="32">
        <f t="shared" si="78"/>
        <v>3.8585209003215437E-2</v>
      </c>
      <c r="F155" s="18">
        <f>IF(ISNUMBER(D155), $B172 * E155, "")</f>
        <v>3858.5209003215436</v>
      </c>
      <c r="G155" s="31">
        <v>326</v>
      </c>
      <c r="H155" s="32">
        <f t="shared" si="79"/>
        <v>4.8231511254019289E-2</v>
      </c>
      <c r="I155" s="101">
        <f>IF(ISNUMBER(G155), $B172 * H155, "")</f>
        <v>4823.1511254019288</v>
      </c>
      <c r="J155" s="15">
        <v>322</v>
      </c>
      <c r="K155" s="32">
        <f t="shared" si="80"/>
        <v>3.5369774919614148E-2</v>
      </c>
      <c r="L155" s="18">
        <f>IF(ISNUMBER(J155), $B172 * K155, "")</f>
        <v>3536.9774919614147</v>
      </c>
      <c r="M155" s="31">
        <v>330</v>
      </c>
      <c r="N155" s="32">
        <f t="shared" si="81"/>
        <v>6.1093247588424437E-2</v>
      </c>
      <c r="O155" s="18">
        <f>IF(ISNUMBER(M155), $B172 * N155, "")</f>
        <v>6109.3247588424438</v>
      </c>
      <c r="Q155" s="251"/>
      <c r="R155" s="251"/>
      <c r="S155" s="251"/>
    </row>
    <row r="156" spans="1:19" ht="17.25" thickBot="1">
      <c r="A156" s="163" t="s">
        <v>257</v>
      </c>
      <c r="B156" s="128">
        <v>453</v>
      </c>
      <c r="C156" s="78">
        <v>-2.3706896599999999E-2</v>
      </c>
      <c r="D156" s="20">
        <v>485</v>
      </c>
      <c r="E156" s="21">
        <f t="shared" si="78"/>
        <v>7.0640176600441501E-2</v>
      </c>
      <c r="F156" s="22">
        <f>IF(ISNUMBER(D156), $B172 * E156, "")</f>
        <v>7064.01766004415</v>
      </c>
      <c r="G156" s="30">
        <v>491</v>
      </c>
      <c r="H156" s="21">
        <f t="shared" si="79"/>
        <v>8.3885209713024281E-2</v>
      </c>
      <c r="I156" s="105">
        <f>IF(ISNUMBER(G156), $B172 * H156, "")</f>
        <v>8388.5209713024287</v>
      </c>
      <c r="J156" s="20">
        <v>487</v>
      </c>
      <c r="K156" s="21">
        <f t="shared" si="80"/>
        <v>7.505518763796909E-2</v>
      </c>
      <c r="L156" s="22">
        <f>IF(ISNUMBER(J156), $B172 * K156, "")</f>
        <v>7505.5187637969093</v>
      </c>
      <c r="M156" s="30">
        <v>501</v>
      </c>
      <c r="N156" s="21">
        <f t="shared" si="81"/>
        <v>0.10596026490066225</v>
      </c>
      <c r="O156" s="22">
        <f>IF(ISNUMBER(M156), $B172 * N156, "")</f>
        <v>10596.026490066226</v>
      </c>
      <c r="Q156" s="251"/>
      <c r="R156" s="251"/>
      <c r="S156" s="251"/>
    </row>
    <row r="157" spans="1:19" ht="17.25" thickBot="1">
      <c r="A157" s="162" t="s">
        <v>116</v>
      </c>
      <c r="B157" s="129">
        <v>297</v>
      </c>
      <c r="C157" s="80">
        <v>-2.9411764699999999E-2</v>
      </c>
      <c r="D157" s="106">
        <v>313</v>
      </c>
      <c r="E157" s="107">
        <f>IF(ISNUMBER(D157), (D157 - $B157) / $B157, "")</f>
        <v>5.387205387205387E-2</v>
      </c>
      <c r="F157" s="108">
        <f>IF(ISNUMBER(D157), $B172 * E157, "")</f>
        <v>5387.2053872053866</v>
      </c>
      <c r="G157" s="109">
        <v>314</v>
      </c>
      <c r="H157" s="107">
        <f>IF(ISNUMBER(G157), (G157 - $B157) / $B157, "")</f>
        <v>5.7239057239057242E-2</v>
      </c>
      <c r="I157" s="110">
        <f>IF(ISNUMBER(G157), $B172 * H157, "")</f>
        <v>5723.9057239057238</v>
      </c>
      <c r="J157" s="106">
        <v>313</v>
      </c>
      <c r="K157" s="107">
        <f>IF(ISNUMBER(J157), (J157 - $B157) / $B157, "")</f>
        <v>5.387205387205387E-2</v>
      </c>
      <c r="L157" s="108">
        <f>IF(ISNUMBER(J157), $B172 * K157, "")</f>
        <v>5387.2053872053866</v>
      </c>
      <c r="M157" s="109">
        <v>323</v>
      </c>
      <c r="N157" s="107">
        <f>IF(ISNUMBER(M157), (M157 - $B157) / $B157, "")</f>
        <v>8.7542087542087546E-2</v>
      </c>
      <c r="O157" s="108">
        <f>IF(ISNUMBER(M157), $B172 * N157, "")</f>
        <v>8754.2087542087538</v>
      </c>
      <c r="Q157" s="251"/>
      <c r="R157" s="251"/>
      <c r="S157" s="251"/>
    </row>
    <row r="158" spans="1:19" ht="17.25" thickBot="1">
      <c r="A158" s="162" t="s">
        <v>279</v>
      </c>
      <c r="B158" s="126">
        <v>185</v>
      </c>
      <c r="C158" s="77">
        <v>-3.1413612600000002E-2</v>
      </c>
      <c r="D158" s="15">
        <v>204</v>
      </c>
      <c r="E158" s="32">
        <f t="shared" ref="E158:E161" si="82">IF(ISNUMBER(D158), (D158 - $B158) / $B158, "")</f>
        <v>0.10270270270270271</v>
      </c>
      <c r="F158" s="18">
        <f>IF(ISNUMBER(D158), $B172 * E158, "")</f>
        <v>10270.27027027027</v>
      </c>
      <c r="G158" s="31">
        <v>203</v>
      </c>
      <c r="H158" s="32">
        <f t="shared" ref="H158:H161" si="83">IF(ISNUMBER(G158), (G158 - $B158) / $B158, "")</f>
        <v>9.7297297297297303E-2</v>
      </c>
      <c r="I158" s="101">
        <f>IF(ISNUMBER(G158), $B172 * H158, "")</f>
        <v>9729.72972972973</v>
      </c>
      <c r="J158" s="15">
        <v>204</v>
      </c>
      <c r="K158" s="32">
        <f t="shared" ref="K158:K161" si="84">IF(ISNUMBER(J158), (J158 - $B158) / $B158, "")</f>
        <v>0.10270270270270271</v>
      </c>
      <c r="L158" s="18">
        <f>IF(ISNUMBER(J158), $B172 * K158, "")</f>
        <v>10270.27027027027</v>
      </c>
      <c r="M158" s="31">
        <v>206</v>
      </c>
      <c r="N158" s="32">
        <f t="shared" ref="N158:N161" si="85">IF(ISNUMBER(M158), (M158 - $B158) / $B158, "")</f>
        <v>0.11351351351351352</v>
      </c>
      <c r="O158" s="18">
        <f>IF(ISNUMBER(M158), $B172 * N158, "")</f>
        <v>11351.351351351352</v>
      </c>
      <c r="Q158" s="251"/>
      <c r="R158" s="251"/>
      <c r="S158" s="251"/>
    </row>
    <row r="159" spans="1:19" ht="17.25" thickBot="1">
      <c r="A159" s="162" t="s">
        <v>51</v>
      </c>
      <c r="B159" s="126">
        <v>368</v>
      </c>
      <c r="C159" s="77">
        <v>-3.6649214700000002E-2</v>
      </c>
      <c r="D159" s="15">
        <v>389</v>
      </c>
      <c r="E159" s="32">
        <f t="shared" si="82"/>
        <v>5.7065217391304345E-2</v>
      </c>
      <c r="F159" s="18">
        <f>IF(ISNUMBER(D159), $B172 * E159, "")</f>
        <v>5706.5217391304341</v>
      </c>
      <c r="G159" s="31">
        <v>381</v>
      </c>
      <c r="H159" s="32">
        <f t="shared" si="83"/>
        <v>3.5326086956521736E-2</v>
      </c>
      <c r="I159" s="101">
        <f>IF(ISNUMBER(G159), $B172 * H159, "")</f>
        <v>3532.6086956521735</v>
      </c>
      <c r="J159" s="15">
        <v>380</v>
      </c>
      <c r="K159" s="32">
        <f t="shared" si="84"/>
        <v>3.2608695652173912E-2</v>
      </c>
      <c r="L159" s="18">
        <f>IF(ISNUMBER(J159), $B172 * K159, "")</f>
        <v>3260.869565217391</v>
      </c>
      <c r="M159" s="31">
        <v>394</v>
      </c>
      <c r="N159" s="32">
        <f t="shared" si="85"/>
        <v>7.0652173913043473E-2</v>
      </c>
      <c r="O159" s="18">
        <f>IF(ISNUMBER(M159), $B172 * N159, "")</f>
        <v>7065.2173913043471</v>
      </c>
      <c r="Q159" s="251"/>
      <c r="R159" s="251"/>
      <c r="S159" s="251"/>
    </row>
    <row r="160" spans="1:19" ht="17.25" thickBot="1">
      <c r="A160" s="162" t="s">
        <v>106</v>
      </c>
      <c r="B160" s="126">
        <v>950</v>
      </c>
      <c r="C160" s="77">
        <v>-4.0404040400000001E-2</v>
      </c>
      <c r="D160" s="15">
        <v>1025</v>
      </c>
      <c r="E160" s="32">
        <f t="shared" si="82"/>
        <v>7.8947368421052627E-2</v>
      </c>
      <c r="F160" s="18">
        <f>IF(ISNUMBER(D160), $B172 * E160, "")</f>
        <v>7894.7368421052624</v>
      </c>
      <c r="G160" s="31">
        <v>1015</v>
      </c>
      <c r="H160" s="32">
        <f t="shared" si="83"/>
        <v>6.8421052631578952E-2</v>
      </c>
      <c r="I160" s="101">
        <f>IF(ISNUMBER(G160), $B172 * H160, "")</f>
        <v>6842.105263157895</v>
      </c>
      <c r="J160" s="15">
        <v>1005</v>
      </c>
      <c r="K160" s="32">
        <f t="shared" si="84"/>
        <v>5.7894736842105263E-2</v>
      </c>
      <c r="L160" s="18">
        <f>IF(ISNUMBER(J160), $B172 * K160, "")</f>
        <v>5789.4736842105267</v>
      </c>
      <c r="M160" s="31">
        <v>1065</v>
      </c>
      <c r="N160" s="32">
        <f t="shared" si="85"/>
        <v>0.12105263157894737</v>
      </c>
      <c r="O160" s="18">
        <f>IF(ISNUMBER(M160), $B172 * N160, "")</f>
        <v>12105.263157894737</v>
      </c>
      <c r="Q160" s="33"/>
      <c r="R160" s="33"/>
    </row>
    <row r="161" spans="1:19" ht="17.25" thickBot="1">
      <c r="A161" s="130" t="s">
        <v>132</v>
      </c>
      <c r="B161" s="131">
        <v>118</v>
      </c>
      <c r="C161" s="79">
        <v>-4.06504065E-2</v>
      </c>
      <c r="D161" s="24">
        <v>127</v>
      </c>
      <c r="E161" s="25">
        <f t="shared" si="82"/>
        <v>7.6271186440677971E-2</v>
      </c>
      <c r="F161" s="104">
        <f>IF(ISNUMBER(D161), $B172 * E161, "")</f>
        <v>7627.1186440677975</v>
      </c>
      <c r="G161" s="102">
        <v>128</v>
      </c>
      <c r="H161" s="25">
        <f t="shared" si="83"/>
        <v>8.4745762711864403E-2</v>
      </c>
      <c r="I161" s="103">
        <f>IF(ISNUMBER(G161), $B172 * H161, "")</f>
        <v>8474.5762711864409</v>
      </c>
      <c r="J161" s="24">
        <v>126</v>
      </c>
      <c r="K161" s="25">
        <f t="shared" si="84"/>
        <v>6.7796610169491525E-2</v>
      </c>
      <c r="L161" s="104">
        <f>IF(ISNUMBER(J161), $B172 * K161, "")</f>
        <v>6779.6610169491523</v>
      </c>
      <c r="M161" s="102">
        <v>132</v>
      </c>
      <c r="N161" s="25">
        <f t="shared" si="85"/>
        <v>0.11864406779661017</v>
      </c>
      <c r="O161" s="104">
        <f>IF(ISNUMBER(M161), $B172 * N161, "")</f>
        <v>11864.406779661018</v>
      </c>
      <c r="Q161" s="252"/>
      <c r="R161" s="253"/>
      <c r="S161" s="254"/>
    </row>
    <row r="162" spans="1:19">
      <c r="A162" s="161" t="s">
        <v>54</v>
      </c>
      <c r="B162" s="124">
        <v>211</v>
      </c>
      <c r="C162" s="76">
        <v>-4.09090909E-2</v>
      </c>
      <c r="D162" s="13">
        <v>222</v>
      </c>
      <c r="E162" s="14">
        <f>IF(ISNUMBER(D162), (D162 - $B162) / $B162, "")</f>
        <v>5.2132701421800945E-2</v>
      </c>
      <c r="F162" s="16">
        <f>IF(ISNUMBER(D162), $B172 * E162, "")</f>
        <v>5213.2701421800948</v>
      </c>
      <c r="G162" s="29">
        <v>226</v>
      </c>
      <c r="H162" s="14">
        <f>IF(ISNUMBER(G162), (G162 - $B162) / $B162, "")</f>
        <v>7.1090047393364927E-2</v>
      </c>
      <c r="I162" s="100">
        <f>IF(ISNUMBER(G162), $B172 * H162, "")</f>
        <v>7109.004739336493</v>
      </c>
      <c r="J162" s="13">
        <v>222</v>
      </c>
      <c r="K162" s="14">
        <f>IF(ISNUMBER(J162), (J162 - $B162) / $B162, "")</f>
        <v>5.2132701421800945E-2</v>
      </c>
      <c r="L162" s="16">
        <f>IF(ISNUMBER(J162), $B172 * K162, "")</f>
        <v>5213.2701421800948</v>
      </c>
      <c r="M162" s="29">
        <v>229</v>
      </c>
      <c r="N162" s="14">
        <f>IF(ISNUMBER(M162), (M162 - $B162) / $B162, "")</f>
        <v>8.5308056872037921E-2</v>
      </c>
      <c r="O162" s="16">
        <f>IF(ISNUMBER(M162), $B172 * N162, "")</f>
        <v>8530.8056872037923</v>
      </c>
      <c r="Q162" s="255"/>
      <c r="R162" s="256"/>
      <c r="S162" s="257"/>
    </row>
    <row r="163" spans="1:19" ht="17.25" thickBot="1">
      <c r="A163" s="162" t="s">
        <v>251</v>
      </c>
      <c r="B163" s="126">
        <v>135</v>
      </c>
      <c r="C163" s="77">
        <v>-4.2553191499999997E-2</v>
      </c>
      <c r="D163" s="15">
        <v>141</v>
      </c>
      <c r="E163" s="32">
        <f t="shared" ref="E163:E166" si="86">IF(ISNUMBER(D163), (D163 - $B163) / $B163, "")</f>
        <v>4.4444444444444446E-2</v>
      </c>
      <c r="F163" s="18">
        <f>IF(ISNUMBER(D163), $B172 * E163, "")</f>
        <v>4444.4444444444443</v>
      </c>
      <c r="G163" s="31">
        <v>142</v>
      </c>
      <c r="H163" s="32">
        <f t="shared" ref="H163:H166" si="87">IF(ISNUMBER(G163), (G163 - $B163) / $B163, "")</f>
        <v>5.185185185185185E-2</v>
      </c>
      <c r="I163" s="101">
        <f>IF(ISNUMBER(G163), $B172 * H163, "")</f>
        <v>5185.1851851851852</v>
      </c>
      <c r="J163" s="15">
        <v>144</v>
      </c>
      <c r="K163" s="32">
        <f t="shared" ref="K163:K166" si="88">IF(ISNUMBER(J163), (J163 - $B163) / $B163, "")</f>
        <v>6.6666666666666666E-2</v>
      </c>
      <c r="L163" s="18">
        <f>IF(ISNUMBER(J163), $B172 * K163, "")</f>
        <v>6666.666666666667</v>
      </c>
      <c r="M163" s="31">
        <v>147</v>
      </c>
      <c r="N163" s="32">
        <f t="shared" ref="N163:N166" si="89">IF(ISNUMBER(M163), (M163 - $B163) / $B163, "")</f>
        <v>8.8888888888888892E-2</v>
      </c>
      <c r="O163" s="18">
        <f>IF(ISNUMBER(M163), $B172 * N163, "")</f>
        <v>8888.8888888888887</v>
      </c>
      <c r="Q163" s="258"/>
      <c r="R163" s="259"/>
      <c r="S163" s="260"/>
    </row>
    <row r="164" spans="1:19" ht="17.25" thickBot="1">
      <c r="A164" s="162" t="s">
        <v>112</v>
      </c>
      <c r="B164" s="126">
        <v>124</v>
      </c>
      <c r="C164" s="77">
        <v>-4.6153846200000001E-2</v>
      </c>
      <c r="D164" s="15">
        <v>126</v>
      </c>
      <c r="E164" s="32">
        <f t="shared" si="86"/>
        <v>1.6129032258064516E-2</v>
      </c>
      <c r="F164" s="18">
        <f>IF(ISNUMBER(D164), $B172 * E164, "")</f>
        <v>1612.9032258064515</v>
      </c>
      <c r="G164" s="31">
        <v>126</v>
      </c>
      <c r="H164" s="32">
        <f t="shared" si="87"/>
        <v>1.6129032258064516E-2</v>
      </c>
      <c r="I164" s="101">
        <f>IF(ISNUMBER(G164), $B172 * H164, "")</f>
        <v>1612.9032258064515</v>
      </c>
      <c r="J164" s="15">
        <v>126</v>
      </c>
      <c r="K164" s="32">
        <f t="shared" si="88"/>
        <v>1.6129032258064516E-2</v>
      </c>
      <c r="L164" s="18">
        <f>IF(ISNUMBER(J164), $B172 * K164, "")</f>
        <v>1612.9032258064515</v>
      </c>
      <c r="M164" s="31">
        <v>132</v>
      </c>
      <c r="N164" s="32">
        <f t="shared" si="89"/>
        <v>6.4516129032258063E-2</v>
      </c>
      <c r="O164" s="18">
        <f>IF(ISNUMBER(M164), $B172 * N164, "")</f>
        <v>6451.6129032258059</v>
      </c>
      <c r="Q164" s="251"/>
      <c r="R164" s="251"/>
      <c r="S164" s="251"/>
    </row>
    <row r="165" spans="1:19" ht="17.25" thickBot="1">
      <c r="A165" s="162" t="s">
        <v>82</v>
      </c>
      <c r="B165" s="126">
        <v>761</v>
      </c>
      <c r="C165" s="77">
        <v>-5.23038605E-2</v>
      </c>
      <c r="D165" s="15">
        <v>928</v>
      </c>
      <c r="E165" s="32">
        <f t="shared" si="86"/>
        <v>0.21944809461235218</v>
      </c>
      <c r="F165" s="18">
        <f>IF(ISNUMBER(D165), $B172 * E165, "")</f>
        <v>21944.809461235218</v>
      </c>
      <c r="G165" s="31">
        <v>1015</v>
      </c>
      <c r="H165" s="32">
        <f t="shared" si="87"/>
        <v>0.33377135348226017</v>
      </c>
      <c r="I165" s="101">
        <f>IF(ISNUMBER(G165), $B172 * H165, "")</f>
        <v>33377.135348226017</v>
      </c>
      <c r="J165" s="15">
        <v>882</v>
      </c>
      <c r="K165" s="32">
        <f t="shared" si="88"/>
        <v>0.15900131406044679</v>
      </c>
      <c r="L165" s="18">
        <f>IF(ISNUMBER(J165), $B172 * K165, "")</f>
        <v>15900.131406044678</v>
      </c>
      <c r="M165" s="31">
        <v>822</v>
      </c>
      <c r="N165" s="32">
        <f t="shared" si="89"/>
        <v>8.0157687253613663E-2</v>
      </c>
      <c r="O165" s="18">
        <f>IF(ISNUMBER(M165), $B172 * N165, "")</f>
        <v>8015.7687253613667</v>
      </c>
      <c r="Q165" s="261"/>
      <c r="R165" s="261"/>
      <c r="S165" s="261"/>
    </row>
    <row r="166" spans="1:19" ht="17.25" thickBot="1">
      <c r="A166" s="163" t="s">
        <v>231</v>
      </c>
      <c r="B166" s="128">
        <v>285</v>
      </c>
      <c r="C166" s="78">
        <v>-6.25E-2</v>
      </c>
      <c r="D166" s="20">
        <v>368</v>
      </c>
      <c r="E166" s="21">
        <f t="shared" si="86"/>
        <v>0.29122807017543861</v>
      </c>
      <c r="F166" s="22">
        <f>IF(ISNUMBER(D166), $B172 * E166, "")</f>
        <v>29122.807017543862</v>
      </c>
      <c r="G166" s="30">
        <v>515</v>
      </c>
      <c r="H166" s="21">
        <f t="shared" si="87"/>
        <v>0.80701754385964908</v>
      </c>
      <c r="I166" s="105">
        <f>IF(ISNUMBER(G166), $B172 * H166, "")</f>
        <v>80701.754385964901</v>
      </c>
      <c r="J166" s="20">
        <v>444</v>
      </c>
      <c r="K166" s="21">
        <f t="shared" si="88"/>
        <v>0.55789473684210522</v>
      </c>
      <c r="L166" s="22">
        <f>IF(ISNUMBER(J166), $B172 * K166, "")</f>
        <v>55789.473684210519</v>
      </c>
      <c r="M166" s="30">
        <v>360</v>
      </c>
      <c r="N166" s="21">
        <f t="shared" si="89"/>
        <v>0.26315789473684209</v>
      </c>
      <c r="O166" s="22">
        <f>IF(ISNUMBER(M166), $B172 * N166, "")</f>
        <v>26315.78947368421</v>
      </c>
      <c r="Q166" s="261"/>
      <c r="R166" s="261"/>
      <c r="S166" s="261"/>
    </row>
    <row r="167" spans="1:19" ht="17.25" thickBot="1">
      <c r="A167" s="162" t="s">
        <v>161</v>
      </c>
      <c r="B167" s="129">
        <v>452</v>
      </c>
      <c r="C167" s="80">
        <v>-6.8041237099999999E-2</v>
      </c>
      <c r="D167" s="106">
        <v>942</v>
      </c>
      <c r="E167" s="107">
        <f>IF(ISNUMBER(D167), (D167 - $B167) / $B167, "")</f>
        <v>1.084070796460177</v>
      </c>
      <c r="F167" s="108">
        <f>IF(ISNUMBER(D167), $B172 * E167, "")</f>
        <v>108407.07964601771</v>
      </c>
      <c r="G167" s="109">
        <v>929</v>
      </c>
      <c r="H167" s="107">
        <f>IF(ISNUMBER(G167), (G167 - $B167) / $B167, "")</f>
        <v>1.0553097345132743</v>
      </c>
      <c r="I167" s="110">
        <f>IF(ISNUMBER(G167), $B172 * H167, "")</f>
        <v>105530.97345132743</v>
      </c>
      <c r="J167" s="106">
        <v>862</v>
      </c>
      <c r="K167" s="107">
        <f>IF(ISNUMBER(J167), (J167 - $B167) / $B167, "")</f>
        <v>0.90707964601769908</v>
      </c>
      <c r="L167" s="108">
        <f>IF(ISNUMBER(J167), $B172 * K167, "")</f>
        <v>90707.964601769912</v>
      </c>
      <c r="M167" s="109">
        <v>760</v>
      </c>
      <c r="N167" s="107">
        <f>IF(ISNUMBER(M167), (M167 - $B167) / $B167, "")</f>
        <v>0.68141592920353977</v>
      </c>
      <c r="O167" s="108">
        <f>IF(ISNUMBER(M167), $B172 * N167, "")</f>
        <v>68141.592920353971</v>
      </c>
      <c r="Q167" s="251"/>
      <c r="R167" s="251"/>
      <c r="S167" s="251"/>
    </row>
    <row r="168" spans="1:19" ht="17.25" thickBot="1">
      <c r="A168" s="162" t="s">
        <v>275</v>
      </c>
      <c r="B168" s="126">
        <v>785</v>
      </c>
      <c r="C168" s="77">
        <v>-7.6470588199999995E-2</v>
      </c>
      <c r="D168" s="15">
        <v>821</v>
      </c>
      <c r="E168" s="32">
        <f t="shared" ref="E168:E171" si="90">IF(ISNUMBER(D168), (D168 - $B168) / $B168, "")</f>
        <v>4.5859872611464965E-2</v>
      </c>
      <c r="F168" s="18">
        <f>IF(ISNUMBER(D168), $B172 * E168, "")</f>
        <v>4585.9872611464962</v>
      </c>
      <c r="G168" s="31">
        <v>830</v>
      </c>
      <c r="H168" s="32">
        <f t="shared" ref="H168:H171" si="91">IF(ISNUMBER(G168), (G168 - $B168) / $B168, "")</f>
        <v>5.7324840764331211E-2</v>
      </c>
      <c r="I168" s="101">
        <f>IF(ISNUMBER(G168), $B172 * H168, "")</f>
        <v>5732.4840764331211</v>
      </c>
      <c r="J168" s="15">
        <v>830</v>
      </c>
      <c r="K168" s="32">
        <f t="shared" ref="K168:K171" si="92">IF(ISNUMBER(J168), (J168 - $B168) / $B168, "")</f>
        <v>5.7324840764331211E-2</v>
      </c>
      <c r="L168" s="18">
        <f>IF(ISNUMBER(J168), $B172 * K168, "")</f>
        <v>5732.4840764331211</v>
      </c>
      <c r="M168" s="31">
        <v>843</v>
      </c>
      <c r="N168" s="32">
        <f t="shared" ref="N168:N171" si="93">IF(ISNUMBER(M168), (M168 - $B168) / $B168, "")</f>
        <v>7.3885350318471335E-2</v>
      </c>
      <c r="O168" s="18">
        <f>IF(ISNUMBER(M168), $B172 * N168, "")</f>
        <v>7388.5350318471337</v>
      </c>
      <c r="Q168" s="251"/>
      <c r="R168" s="251"/>
      <c r="S168" s="251"/>
    </row>
    <row r="169" spans="1:19" ht="17.25" thickBot="1">
      <c r="A169" s="162" t="s">
        <v>223</v>
      </c>
      <c r="B169" s="126">
        <v>185</v>
      </c>
      <c r="C169" s="77">
        <v>-7.9601989999999997E-2</v>
      </c>
      <c r="D169" s="15">
        <v>221</v>
      </c>
      <c r="E169" s="32">
        <f t="shared" si="90"/>
        <v>0.19459459459459461</v>
      </c>
      <c r="F169" s="18">
        <f>IF(ISNUMBER(D169), $B172 * E169, "")</f>
        <v>19459.45945945946</v>
      </c>
      <c r="G169" s="31">
        <v>217</v>
      </c>
      <c r="H169" s="32">
        <f t="shared" si="91"/>
        <v>0.17297297297297298</v>
      </c>
      <c r="I169" s="101">
        <f>IF(ISNUMBER(G169), $B172 * H169, "")</f>
        <v>17297.297297297297</v>
      </c>
      <c r="J169" s="15">
        <v>219</v>
      </c>
      <c r="K169" s="32">
        <f t="shared" si="92"/>
        <v>0.18378378378378379</v>
      </c>
      <c r="L169" s="18">
        <f>IF(ISNUMBER(J169), $B172 * K169, "")</f>
        <v>18378.37837837838</v>
      </c>
      <c r="M169" s="31">
        <v>217</v>
      </c>
      <c r="N169" s="32">
        <f t="shared" si="93"/>
        <v>0.17297297297297298</v>
      </c>
      <c r="O169" s="18">
        <f>IF(ISNUMBER(M169), $B172 * N169, "")</f>
        <v>17297.297297297297</v>
      </c>
      <c r="Q169" s="251"/>
      <c r="R169" s="251"/>
      <c r="S169" s="251"/>
    </row>
    <row r="170" spans="1:19">
      <c r="A170" s="162" t="s">
        <v>173</v>
      </c>
      <c r="B170" s="126">
        <v>104</v>
      </c>
      <c r="C170" s="77">
        <v>-9.5652173899999998E-2</v>
      </c>
      <c r="D170" s="15">
        <v>122</v>
      </c>
      <c r="E170" s="32">
        <f t="shared" si="90"/>
        <v>0.17307692307692307</v>
      </c>
      <c r="F170" s="18">
        <f>IF(ISNUMBER(D170), $B172 * E170, "")</f>
        <v>17307.692307692309</v>
      </c>
      <c r="G170" s="31">
        <v>120</v>
      </c>
      <c r="H170" s="32">
        <f t="shared" si="91"/>
        <v>0.15384615384615385</v>
      </c>
      <c r="I170" s="101">
        <f>IF(ISNUMBER(G170), $B172 * H170, "")</f>
        <v>15384.615384615385</v>
      </c>
      <c r="J170" s="15">
        <v>119</v>
      </c>
      <c r="K170" s="32">
        <f t="shared" si="92"/>
        <v>0.14423076923076922</v>
      </c>
      <c r="L170" s="18">
        <f>IF(ISNUMBER(J170), $B172 * K170, "")</f>
        <v>14423.076923076922</v>
      </c>
      <c r="M170" s="31">
        <v>120</v>
      </c>
      <c r="N170" s="32">
        <f t="shared" si="93"/>
        <v>0.15384615384615385</v>
      </c>
      <c r="O170" s="18">
        <f>IF(ISNUMBER(M170), $B172 * N170, "")</f>
        <v>15384.615384615385</v>
      </c>
      <c r="Q170" s="240"/>
      <c r="R170" s="241"/>
      <c r="S170" s="242"/>
    </row>
    <row r="171" spans="1:19" ht="17.25" thickBot="1">
      <c r="A171" s="130" t="s">
        <v>242</v>
      </c>
      <c r="B171" s="131">
        <v>250</v>
      </c>
      <c r="C171" s="79">
        <v>-0.11032028469999999</v>
      </c>
      <c r="D171" s="24">
        <v>260</v>
      </c>
      <c r="E171" s="25">
        <f t="shared" si="90"/>
        <v>0.04</v>
      </c>
      <c r="F171" s="104">
        <f>IF(ISNUMBER(D171), $B172 * E171, "")</f>
        <v>4000</v>
      </c>
      <c r="G171" s="102">
        <v>257</v>
      </c>
      <c r="H171" s="25">
        <f t="shared" si="91"/>
        <v>2.8000000000000001E-2</v>
      </c>
      <c r="I171" s="103">
        <f>IF(ISNUMBER(G171), $B172 * H171, "")</f>
        <v>2800</v>
      </c>
      <c r="J171" s="24">
        <v>254</v>
      </c>
      <c r="K171" s="25">
        <f t="shared" si="92"/>
        <v>1.6E-2</v>
      </c>
      <c r="L171" s="104">
        <f>IF(ISNUMBER(J171), $B172 * K171, "")</f>
        <v>1600</v>
      </c>
      <c r="M171" s="102">
        <v>262</v>
      </c>
      <c r="N171" s="25">
        <f t="shared" si="93"/>
        <v>4.8000000000000001E-2</v>
      </c>
      <c r="O171" s="104">
        <f>IF(ISNUMBER(M171), $B172 * N171, "")</f>
        <v>4800</v>
      </c>
      <c r="Q171" s="243"/>
      <c r="R171" s="244"/>
      <c r="S171" s="245"/>
    </row>
    <row r="172" spans="1:19" ht="17.25" thickBot="1">
      <c r="A172" s="132" t="s">
        <v>295</v>
      </c>
      <c r="B172" s="304">
        <f>$B$37</f>
        <v>100000</v>
      </c>
      <c r="C172" s="305"/>
      <c r="D172" s="26" t="s">
        <v>296</v>
      </c>
      <c r="E172" s="27">
        <f>IF(COUNT(E152:E171), SUM(E152:E171) / COUNT(E152:E171), 0)</f>
        <v>0.14029380714221806</v>
      </c>
      <c r="F172" s="28">
        <f>SUM(F152:F171)</f>
        <v>280587.61428443616</v>
      </c>
      <c r="G172" s="26" t="s">
        <v>296</v>
      </c>
      <c r="H172" s="27">
        <f>IF(COUNT(H152:H171), SUM(H152:H171) / COUNT(H152:H171), 0)</f>
        <v>0.17178747576304015</v>
      </c>
      <c r="I172" s="28">
        <f>SUM(I152:I171)</f>
        <v>343574.95152608032</v>
      </c>
      <c r="J172" s="26" t="s">
        <v>296</v>
      </c>
      <c r="K172" s="27">
        <f>IF(COUNT(K152:K171), SUM(K152:K171) / COUNT(K152:K171), 0)</f>
        <v>0.13823150453356842</v>
      </c>
      <c r="L172" s="28">
        <f>SUM(L152:L171)</f>
        <v>276463.00906713679</v>
      </c>
      <c r="M172" s="26" t="s">
        <v>296</v>
      </c>
      <c r="N172" s="27">
        <f>IF(COUNT(N152:N171), SUM(N152:N171) / COUNT(N152:N171), 0)</f>
        <v>0.13270122401024573</v>
      </c>
      <c r="O172" s="28">
        <f>SUM(O152:O171)</f>
        <v>265402.4480204914</v>
      </c>
      <c r="Q172" s="246"/>
      <c r="R172" s="247"/>
      <c r="S172" s="248"/>
    </row>
    <row r="174" spans="1:19" ht="17.25" thickBot="1"/>
    <row r="175" spans="1:19" ht="17.25" thickBot="1">
      <c r="A175" s="262" t="s">
        <v>280</v>
      </c>
      <c r="B175" s="263"/>
      <c r="C175" s="263"/>
      <c r="D175" s="263"/>
      <c r="E175" s="263"/>
      <c r="F175" s="263"/>
      <c r="G175" s="263"/>
      <c r="H175" s="263"/>
      <c r="I175" s="263"/>
      <c r="J175" s="263"/>
      <c r="K175" s="263"/>
      <c r="L175" s="263"/>
      <c r="M175" s="263"/>
      <c r="N175" s="263"/>
      <c r="O175" s="264"/>
      <c r="Q175" s="261"/>
      <c r="R175" s="261"/>
      <c r="S175" s="261"/>
    </row>
    <row r="176" spans="1:19" ht="17.25" thickBot="1">
      <c r="A176" s="212" t="s">
        <v>292</v>
      </c>
      <c r="B176" s="262" t="s">
        <v>49</v>
      </c>
      <c r="C176" s="264"/>
      <c r="D176" s="262" t="s">
        <v>58</v>
      </c>
      <c r="E176" s="263"/>
      <c r="F176" s="264"/>
      <c r="G176" s="265">
        <f>_xlfn.IFNA(VLOOKUP(B176, 현재가테이블!$B$2:$D$200, 2, FALSE), "-")</f>
        <v>40538000</v>
      </c>
      <c r="H176" s="266"/>
      <c r="I176" s="267"/>
      <c r="J176" s="262" t="s">
        <v>59</v>
      </c>
      <c r="K176" s="263"/>
      <c r="L176" s="264"/>
      <c r="M176" s="268">
        <f>_xlfn.IFNA(VLOOKUP(B176, 현재가테이블!$B$2:$D$200, 3, FALSE), "-")</f>
        <v>-3.68275993E-2</v>
      </c>
      <c r="N176" s="269"/>
      <c r="O176" s="270"/>
      <c r="Q176" s="261"/>
      <c r="R176" s="261"/>
      <c r="S176" s="261"/>
    </row>
    <row r="177" spans="1:19" ht="17.25" thickBot="1">
      <c r="A177" s="306" t="s">
        <v>55</v>
      </c>
      <c r="B177" s="302" t="str">
        <f>TEXT($G$1, "[$-ko-KR]yyyy-mm-dd(ddd) ") &amp; "오전 00:00"</f>
        <v>2021-06-14(월) 오전 00:00</v>
      </c>
      <c r="C177" s="303"/>
      <c r="D177" s="275" t="str">
        <f>TEXT($G$1, "[$-ko-KR]yyyy-mm-dd(ddd) ") &amp; "오후 14:00"</f>
        <v>2021-06-14(월) 오후 14:00</v>
      </c>
      <c r="E177" s="276"/>
      <c r="F177" s="277"/>
      <c r="G177" s="275" t="str">
        <f>TEXT($G$1, "[$-ko-KR]yyyy-mm-dd(ddd) ") &amp; "오후 19:00"</f>
        <v>2021-06-14(월) 오후 19:00</v>
      </c>
      <c r="H177" s="276"/>
      <c r="I177" s="277"/>
      <c r="J177" s="275" t="str">
        <f>TEXT($G$1, "[$-ko-KR]yyyy-mm-dd(ddd) ") &amp; "오후 21:00"</f>
        <v>2021-06-14(월) 오후 21:00</v>
      </c>
      <c r="K177" s="276"/>
      <c r="L177" s="277"/>
      <c r="M177" s="275" t="str">
        <f>TEXT($G$1+1, "[$-ko-KR]yyyy-mm-dd(ddd) ") &amp; "오전 00:00"</f>
        <v>2021-06-15(화) 오전 00:00</v>
      </c>
      <c r="N177" s="276"/>
      <c r="O177" s="277"/>
      <c r="Q177" s="261"/>
      <c r="R177" s="261"/>
      <c r="S177" s="261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3" t="s">
        <v>58</v>
      </c>
      <c r="H178" s="214" t="s">
        <v>293</v>
      </c>
      <c r="I178" s="21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1"/>
      <c r="R178" s="251"/>
      <c r="S178" s="251"/>
    </row>
    <row r="179" spans="1:19" ht="17.25" thickBot="1">
      <c r="A179" s="161" t="s">
        <v>225</v>
      </c>
      <c r="B179" s="124">
        <v>7.17</v>
      </c>
      <c r="C179" s="76">
        <v>-7.84061697E-2</v>
      </c>
      <c r="D179" s="13">
        <v>7.69</v>
      </c>
      <c r="E179" s="14">
        <f>IF(ISNUMBER(D179), (D179 - $B179) / $B179, "")</f>
        <v>7.252440725244079E-2</v>
      </c>
      <c r="F179" s="16">
        <f>IF(ISNUMBER(D179), $B199 * E179, "")</f>
        <v>7252.4407252440787</v>
      </c>
      <c r="G179" s="29">
        <v>7.84</v>
      </c>
      <c r="H179" s="14">
        <f>IF(ISNUMBER(G179), (G179 - $B179) / $B179, "")</f>
        <v>9.3444909344490928E-2</v>
      </c>
      <c r="I179" s="100">
        <f>IF(ISNUMBER(G179), $B199 * H179, "")</f>
        <v>9344.4909344490934</v>
      </c>
      <c r="J179" s="13">
        <v>7.93</v>
      </c>
      <c r="K179" s="14">
        <f>IF(ISNUMBER(J179), (J179 - $B179) / $B179, "")</f>
        <v>0.10599721059972103</v>
      </c>
      <c r="L179" s="16">
        <f>IF(ISNUMBER(J179), $B199 * K179, "")</f>
        <v>10599.721059972104</v>
      </c>
      <c r="M179" s="29">
        <v>8.17</v>
      </c>
      <c r="N179" s="14">
        <f>IF(ISNUMBER(M179), (M179 - $B179) / $B179, "")</f>
        <v>0.1394700139470014</v>
      </c>
      <c r="O179" s="16">
        <f>IF(ISNUMBER(M179), $B199 * N179, "")</f>
        <v>13947.001394700139</v>
      </c>
      <c r="Q179" s="261"/>
      <c r="R179" s="261"/>
      <c r="S179" s="261"/>
    </row>
    <row r="180" spans="1:19" ht="17.25" thickBot="1">
      <c r="A180" s="162" t="s">
        <v>223</v>
      </c>
      <c r="B180" s="126">
        <v>185</v>
      </c>
      <c r="C180" s="77">
        <v>-7.9601989999999997E-2</v>
      </c>
      <c r="D180" s="15">
        <v>221</v>
      </c>
      <c r="E180" s="32">
        <f t="shared" ref="E180:E183" si="94">IF(ISNUMBER(D180), (D180 - $B180) / $B180, "")</f>
        <v>0.19459459459459461</v>
      </c>
      <c r="F180" s="18">
        <f>IF(ISNUMBER(D180), $B199 * E180, "")</f>
        <v>19459.45945945946</v>
      </c>
      <c r="G180" s="31">
        <v>217</v>
      </c>
      <c r="H180" s="32">
        <f t="shared" ref="H180:H183" si="95">IF(ISNUMBER(G180), (G180 - $B180) / $B180, "")</f>
        <v>0.17297297297297298</v>
      </c>
      <c r="I180" s="101">
        <f>IF(ISNUMBER(G180), $B199 * H180, "")</f>
        <v>17297.297297297297</v>
      </c>
      <c r="J180" s="15">
        <v>219</v>
      </c>
      <c r="K180" s="32">
        <f t="shared" ref="K180:K183" si="96">IF(ISNUMBER(J180), (J180 - $B180) / $B180, "")</f>
        <v>0.18378378378378379</v>
      </c>
      <c r="L180" s="18">
        <f>IF(ISNUMBER(J180), $B199 * K180, "")</f>
        <v>18378.37837837838</v>
      </c>
      <c r="M180" s="31">
        <v>217</v>
      </c>
      <c r="N180" s="32">
        <f t="shared" ref="N180:N183" si="97">IF(ISNUMBER(M180), (M180 - $B180) / $B180, "")</f>
        <v>0.17297297297297298</v>
      </c>
      <c r="O180" s="18">
        <f>IF(ISNUMBER(M180), $B199 * N180, "")</f>
        <v>17297.297297297297</v>
      </c>
      <c r="Q180" s="261"/>
      <c r="R180" s="261"/>
      <c r="S180" s="261"/>
    </row>
    <row r="181" spans="1:19" ht="17.25" thickBot="1">
      <c r="A181" s="162" t="s">
        <v>219</v>
      </c>
      <c r="B181" s="126">
        <v>7.51</v>
      </c>
      <c r="C181" s="77">
        <v>-8.4146341499999999E-2</v>
      </c>
      <c r="D181" s="15">
        <v>8.1999999999999993</v>
      </c>
      <c r="E181" s="32">
        <f t="shared" si="94"/>
        <v>9.1877496671105133E-2</v>
      </c>
      <c r="F181" s="18">
        <f>IF(ISNUMBER(D181), $B199 * E181, "")</f>
        <v>9187.7496671105127</v>
      </c>
      <c r="G181" s="31">
        <v>8.1199999999999992</v>
      </c>
      <c r="H181" s="32">
        <f t="shared" si="95"/>
        <v>8.1225033288947993E-2</v>
      </c>
      <c r="I181" s="101">
        <f>IF(ISNUMBER(G181), $B199 * H181, "")</f>
        <v>8122.5033288947989</v>
      </c>
      <c r="J181" s="15">
        <v>8.0399999999999991</v>
      </c>
      <c r="K181" s="32">
        <f t="shared" si="96"/>
        <v>7.0572569906790866E-2</v>
      </c>
      <c r="L181" s="18">
        <f>IF(ISNUMBER(J181), $B199 * K181, "")</f>
        <v>7057.2569906790868</v>
      </c>
      <c r="M181" s="31">
        <v>8.4</v>
      </c>
      <c r="N181" s="32">
        <f t="shared" si="97"/>
        <v>0.11850865512649808</v>
      </c>
      <c r="O181" s="18">
        <f>IF(ISNUMBER(M181), $B199 * N181, "")</f>
        <v>11850.865512649809</v>
      </c>
      <c r="Q181" s="251"/>
      <c r="R181" s="251"/>
      <c r="S181" s="251"/>
    </row>
    <row r="182" spans="1:19" ht="17.25" thickBot="1">
      <c r="A182" s="162" t="s">
        <v>229</v>
      </c>
      <c r="B182" s="126">
        <v>77.3</v>
      </c>
      <c r="C182" s="77">
        <v>-8.5207100600000002E-2</v>
      </c>
      <c r="D182" s="15">
        <v>100</v>
      </c>
      <c r="E182" s="32">
        <f t="shared" si="94"/>
        <v>0.29366106080206988</v>
      </c>
      <c r="F182" s="18">
        <f>IF(ISNUMBER(D182), $B199 * E182, "")</f>
        <v>29366.106080206988</v>
      </c>
      <c r="G182" s="31">
        <v>98.7</v>
      </c>
      <c r="H182" s="32">
        <f t="shared" si="95"/>
        <v>0.27684346701164303</v>
      </c>
      <c r="I182" s="101">
        <f>IF(ISNUMBER(G182), $B199 * H182, "")</f>
        <v>27684.346701164304</v>
      </c>
      <c r="J182" s="15">
        <v>100</v>
      </c>
      <c r="K182" s="32">
        <f t="shared" si="96"/>
        <v>0.29366106080206988</v>
      </c>
      <c r="L182" s="18">
        <f>IF(ISNUMBER(J182), $B199 * K182, "")</f>
        <v>29366.106080206988</v>
      </c>
      <c r="M182" s="31">
        <v>94.3</v>
      </c>
      <c r="N182" s="32">
        <f t="shared" si="97"/>
        <v>0.21992238033635189</v>
      </c>
      <c r="O182" s="18">
        <f>IF(ISNUMBER(M182), $B199 * N182, "")</f>
        <v>21992.238033635189</v>
      </c>
      <c r="Q182" s="251"/>
      <c r="R182" s="251"/>
      <c r="S182" s="251"/>
    </row>
    <row r="183" spans="1:19" ht="17.25" thickBot="1">
      <c r="A183" s="163" t="s">
        <v>215</v>
      </c>
      <c r="B183" s="128">
        <v>4.8499999999999996</v>
      </c>
      <c r="C183" s="78">
        <v>-8.6629001900000002E-2</v>
      </c>
      <c r="D183" s="20">
        <v>6.81</v>
      </c>
      <c r="E183" s="21">
        <f t="shared" si="94"/>
        <v>0.40412371134020619</v>
      </c>
      <c r="F183" s="22">
        <f>IF(ISNUMBER(D183), $B199 * E183, "")</f>
        <v>40412.371134020621</v>
      </c>
      <c r="G183" s="30">
        <v>7.42</v>
      </c>
      <c r="H183" s="21">
        <f t="shared" si="95"/>
        <v>0.52989690721649496</v>
      </c>
      <c r="I183" s="105">
        <f>IF(ISNUMBER(G183), $B199 * H183, "")</f>
        <v>52989.690721649495</v>
      </c>
      <c r="J183" s="20">
        <v>6.63</v>
      </c>
      <c r="K183" s="21">
        <f t="shared" si="96"/>
        <v>0.3670103092783506</v>
      </c>
      <c r="L183" s="22">
        <f>IF(ISNUMBER(J183), $B199 * K183, "")</f>
        <v>36701.030927835061</v>
      </c>
      <c r="M183" s="30">
        <v>5.8</v>
      </c>
      <c r="N183" s="21">
        <f t="shared" si="97"/>
        <v>0.19587628865979387</v>
      </c>
      <c r="O183" s="22">
        <f>IF(ISNUMBER(M183), $B199 * N183, "")</f>
        <v>19587.628865979386</v>
      </c>
      <c r="Q183" s="251"/>
      <c r="R183" s="251"/>
      <c r="S183" s="251"/>
    </row>
    <row r="184" spans="1:19" ht="17.25" thickBot="1">
      <c r="A184" s="162" t="s">
        <v>206</v>
      </c>
      <c r="B184" s="129">
        <v>84.9</v>
      </c>
      <c r="C184" s="80">
        <v>-8.7096774200000004E-2</v>
      </c>
      <c r="D184" s="106">
        <v>125</v>
      </c>
      <c r="E184" s="107">
        <f>IF(ISNUMBER(D184), (D184 - $B184) / $B184, "")</f>
        <v>0.4723203769140164</v>
      </c>
      <c r="F184" s="108">
        <f>IF(ISNUMBER(D184), $B199 * E184, "")</f>
        <v>47232.037691401638</v>
      </c>
      <c r="G184" s="109">
        <v>131</v>
      </c>
      <c r="H184" s="107">
        <f>IF(ISNUMBER(G184), (G184 - $B184) / $B184, "")</f>
        <v>0.54299175500588914</v>
      </c>
      <c r="I184" s="110">
        <f>IF(ISNUMBER(G184), $B199 * H184, "")</f>
        <v>54299.175500588914</v>
      </c>
      <c r="J184" s="106">
        <v>112</v>
      </c>
      <c r="K184" s="107">
        <f>IF(ISNUMBER(J184), (J184 - $B184) / $B184, "")</f>
        <v>0.31919905771495871</v>
      </c>
      <c r="L184" s="108">
        <f>IF(ISNUMBER(J184), $B199 * K184, "")</f>
        <v>31919.905771495873</v>
      </c>
      <c r="M184" s="109">
        <v>97.8</v>
      </c>
      <c r="N184" s="107">
        <f>IF(ISNUMBER(M184), (M184 - $B184) / $B184, "")</f>
        <v>0.15194346289752639</v>
      </c>
      <c r="O184" s="108">
        <f>IF(ISNUMBER(M184), $B199 * N184, "")</f>
        <v>15194.346289752639</v>
      </c>
      <c r="Q184" s="251"/>
      <c r="R184" s="251"/>
      <c r="S184" s="251"/>
    </row>
    <row r="185" spans="1:19" ht="17.25" thickBot="1">
      <c r="A185" s="162" t="s">
        <v>261</v>
      </c>
      <c r="B185" s="126">
        <v>50.5</v>
      </c>
      <c r="C185" s="77">
        <v>-9.0090090100000006E-2</v>
      </c>
      <c r="D185" s="15">
        <v>51.7</v>
      </c>
      <c r="E185" s="32">
        <f t="shared" ref="E185:E188" si="98">IF(ISNUMBER(D185), (D185 - $B185) / $B185, "")</f>
        <v>2.3762376237623818E-2</v>
      </c>
      <c r="F185" s="18">
        <f>IF(ISNUMBER(D185), $B199 * E185, "")</f>
        <v>2376.2376237623816</v>
      </c>
      <c r="G185" s="31">
        <v>52.2</v>
      </c>
      <c r="H185" s="32">
        <f t="shared" ref="H185:H188" si="99">IF(ISNUMBER(G185), (G185 - $B185) / $B185, "")</f>
        <v>3.3663366336633721E-2</v>
      </c>
      <c r="I185" s="101">
        <f>IF(ISNUMBER(G185), $B199 * H185, "")</f>
        <v>3366.3366336633721</v>
      </c>
      <c r="J185" s="15">
        <v>52.3</v>
      </c>
      <c r="K185" s="32">
        <f t="shared" ref="K185:K188" si="100">IF(ISNUMBER(J185), (J185 - $B185) / $B185, "")</f>
        <v>3.5643564356435585E-2</v>
      </c>
      <c r="L185" s="18">
        <f>IF(ISNUMBER(J185), $B199 * K185, "")</f>
        <v>3564.3564356435586</v>
      </c>
      <c r="M185" s="31">
        <v>54.2</v>
      </c>
      <c r="N185" s="32">
        <f t="shared" ref="N185:N188" si="101">IF(ISNUMBER(M185), (M185 - $B185) / $B185, "")</f>
        <v>7.3267326732673319E-2</v>
      </c>
      <c r="O185" s="18">
        <f>IF(ISNUMBER(M185), $B199 * N185, "")</f>
        <v>7326.7326732673318</v>
      </c>
      <c r="Q185" s="251"/>
      <c r="R185" s="251"/>
      <c r="S185" s="251"/>
    </row>
    <row r="186" spans="1:19" ht="17.25" thickBot="1">
      <c r="A186" s="162" t="s">
        <v>227</v>
      </c>
      <c r="B186" s="126">
        <v>82.3</v>
      </c>
      <c r="C186" s="77">
        <v>-9.0607734800000006E-2</v>
      </c>
      <c r="D186" s="15">
        <v>90.4</v>
      </c>
      <c r="E186" s="32">
        <f t="shared" si="98"/>
        <v>9.8420413122721859E-2</v>
      </c>
      <c r="F186" s="18">
        <f>IF(ISNUMBER(D186), $B199 * E186, "")</f>
        <v>9842.0413122721857</v>
      </c>
      <c r="G186" s="31">
        <v>95.8</v>
      </c>
      <c r="H186" s="32">
        <f t="shared" si="99"/>
        <v>0.16403402187120292</v>
      </c>
      <c r="I186" s="101">
        <f>IF(ISNUMBER(G186), $B199 * H186, "")</f>
        <v>16403.402187120293</v>
      </c>
      <c r="J186" s="15">
        <v>91.7</v>
      </c>
      <c r="K186" s="32">
        <f t="shared" si="100"/>
        <v>0.11421628189550433</v>
      </c>
      <c r="L186" s="18">
        <f>IF(ISNUMBER(J186), $B199 * K186, "")</f>
        <v>11421.628189550433</v>
      </c>
      <c r="M186" s="31">
        <v>93.2</v>
      </c>
      <c r="N186" s="32">
        <f t="shared" si="101"/>
        <v>0.13244228432563798</v>
      </c>
      <c r="O186" s="18">
        <f>IF(ISNUMBER(M186), $B199 * N186, "")</f>
        <v>13244.228432563797</v>
      </c>
      <c r="Q186" s="251"/>
      <c r="R186" s="251"/>
      <c r="S186" s="251"/>
    </row>
    <row r="187" spans="1:19" ht="17.25" thickBot="1">
      <c r="A187" s="162" t="s">
        <v>173</v>
      </c>
      <c r="B187" s="126">
        <v>104</v>
      </c>
      <c r="C187" s="77">
        <v>-9.5652173899999998E-2</v>
      </c>
      <c r="D187" s="15">
        <v>122</v>
      </c>
      <c r="E187" s="32">
        <f t="shared" si="98"/>
        <v>0.17307692307692307</v>
      </c>
      <c r="F187" s="18">
        <f>IF(ISNUMBER(D187), $B199 * E187, "")</f>
        <v>17307.692307692309</v>
      </c>
      <c r="G187" s="31">
        <v>120</v>
      </c>
      <c r="H187" s="32">
        <f t="shared" si="99"/>
        <v>0.15384615384615385</v>
      </c>
      <c r="I187" s="101">
        <f>IF(ISNUMBER(G187), $B199 * H187, "")</f>
        <v>15384.615384615385</v>
      </c>
      <c r="J187" s="15">
        <v>119</v>
      </c>
      <c r="K187" s="32">
        <f t="shared" si="100"/>
        <v>0.14423076923076922</v>
      </c>
      <c r="L187" s="18">
        <f>IF(ISNUMBER(J187), $B199 * K187, "")</f>
        <v>14423.076923076922</v>
      </c>
      <c r="M187" s="31">
        <v>120</v>
      </c>
      <c r="N187" s="32">
        <f t="shared" si="101"/>
        <v>0.15384615384615385</v>
      </c>
      <c r="O187" s="18">
        <f>IF(ISNUMBER(M187), $B199 * N187, "")</f>
        <v>15384.615384615385</v>
      </c>
      <c r="Q187" s="33"/>
      <c r="R187" s="33"/>
    </row>
    <row r="188" spans="1:19" ht="17.25" thickBot="1">
      <c r="A188" s="130" t="s">
        <v>201</v>
      </c>
      <c r="B188" s="131">
        <v>81</v>
      </c>
      <c r="C188" s="79">
        <v>-9.5982142899999998E-2</v>
      </c>
      <c r="D188" s="24">
        <v>89</v>
      </c>
      <c r="E188" s="25">
        <f t="shared" si="98"/>
        <v>9.8765432098765427E-2</v>
      </c>
      <c r="F188" s="104">
        <f>IF(ISNUMBER(D188), $B199 * E188, "")</f>
        <v>9876.5432098765432</v>
      </c>
      <c r="G188" s="102">
        <v>89.6</v>
      </c>
      <c r="H188" s="25">
        <f t="shared" si="99"/>
        <v>0.10617283950617278</v>
      </c>
      <c r="I188" s="103">
        <f>IF(ISNUMBER(G188), $B199 * H188, "")</f>
        <v>10617.283950617277</v>
      </c>
      <c r="J188" s="24">
        <v>88.8</v>
      </c>
      <c r="K188" s="25">
        <f t="shared" si="100"/>
        <v>9.6296296296296255E-2</v>
      </c>
      <c r="L188" s="104">
        <f>IF(ISNUMBER(J188), $B199 * K188, "")</f>
        <v>9629.6296296296259</v>
      </c>
      <c r="M188" s="102">
        <v>91.1</v>
      </c>
      <c r="N188" s="25">
        <f t="shared" si="101"/>
        <v>0.12469135802469129</v>
      </c>
      <c r="O188" s="104">
        <f>IF(ISNUMBER(M188), $B199 * N188, "")</f>
        <v>12469.135802469129</v>
      </c>
      <c r="Q188" s="252"/>
      <c r="R188" s="253"/>
      <c r="S188" s="254"/>
    </row>
    <row r="189" spans="1:19">
      <c r="A189" s="161" t="s">
        <v>259</v>
      </c>
      <c r="B189" s="124">
        <v>72</v>
      </c>
      <c r="C189" s="76">
        <v>-0.1089108911</v>
      </c>
      <c r="D189" s="13">
        <v>73.099999999999994</v>
      </c>
      <c r="E189" s="14">
        <f>IF(ISNUMBER(D189), (D189 - $B189) / $B189, "")</f>
        <v>1.5277777777777699E-2</v>
      </c>
      <c r="F189" s="16">
        <f>IF(ISNUMBER(D189), $B199 * E189, "")</f>
        <v>1527.7777777777699</v>
      </c>
      <c r="G189" s="29">
        <v>74.099999999999994</v>
      </c>
      <c r="H189" s="14">
        <f>IF(ISNUMBER(G189), (G189 - $B189) / $B189, "")</f>
        <v>2.9166666666666587E-2</v>
      </c>
      <c r="I189" s="100">
        <f>IF(ISNUMBER(G189), $B199 * H189, "")</f>
        <v>2916.6666666666588</v>
      </c>
      <c r="J189" s="13">
        <v>73.7</v>
      </c>
      <c r="K189" s="14">
        <f>IF(ISNUMBER(J189), (J189 - $B189) / $B189, "")</f>
        <v>2.3611111111111152E-2</v>
      </c>
      <c r="L189" s="16">
        <f>IF(ISNUMBER(J189), $B199 * K189, "")</f>
        <v>2361.1111111111154</v>
      </c>
      <c r="M189" s="29">
        <v>75.8</v>
      </c>
      <c r="N189" s="14">
        <f>IF(ISNUMBER(M189), (M189 - $B189) / $B189, "")</f>
        <v>5.2777777777777736E-2</v>
      </c>
      <c r="O189" s="16">
        <f>IF(ISNUMBER(M189), $B199 * N189, "")</f>
        <v>5277.7777777777737</v>
      </c>
      <c r="Q189" s="255"/>
      <c r="R189" s="256"/>
      <c r="S189" s="257"/>
    </row>
    <row r="190" spans="1:19" ht="17.25" thickBot="1">
      <c r="A190" s="162" t="s">
        <v>242</v>
      </c>
      <c r="B190" s="126">
        <v>250</v>
      </c>
      <c r="C190" s="77">
        <v>-0.11032028469999999</v>
      </c>
      <c r="D190" s="15">
        <v>260</v>
      </c>
      <c r="E190" s="32">
        <f t="shared" ref="E190:E193" si="102">IF(ISNUMBER(D190), (D190 - $B190) / $B190, "")</f>
        <v>0.04</v>
      </c>
      <c r="F190" s="18">
        <f>IF(ISNUMBER(D190), $B199 * E190, "")</f>
        <v>4000</v>
      </c>
      <c r="G190" s="31">
        <v>257</v>
      </c>
      <c r="H190" s="32">
        <f t="shared" ref="H190:H193" si="103">IF(ISNUMBER(G190), (G190 - $B190) / $B190, "")</f>
        <v>2.8000000000000001E-2</v>
      </c>
      <c r="I190" s="101">
        <f>IF(ISNUMBER(G190), $B199 * H190, "")</f>
        <v>2800</v>
      </c>
      <c r="J190" s="15">
        <v>254</v>
      </c>
      <c r="K190" s="32">
        <f t="shared" ref="K190:K193" si="104">IF(ISNUMBER(J190), (J190 - $B190) / $B190, "")</f>
        <v>1.6E-2</v>
      </c>
      <c r="L190" s="18">
        <f>IF(ISNUMBER(J190), $B199 * K190, "")</f>
        <v>1600</v>
      </c>
      <c r="M190" s="31">
        <v>262</v>
      </c>
      <c r="N190" s="32">
        <f t="shared" ref="N190:N193" si="105">IF(ISNUMBER(M190), (M190 - $B190) / $B190, "")</f>
        <v>4.8000000000000001E-2</v>
      </c>
      <c r="O190" s="18">
        <f>IF(ISNUMBER(M190), $B199 * N190, "")</f>
        <v>4800</v>
      </c>
      <c r="Q190" s="258"/>
      <c r="R190" s="259"/>
      <c r="S190" s="260"/>
    </row>
    <row r="191" spans="1:19" ht="17.25" thickBot="1">
      <c r="A191" s="162" t="s">
        <v>212</v>
      </c>
      <c r="B191" s="126">
        <v>8.2200000000000006</v>
      </c>
      <c r="C191" s="77">
        <v>-0.1103896104</v>
      </c>
      <c r="D191" s="15">
        <v>8.9700000000000006</v>
      </c>
      <c r="E191" s="32">
        <f t="shared" si="102"/>
        <v>9.1240875912408759E-2</v>
      </c>
      <c r="F191" s="18">
        <f>IF(ISNUMBER(D191), $B199 * E191, "")</f>
        <v>9124.0875912408756</v>
      </c>
      <c r="G191" s="31">
        <v>9.1</v>
      </c>
      <c r="H191" s="32">
        <f t="shared" si="103"/>
        <v>0.10705596107055948</v>
      </c>
      <c r="I191" s="101">
        <f>IF(ISNUMBER(G191), $B199 * H191, "")</f>
        <v>10705.596107055948</v>
      </c>
      <c r="J191" s="15">
        <v>9.06</v>
      </c>
      <c r="K191" s="32">
        <f t="shared" si="104"/>
        <v>0.10218978102189778</v>
      </c>
      <c r="L191" s="18">
        <f>IF(ISNUMBER(J191), $B199 * K191, "")</f>
        <v>10218.978102189778</v>
      </c>
      <c r="M191" s="31">
        <v>9.9700000000000006</v>
      </c>
      <c r="N191" s="32">
        <f t="shared" si="105"/>
        <v>0.21289537712895376</v>
      </c>
      <c r="O191" s="18">
        <f>IF(ISNUMBER(M191), $B199 * N191, "")</f>
        <v>21289.537712895377</v>
      </c>
      <c r="Q191" s="251"/>
      <c r="R191" s="251"/>
      <c r="S191" s="251"/>
    </row>
    <row r="192" spans="1:19" ht="17.25" thickBot="1">
      <c r="A192" s="162" t="s">
        <v>208</v>
      </c>
      <c r="B192" s="126">
        <v>75</v>
      </c>
      <c r="C192" s="77">
        <v>-0.11242603549999999</v>
      </c>
      <c r="D192" s="15">
        <v>85.2</v>
      </c>
      <c r="E192" s="32">
        <f t="shared" si="102"/>
        <v>0.13600000000000004</v>
      </c>
      <c r="F192" s="18">
        <f>IF(ISNUMBER(D192), $B199 * E192, "")</f>
        <v>13600.000000000004</v>
      </c>
      <c r="G192" s="31">
        <v>86.2</v>
      </c>
      <c r="H192" s="32">
        <f t="shared" si="103"/>
        <v>0.14933333333333337</v>
      </c>
      <c r="I192" s="101">
        <f>IF(ISNUMBER(G192), $B199 * H192, "")</f>
        <v>14933.333333333338</v>
      </c>
      <c r="J192" s="15">
        <v>83.6</v>
      </c>
      <c r="K192" s="32">
        <f t="shared" si="104"/>
        <v>0.1146666666666666</v>
      </c>
      <c r="L192" s="18">
        <f>IF(ISNUMBER(J192), $B199 * K192, "")</f>
        <v>11466.666666666661</v>
      </c>
      <c r="M192" s="31">
        <v>86.5</v>
      </c>
      <c r="N192" s="32">
        <f t="shared" si="105"/>
        <v>0.15333333333333332</v>
      </c>
      <c r="O192" s="18">
        <f>IF(ISNUMBER(M192), $B199 * N192, "")</f>
        <v>15333.333333333332</v>
      </c>
      <c r="Q192" s="261"/>
      <c r="R192" s="261"/>
      <c r="S192" s="261"/>
    </row>
    <row r="193" spans="1:19" ht="17.25" thickBot="1">
      <c r="A193" s="163" t="s">
        <v>154</v>
      </c>
      <c r="B193" s="128">
        <v>7.54</v>
      </c>
      <c r="C193" s="78">
        <v>-0.12325581400000001</v>
      </c>
      <c r="D193" s="20">
        <v>8.4</v>
      </c>
      <c r="E193" s="21">
        <f t="shared" si="102"/>
        <v>0.11405835543766582</v>
      </c>
      <c r="F193" s="22">
        <f>IF(ISNUMBER(D193), $B199 * E193, "")</f>
        <v>11405.835543766581</v>
      </c>
      <c r="G193" s="30">
        <v>8.3699999999999992</v>
      </c>
      <c r="H193" s="21">
        <f t="shared" si="103"/>
        <v>0.11007957559681687</v>
      </c>
      <c r="I193" s="105">
        <f>IF(ISNUMBER(G193), $B199 * H193, "")</f>
        <v>11007.957559681687</v>
      </c>
      <c r="J193" s="20">
        <v>8.2799999999999994</v>
      </c>
      <c r="K193" s="21">
        <f t="shared" si="104"/>
        <v>9.8143236074270473E-2</v>
      </c>
      <c r="L193" s="22">
        <f>IF(ISNUMBER(J193), $B199 * K193, "")</f>
        <v>9814.323607427048</v>
      </c>
      <c r="M193" s="30">
        <v>8.76</v>
      </c>
      <c r="N193" s="21">
        <f t="shared" si="105"/>
        <v>0.16180371352785142</v>
      </c>
      <c r="O193" s="22">
        <f>IF(ISNUMBER(M193), $B199 * N193, "")</f>
        <v>16180.371352785141</v>
      </c>
      <c r="Q193" s="261"/>
      <c r="R193" s="261"/>
      <c r="S193" s="261"/>
    </row>
    <row r="194" spans="1:19" ht="17.25" thickBot="1">
      <c r="A194" s="162" t="s">
        <v>171</v>
      </c>
      <c r="B194" s="129">
        <v>4.4400000000000004</v>
      </c>
      <c r="C194" s="80">
        <v>-0.14285714290000001</v>
      </c>
      <c r="D194" s="106">
        <v>5.55</v>
      </c>
      <c r="E194" s="107">
        <f>IF(ISNUMBER(D194), (D194 - $B194) / $B194, "")</f>
        <v>0.24999999999999986</v>
      </c>
      <c r="F194" s="108">
        <f>IF(ISNUMBER(D194), $B199 * E194, "")</f>
        <v>24999.999999999985</v>
      </c>
      <c r="G194" s="109">
        <v>6.27</v>
      </c>
      <c r="H194" s="107">
        <f>IF(ISNUMBER(G194), (G194 - $B194) / $B194, "")</f>
        <v>0.41216216216216195</v>
      </c>
      <c r="I194" s="110">
        <f>IF(ISNUMBER(G194), $B199 * H194, "")</f>
        <v>41216.216216216199</v>
      </c>
      <c r="J194" s="106">
        <v>5.45</v>
      </c>
      <c r="K194" s="107">
        <f>IF(ISNUMBER(J194), (J194 - $B194) / $B194, "")</f>
        <v>0.2274774774774774</v>
      </c>
      <c r="L194" s="108">
        <f>IF(ISNUMBER(J194), $B199 * K194, "")</f>
        <v>22747.747747747741</v>
      </c>
      <c r="M194" s="109">
        <v>4.79</v>
      </c>
      <c r="N194" s="107">
        <f>IF(ISNUMBER(M194), (M194 - $B194) / $B194, "")</f>
        <v>7.8828828828828745E-2</v>
      </c>
      <c r="O194" s="108">
        <f>IF(ISNUMBER(M194), $B199 * N194, "")</f>
        <v>7882.8828828828746</v>
      </c>
      <c r="Q194" s="251"/>
      <c r="R194" s="251"/>
      <c r="S194" s="251"/>
    </row>
    <row r="195" spans="1:19" ht="17.25" thickBot="1">
      <c r="A195" s="162" t="s">
        <v>122</v>
      </c>
      <c r="B195" s="126">
        <v>20.8</v>
      </c>
      <c r="C195" s="77">
        <v>-0.15102040820000001</v>
      </c>
      <c r="D195" s="15">
        <v>27.7</v>
      </c>
      <c r="E195" s="32">
        <f t="shared" ref="E195:E198" si="106">IF(ISNUMBER(D195), (D195 - $B195) / $B195, "")</f>
        <v>0.33173076923076916</v>
      </c>
      <c r="F195" s="18">
        <f>IF(ISNUMBER(D195), $B199 * E195, "")</f>
        <v>33173.076923076915</v>
      </c>
      <c r="G195" s="31">
        <v>30.8</v>
      </c>
      <c r="H195" s="32">
        <f t="shared" ref="H195:H198" si="107">IF(ISNUMBER(G195), (G195 - $B195) / $B195, "")</f>
        <v>0.48076923076923073</v>
      </c>
      <c r="I195" s="101">
        <f>IF(ISNUMBER(G195), $B199 * H195, "")</f>
        <v>48076.923076923071</v>
      </c>
      <c r="J195" s="15">
        <v>25.6</v>
      </c>
      <c r="K195" s="32">
        <f t="shared" ref="K195:K198" si="108">IF(ISNUMBER(J195), (J195 - $B195) / $B195, "")</f>
        <v>0.23076923076923078</v>
      </c>
      <c r="L195" s="18">
        <f>IF(ISNUMBER(J195), $B199 * K195, "")</f>
        <v>23076.923076923078</v>
      </c>
      <c r="M195" s="31">
        <v>22.5</v>
      </c>
      <c r="N195" s="32">
        <f t="shared" ref="N195:N198" si="109">IF(ISNUMBER(M195), (M195 - $B195) / $B195, "")</f>
        <v>8.173076923076919E-2</v>
      </c>
      <c r="O195" s="18">
        <f>IF(ISNUMBER(M195), $B199 * N195, "")</f>
        <v>8173.0769230769192</v>
      </c>
      <c r="Q195" s="251"/>
      <c r="R195" s="251"/>
      <c r="S195" s="251"/>
    </row>
    <row r="196" spans="1:19" ht="17.25" thickBot="1">
      <c r="A196" s="162" t="s">
        <v>249</v>
      </c>
      <c r="B196" s="126">
        <v>17.899999999999999</v>
      </c>
      <c r="C196" s="77">
        <v>-0.15165876780000001</v>
      </c>
      <c r="D196" s="15">
        <v>25.2</v>
      </c>
      <c r="E196" s="32">
        <f t="shared" si="106"/>
        <v>0.4078212290502794</v>
      </c>
      <c r="F196" s="18">
        <f>IF(ISNUMBER(D196), $B199 * E196, "")</f>
        <v>40782.122905027943</v>
      </c>
      <c r="G196" s="31">
        <v>26.4</v>
      </c>
      <c r="H196" s="32">
        <f t="shared" si="107"/>
        <v>0.47486033519553078</v>
      </c>
      <c r="I196" s="101">
        <f>IF(ISNUMBER(G196), $B199 * H196, "")</f>
        <v>47486.033519553079</v>
      </c>
      <c r="J196" s="15">
        <v>22.9</v>
      </c>
      <c r="K196" s="32">
        <f t="shared" si="108"/>
        <v>0.27932960893854752</v>
      </c>
      <c r="L196" s="18">
        <f>IF(ISNUMBER(J196), $B199 * K196, "")</f>
        <v>27932.960893854754</v>
      </c>
      <c r="M196" s="31">
        <v>20.6</v>
      </c>
      <c r="N196" s="32">
        <f t="shared" si="109"/>
        <v>0.15083798882681582</v>
      </c>
      <c r="O196" s="18">
        <f>IF(ISNUMBER(M196), $B199 * N196, "")</f>
        <v>15083.798882681582</v>
      </c>
      <c r="Q196" s="251"/>
      <c r="R196" s="251"/>
      <c r="S196" s="251"/>
    </row>
    <row r="197" spans="1:19">
      <c r="A197" s="162" t="s">
        <v>248</v>
      </c>
      <c r="B197" s="126">
        <v>89.9</v>
      </c>
      <c r="C197" s="77">
        <v>-0.15188679250000001</v>
      </c>
      <c r="D197" s="15">
        <v>119</v>
      </c>
      <c r="E197" s="32">
        <f t="shared" si="106"/>
        <v>0.32369299221357056</v>
      </c>
      <c r="F197" s="18">
        <f>IF(ISNUMBER(D197), $B199 * E197, "")</f>
        <v>32369.299221357058</v>
      </c>
      <c r="G197" s="31">
        <v>133</v>
      </c>
      <c r="H197" s="32">
        <f t="shared" si="107"/>
        <v>0.47942157953281417</v>
      </c>
      <c r="I197" s="101">
        <f>IF(ISNUMBER(G197), $B199 * H197, "")</f>
        <v>47942.157953281414</v>
      </c>
      <c r="J197" s="15">
        <v>114</v>
      </c>
      <c r="K197" s="32">
        <f t="shared" si="108"/>
        <v>0.26807563959955499</v>
      </c>
      <c r="L197" s="18">
        <f>IF(ISNUMBER(J197), $B199 * K197, "")</f>
        <v>26807.5639599555</v>
      </c>
      <c r="M197" s="31">
        <v>102</v>
      </c>
      <c r="N197" s="32">
        <f t="shared" si="109"/>
        <v>0.13459399332591762</v>
      </c>
      <c r="O197" s="18">
        <f>IF(ISNUMBER(M197), $B199 * N197, "")</f>
        <v>13459.399332591762</v>
      </c>
      <c r="Q197" s="240"/>
      <c r="R197" s="241"/>
      <c r="S197" s="242"/>
    </row>
    <row r="198" spans="1:19" ht="17.25" thickBot="1">
      <c r="A198" s="130" t="s">
        <v>233</v>
      </c>
      <c r="B198" s="131">
        <v>16.899999999999999</v>
      </c>
      <c r="C198" s="79">
        <v>-0.1633663366</v>
      </c>
      <c r="D198" s="24">
        <v>22</v>
      </c>
      <c r="E198" s="25">
        <f t="shared" si="106"/>
        <v>0.30177514792899418</v>
      </c>
      <c r="F198" s="104">
        <f>IF(ISNUMBER(D198), $B199 * E198, "")</f>
        <v>30177.514792899419</v>
      </c>
      <c r="G198" s="102">
        <v>24.1</v>
      </c>
      <c r="H198" s="25">
        <f t="shared" si="107"/>
        <v>0.42603550295858006</v>
      </c>
      <c r="I198" s="103">
        <f>IF(ISNUMBER(G198), $B199 * H198, "")</f>
        <v>42603.550295858004</v>
      </c>
      <c r="J198" s="24">
        <v>20.8</v>
      </c>
      <c r="K198" s="25">
        <f t="shared" si="108"/>
        <v>0.23076923076923092</v>
      </c>
      <c r="L198" s="104">
        <f>IF(ISNUMBER(J198), $B199 * K198, "")</f>
        <v>23076.923076923093</v>
      </c>
      <c r="M198" s="102">
        <v>18.600000000000001</v>
      </c>
      <c r="N198" s="25">
        <f t="shared" si="109"/>
        <v>0.10059171597633154</v>
      </c>
      <c r="O198" s="104">
        <f>IF(ISNUMBER(M198), $B199 * N198, "")</f>
        <v>10059.171597633154</v>
      </c>
      <c r="Q198" s="243"/>
      <c r="R198" s="244"/>
      <c r="S198" s="245"/>
    </row>
    <row r="199" spans="1:19" ht="17.25" thickBot="1">
      <c r="A199" s="132" t="s">
        <v>295</v>
      </c>
      <c r="B199" s="304">
        <f>$B$37</f>
        <v>100000</v>
      </c>
      <c r="C199" s="305"/>
      <c r="D199" s="26" t="s">
        <v>296</v>
      </c>
      <c r="E199" s="27">
        <f>IF(COUNT(E179:E198), SUM(E179:E198) / COUNT(E179:E198), 0)</f>
        <v>0.19673619698309666</v>
      </c>
      <c r="F199" s="28">
        <f>SUM(F179:F198)</f>
        <v>393472.39396619331</v>
      </c>
      <c r="G199" s="26" t="s">
        <v>296</v>
      </c>
      <c r="H199" s="27">
        <f>IF(COUNT(H179:H198), SUM(H179:H198) / COUNT(H179:H198), 0)</f>
        <v>0.24259878868431484</v>
      </c>
      <c r="I199" s="28">
        <f>SUM(I179:I198)</f>
        <v>485197.57736862963</v>
      </c>
      <c r="J199" s="26" t="s">
        <v>296</v>
      </c>
      <c r="K199" s="27">
        <f>IF(COUNT(K179:K198), SUM(K179:K198) / COUNT(K179:K198), 0)</f>
        <v>0.16608214431463342</v>
      </c>
      <c r="L199" s="28">
        <f>SUM(L179:L198)</f>
        <v>332164.28862926678</v>
      </c>
      <c r="M199" s="26" t="s">
        <v>296</v>
      </c>
      <c r="N199" s="27">
        <f>IF(COUNT(N179:N198), SUM(N179:N198) / COUNT(N179:N198), 0)</f>
        <v>0.13291671974129401</v>
      </c>
      <c r="O199" s="28">
        <f>SUM(O179:O198)</f>
        <v>265833.43948258803</v>
      </c>
      <c r="Q199" s="246"/>
      <c r="R199" s="247"/>
      <c r="S199" s="24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2D07E-3505-45DC-9A1E-A2E31E124D00}">
  <sheetPr codeName="Sheet21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2" t="s">
        <v>0</v>
      </c>
      <c r="B1" s="263"/>
      <c r="C1" s="263"/>
      <c r="D1" s="263"/>
      <c r="E1" s="263"/>
      <c r="F1" s="264"/>
      <c r="G1" s="293">
        <v>44362</v>
      </c>
      <c r="H1" s="294"/>
      <c r="I1" s="295"/>
      <c r="J1" s="262" t="s">
        <v>1</v>
      </c>
      <c r="K1" s="263"/>
      <c r="L1" s="263"/>
      <c r="M1" s="263"/>
      <c r="N1" s="263"/>
      <c r="O1" s="264"/>
      <c r="Q1" s="262" t="s">
        <v>2</v>
      </c>
      <c r="R1" s="264"/>
    </row>
    <row r="2" spans="1:19" ht="17.25" customHeight="1">
      <c r="A2" s="117" t="s">
        <v>3</v>
      </c>
      <c r="B2" s="296" t="s">
        <v>8</v>
      </c>
      <c r="C2" s="297"/>
      <c r="D2" s="297"/>
      <c r="E2" s="297"/>
      <c r="F2" s="298"/>
      <c r="G2" s="290" t="s">
        <v>46</v>
      </c>
      <c r="H2" s="291"/>
      <c r="I2" s="292"/>
      <c r="J2" s="1" t="s">
        <v>3</v>
      </c>
      <c r="K2" s="296" t="s">
        <v>345</v>
      </c>
      <c r="L2" s="297"/>
      <c r="M2" s="297"/>
      <c r="N2" s="297"/>
      <c r="O2" s="298"/>
      <c r="Q2" s="2" t="s">
        <v>6</v>
      </c>
      <c r="R2" s="3">
        <v>0.375</v>
      </c>
    </row>
    <row r="3" spans="1:19" ht="17.25" customHeight="1" thickBot="1">
      <c r="A3" s="118" t="s">
        <v>7</v>
      </c>
      <c r="B3" s="287" t="s">
        <v>353</v>
      </c>
      <c r="C3" s="288"/>
      <c r="D3" s="288"/>
      <c r="E3" s="288"/>
      <c r="F3" s="289"/>
      <c r="G3" s="28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66,059 KRW (3.30%)</v>
      </c>
      <c r="H3" s="284"/>
      <c r="I3" s="285"/>
      <c r="J3" s="4" t="s">
        <v>7</v>
      </c>
      <c r="K3" s="287" t="s">
        <v>346</v>
      </c>
      <c r="L3" s="288"/>
      <c r="M3" s="288"/>
      <c r="N3" s="288"/>
      <c r="O3" s="28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7" t="s">
        <v>16</v>
      </c>
      <c r="C4" s="288"/>
      <c r="D4" s="288"/>
      <c r="E4" s="288"/>
      <c r="F4" s="289"/>
      <c r="G4" s="290" t="s">
        <v>44</v>
      </c>
      <c r="H4" s="291"/>
      <c r="I4" s="292"/>
      <c r="J4" s="4" t="s">
        <v>11</v>
      </c>
      <c r="K4" s="287" t="s">
        <v>347</v>
      </c>
      <c r="L4" s="288"/>
      <c r="M4" s="288"/>
      <c r="N4" s="288"/>
      <c r="O4" s="28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7" t="s">
        <v>344</v>
      </c>
      <c r="C5" s="288"/>
      <c r="D5" s="288"/>
      <c r="E5" s="288"/>
      <c r="F5" s="289"/>
      <c r="G5" s="28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92,008 KRW (4.60%)</v>
      </c>
      <c r="H5" s="284"/>
      <c r="I5" s="285"/>
      <c r="J5" s="4" t="s">
        <v>15</v>
      </c>
      <c r="K5" s="287" t="s">
        <v>348</v>
      </c>
      <c r="L5" s="288"/>
      <c r="M5" s="288"/>
      <c r="N5" s="288"/>
      <c r="O5" s="289"/>
    </row>
    <row r="6" spans="1:19">
      <c r="A6" s="118" t="s">
        <v>18</v>
      </c>
      <c r="B6" s="287"/>
      <c r="C6" s="288"/>
      <c r="D6" s="288"/>
      <c r="E6" s="288"/>
      <c r="F6" s="289"/>
      <c r="G6" s="290" t="s">
        <v>45</v>
      </c>
      <c r="H6" s="291"/>
      <c r="I6" s="292"/>
      <c r="J6" s="4" t="s">
        <v>18</v>
      </c>
      <c r="K6" s="287" t="s">
        <v>349</v>
      </c>
      <c r="L6" s="288"/>
      <c r="M6" s="288"/>
      <c r="N6" s="288"/>
      <c r="O6" s="289"/>
    </row>
    <row r="7" spans="1:19" ht="17.25" thickBot="1">
      <c r="A7" s="118" t="s">
        <v>21</v>
      </c>
      <c r="B7" s="287"/>
      <c r="C7" s="288"/>
      <c r="D7" s="288"/>
      <c r="E7" s="288"/>
      <c r="F7" s="289"/>
      <c r="G7" s="28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382 KRW (0.02%)</v>
      </c>
      <c r="H7" s="284"/>
      <c r="I7" s="285"/>
      <c r="J7" s="4" t="s">
        <v>21</v>
      </c>
      <c r="K7" s="287" t="s">
        <v>350</v>
      </c>
      <c r="L7" s="288"/>
      <c r="M7" s="288"/>
      <c r="N7" s="288"/>
      <c r="O7" s="289"/>
    </row>
    <row r="8" spans="1:19" ht="17.25" thickBot="1">
      <c r="A8" s="118" t="s">
        <v>24</v>
      </c>
      <c r="B8" s="287"/>
      <c r="C8" s="288"/>
      <c r="D8" s="288"/>
      <c r="E8" s="288"/>
      <c r="F8" s="289"/>
      <c r="G8" s="290" t="s">
        <v>280</v>
      </c>
      <c r="H8" s="291"/>
      <c r="I8" s="292"/>
      <c r="J8" s="4" t="s">
        <v>24</v>
      </c>
      <c r="K8" s="287"/>
      <c r="L8" s="288"/>
      <c r="M8" s="288"/>
      <c r="N8" s="288"/>
      <c r="O8" s="289"/>
      <c r="Q8" s="262" t="s">
        <v>27</v>
      </c>
      <c r="R8" s="264"/>
    </row>
    <row r="9" spans="1:19" ht="17.25" thickBot="1">
      <c r="A9" s="118" t="s">
        <v>28</v>
      </c>
      <c r="B9" s="287"/>
      <c r="C9" s="288"/>
      <c r="D9" s="288"/>
      <c r="E9" s="288"/>
      <c r="F9" s="289"/>
      <c r="G9" s="28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-11,662 KRW (-0.58%)</v>
      </c>
      <c r="H9" s="284"/>
      <c r="I9" s="285"/>
      <c r="J9" s="4" t="s">
        <v>28</v>
      </c>
      <c r="K9" s="287"/>
      <c r="L9" s="288"/>
      <c r="M9" s="288"/>
      <c r="N9" s="288"/>
      <c r="O9" s="289"/>
      <c r="Q9" s="2" t="s">
        <v>29</v>
      </c>
      <c r="R9" s="6">
        <v>10</v>
      </c>
    </row>
    <row r="10" spans="1:19">
      <c r="A10" s="118" t="s">
        <v>30</v>
      </c>
      <c r="B10" s="287"/>
      <c r="C10" s="288"/>
      <c r="D10" s="288"/>
      <c r="E10" s="288"/>
      <c r="F10" s="289"/>
      <c r="G10" s="290" t="s">
        <v>47</v>
      </c>
      <c r="H10" s="291"/>
      <c r="I10" s="292"/>
      <c r="J10" s="4" t="s">
        <v>30</v>
      </c>
      <c r="K10" s="287" t="s">
        <v>351</v>
      </c>
      <c r="L10" s="288"/>
      <c r="M10" s="288"/>
      <c r="N10" s="288"/>
      <c r="O10" s="289"/>
      <c r="Q10" s="2" t="s">
        <v>31</v>
      </c>
      <c r="R10" s="6">
        <v>100</v>
      </c>
    </row>
    <row r="11" spans="1:19" ht="17.25" thickBot="1">
      <c r="A11" s="119" t="s">
        <v>32</v>
      </c>
      <c r="B11" s="280" t="s">
        <v>352</v>
      </c>
      <c r="C11" s="281"/>
      <c r="D11" s="281"/>
      <c r="E11" s="281"/>
      <c r="F11" s="282"/>
      <c r="G11" s="28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-6,578 KRW (-0.44%)</v>
      </c>
      <c r="H11" s="284"/>
      <c r="I11" s="285"/>
      <c r="J11" s="7" t="s">
        <v>32</v>
      </c>
      <c r="K11" s="280" t="s">
        <v>343</v>
      </c>
      <c r="L11" s="281"/>
      <c r="M11" s="281"/>
      <c r="N11" s="281"/>
      <c r="O11" s="282"/>
      <c r="Q11" s="65" t="s">
        <v>33</v>
      </c>
      <c r="R11" s="8">
        <v>1000</v>
      </c>
    </row>
    <row r="12" spans="1:19" ht="17.25" thickBot="1"/>
    <row r="13" spans="1:19" ht="17.25" customHeight="1" thickBot="1">
      <c r="A13" s="262" t="s">
        <v>34</v>
      </c>
      <c r="B13" s="263"/>
      <c r="C13" s="263"/>
      <c r="D13" s="263"/>
      <c r="E13" s="263"/>
      <c r="F13" s="263"/>
      <c r="G13" s="263"/>
      <c r="H13" s="263"/>
      <c r="I13" s="263"/>
      <c r="J13" s="263"/>
      <c r="K13" s="263"/>
      <c r="L13" s="263"/>
      <c r="M13" s="263"/>
      <c r="N13" s="263"/>
      <c r="O13" s="264"/>
      <c r="Q13" s="261"/>
      <c r="R13" s="261"/>
      <c r="S13" s="261"/>
    </row>
    <row r="14" spans="1:19" ht="17.25" customHeight="1" thickBot="1">
      <c r="A14" s="216" t="s">
        <v>35</v>
      </c>
      <c r="B14" s="262" t="s">
        <v>36</v>
      </c>
      <c r="C14" s="264"/>
      <c r="D14" s="262" t="s">
        <v>37</v>
      </c>
      <c r="E14" s="263"/>
      <c r="F14" s="264"/>
      <c r="G14" s="265">
        <f>_xlfn.IFNA(VLOOKUP(B14, 현재가테이블!$B$2:$D$200, 2, FALSE), "-")</f>
        <v>40538000</v>
      </c>
      <c r="H14" s="266"/>
      <c r="I14" s="267"/>
      <c r="J14" s="262" t="s">
        <v>38</v>
      </c>
      <c r="K14" s="263"/>
      <c r="L14" s="264"/>
      <c r="M14" s="268">
        <f>_xlfn.IFNA(VLOOKUP(B14, 현재가테이블!$B$2:$D$200, 3, FALSE), "-")</f>
        <v>-3.68275993E-2</v>
      </c>
      <c r="N14" s="269"/>
      <c r="O14" s="270"/>
      <c r="Q14" s="261"/>
      <c r="R14" s="261"/>
      <c r="S14" s="261"/>
    </row>
    <row r="15" spans="1:19" ht="17.25" customHeight="1" thickBot="1">
      <c r="A15" s="299" t="s">
        <v>39</v>
      </c>
      <c r="B15" s="300" t="str">
        <f>TEXT($G$1, "[$-ko-KR]yyyy-mm-dd(ddd) ") &amp; "오전 00:00"</f>
        <v>2021-06-15(화) 오전 00:00</v>
      </c>
      <c r="C15" s="301"/>
      <c r="D15" s="275" t="str">
        <f>TEXT($G$1, "[$-ko-KR]yyyy-mm-dd(ddd) ") &amp; "오후 14:00"</f>
        <v>2021-06-15(화) 오후 14:00</v>
      </c>
      <c r="E15" s="276"/>
      <c r="F15" s="277"/>
      <c r="G15" s="275" t="str">
        <f>TEXT($G$1, "[$-ko-KR]yyyy-mm-dd(ddd) ") &amp; "오후 19:00"</f>
        <v>2021-06-15(화) 오후 19:00</v>
      </c>
      <c r="H15" s="276"/>
      <c r="I15" s="277"/>
      <c r="J15" s="275" t="str">
        <f>TEXT($G$1, "[$-ko-KR]yyyy-mm-dd(ddd) ") &amp; "오후 21:00"</f>
        <v>2021-06-15(화) 오후 21:00</v>
      </c>
      <c r="K15" s="276"/>
      <c r="L15" s="277"/>
      <c r="M15" s="275" t="str">
        <f>TEXT($G$1+1, "[$-ko-KR]yyyy-mm-dd(ddd) ") &amp; "오전 00:00"</f>
        <v>2021-06-16(수) 오전 00:00</v>
      </c>
      <c r="N15" s="276"/>
      <c r="O15" s="277"/>
      <c r="Q15" s="261"/>
      <c r="R15" s="261"/>
      <c r="S15" s="261"/>
    </row>
    <row r="16" spans="1:19" ht="17.25" customHeight="1" thickBot="1">
      <c r="A16" s="29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7" t="s">
        <v>37</v>
      </c>
      <c r="H16" s="218" t="s">
        <v>40</v>
      </c>
      <c r="I16" s="2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81.400000000000006</v>
      </c>
      <c r="C17" s="76">
        <f>IF(NOT(ISBLANK(_xlfn.IFNA(VLOOKUP($A17, $A$40:$O$199, 3, FALSE), ))), _xlfn.IFNA(VLOOKUP($A17, $A$40:$O$199, 3, FALSE), ), "")</f>
        <v>4.0920716099999997E-2</v>
      </c>
      <c r="D17" s="13">
        <f>IF(NOT(ISBLANK(_xlfn.IFNA(VLOOKUP($A17, $A$40:$O$199, 4, FALSE), ))), _xlfn.IFNA(VLOOKUP($A17, $A$40:$O$199, 4, FALSE), ), "")</f>
        <v>81.400000000000006</v>
      </c>
      <c r="E17" s="14">
        <f>IF(NOT(ISBLANK(_xlfn.IFNA(VLOOKUP($A17, $A$40:$O$199, 5, FALSE), ))), _xlfn.IFNA(VLOOKUP($A17, $A$40:$O$199, 5, FALSE), ), "")</f>
        <v>0</v>
      </c>
      <c r="F17" s="16">
        <f>IF(NOT(ISBLANK(_xlfn.IFNA(VLOOKUP($A17, $A$40:$O$199, 6, FALSE), ))), _xlfn.IFNA(VLOOKUP($A17, $A$40:$O$199, 6, FALSE), ), "")</f>
        <v>0</v>
      </c>
      <c r="G17" s="29">
        <f>IF(NOT(ISBLANK(_xlfn.IFNA(VLOOKUP($A17, $A$40:$O$199, 7, FALSE), ))), _xlfn.IFNA(VLOOKUP($A17, $A$40:$O$199, 7, FALSE), ), "")</f>
        <v>81</v>
      </c>
      <c r="H17" s="14">
        <f>IF(NOT(ISBLANK(_xlfn.IFNA(VLOOKUP($A17, $A$40:$O$199, 8, FALSE), ))), _xlfn.IFNA(VLOOKUP($A17, $A$40:$O$199, 8, FALSE), ), "")</f>
        <v>-4.9140049140049833E-3</v>
      </c>
      <c r="I17" s="100">
        <f>IF(NOT(ISBLANK(_xlfn.IFNA(VLOOKUP($A17, $A$40:$O$199, 9, FALSE), ))), _xlfn.IFNA(VLOOKUP($A17, $A$40:$O$199, 9, FALSE), ), "")</f>
        <v>-491.40049140049831</v>
      </c>
      <c r="J17" s="13">
        <f>IF(NOT(ISBLANK(_xlfn.IFNA(VLOOKUP($A17, $A$40:$O$199, 10, FALSE), ))), _xlfn.IFNA(VLOOKUP($A17, $A$40:$O$199, 10, FALSE), ), "")</f>
        <v>80.900000000000006</v>
      </c>
      <c r="K17" s="14">
        <f>IF(NOT(ISBLANK(_xlfn.IFNA(VLOOKUP($A17, $A$40:$O$199, 11, FALSE), ))), _xlfn.IFNA(VLOOKUP($A17, $A$40:$O$199, 11, FALSE), ), "")</f>
        <v>-6.1425061425061421E-3</v>
      </c>
      <c r="L17" s="16">
        <f>IF(NOT(ISBLANK(_xlfn.IFNA(VLOOKUP($A17, $A$40:$O$199, 12, FALSE), ))), _xlfn.IFNA(VLOOKUP($A17, $A$40:$O$199, 12, FALSE), ), "")</f>
        <v>-614.25061425061426</v>
      </c>
      <c r="M17" s="29">
        <f>IF(NOT(ISBLANK(_xlfn.IFNA(VLOOKUP($A17, $A$40:$O$199, 13, FALSE), ))), _xlfn.IFNA(VLOOKUP($A17, $A$40:$O$199, 13, FALSE), ), "")</f>
        <v>80.5</v>
      </c>
      <c r="N17" s="14">
        <f>IF(NOT(ISBLANK(_xlfn.IFNA(VLOOKUP($A17, $A$40:$O$199, 14, FALSE), ))), _xlfn.IFNA(VLOOKUP($A17, $A$40:$O$199, 14, FALSE), ), "")</f>
        <v>-1.1056511056511125E-2</v>
      </c>
      <c r="O17" s="16">
        <f>IF(NOT(ISBLANK(_xlfn.IFNA(VLOOKUP($A17, $A$40:$O$199, 15, FALSE), ))), _xlfn.IFNA(VLOOKUP($A17, $A$40:$O$199, 15, FALSE), ), "")</f>
        <v>-1105.6511056511126</v>
      </c>
      <c r="Q17" s="261"/>
      <c r="R17" s="261"/>
      <c r="S17" s="26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56.5</v>
      </c>
      <c r="C18" s="77">
        <f t="shared" ref="C18:C36" si="1">IF(NOT(ISBLANK(_xlfn.IFNA(VLOOKUP($A18, $A$40:$O$199, 3, FALSE), ))), _xlfn.IFNA(VLOOKUP($A18, $A$40:$O$199, 3, FALSE), ), "")</f>
        <v>1.9855595699999999E-2</v>
      </c>
      <c r="D18" s="15">
        <f t="shared" ref="D18:D36" si="2">IF(NOT(ISBLANK(_xlfn.IFNA(VLOOKUP($A18, $A$40:$O$199, 4, FALSE), ))), _xlfn.IFNA(VLOOKUP($A18, $A$40:$O$199, 4, FALSE), ), "")</f>
        <v>56.1</v>
      </c>
      <c r="E18" s="32">
        <f t="shared" ref="E18:E36" si="3">IF(NOT(ISBLANK(_xlfn.IFNA(VLOOKUP($A18, $A$40:$O$199, 5, FALSE), ))), _xlfn.IFNA(VLOOKUP($A18, $A$40:$O$199, 5, FALSE), ), "")</f>
        <v>-7.0796460176990898E-3</v>
      </c>
      <c r="F18" s="18">
        <f t="shared" ref="F18:F36" si="4">IF(NOT(ISBLANK(_xlfn.IFNA(VLOOKUP($A18, $A$40:$O$199, 6, FALSE), ))), _xlfn.IFNA(VLOOKUP($A18, $A$40:$O$199, 6, FALSE), ), "")</f>
        <v>-707.964601769909</v>
      </c>
      <c r="G18" s="31">
        <f t="shared" ref="G18:G36" si="5">IF(NOT(ISBLANK(_xlfn.IFNA(VLOOKUP($A18, $A$40:$O$199, 7, FALSE), ))), _xlfn.IFNA(VLOOKUP($A18, $A$40:$O$199, 7, FALSE), ), "")</f>
        <v>59.4</v>
      </c>
      <c r="H18" s="32">
        <f t="shared" ref="H18:H36" si="6">IF(NOT(ISBLANK(_xlfn.IFNA(VLOOKUP($A18, $A$40:$O$199, 8, FALSE), ))), _xlfn.IFNA(VLOOKUP($A18, $A$40:$O$199, 8, FALSE), ), "")</f>
        <v>5.1327433628318556E-2</v>
      </c>
      <c r="I18" s="101">
        <f t="shared" ref="I18:I36" si="7">IF(NOT(ISBLANK(_xlfn.IFNA(VLOOKUP($A18, $A$40:$O$199, 9, FALSE), ))), _xlfn.IFNA(VLOOKUP($A18, $A$40:$O$199, 9, FALSE), ), "")</f>
        <v>5132.7433628318558</v>
      </c>
      <c r="J18" s="15">
        <f t="shared" ref="J18:J36" si="8">IF(NOT(ISBLANK(_xlfn.IFNA(VLOOKUP($A18, $A$40:$O$199, 10, FALSE), ))), _xlfn.IFNA(VLOOKUP($A18, $A$40:$O$199, 10, FALSE), ), "")</f>
        <v>58.8</v>
      </c>
      <c r="K18" s="32">
        <f t="shared" ref="K18:K36" si="9">IF(NOT(ISBLANK(_xlfn.IFNA(VLOOKUP($A18, $A$40:$O$199, 11, FALSE), ))), _xlfn.IFNA(VLOOKUP($A18, $A$40:$O$199, 11, FALSE), ), "")</f>
        <v>4.0707964601769862E-2</v>
      </c>
      <c r="L18" s="18">
        <f t="shared" ref="L18:L36" si="10">IF(NOT(ISBLANK(_xlfn.IFNA(VLOOKUP($A18, $A$40:$O$199, 12, FALSE), ))), _xlfn.IFNA(VLOOKUP($A18, $A$40:$O$199, 12, FALSE), ), "")</f>
        <v>4070.7964601769863</v>
      </c>
      <c r="M18" s="31">
        <f t="shared" ref="M18:M36" si="11">IF(NOT(ISBLANK(_xlfn.IFNA(VLOOKUP($A18, $A$40:$O$199, 13, FALSE), ))), _xlfn.IFNA(VLOOKUP($A18, $A$40:$O$199, 13, FALSE), ), "")</f>
        <v>58.2</v>
      </c>
      <c r="N18" s="32">
        <f t="shared" ref="N18:N36" si="12">IF(NOT(ISBLANK(_xlfn.IFNA(VLOOKUP($A18, $A$40:$O$199, 14, FALSE), ))), _xlfn.IFNA(VLOOKUP($A18, $A$40:$O$199, 14, FALSE), ), "")</f>
        <v>3.0088495575221291E-2</v>
      </c>
      <c r="O18" s="18">
        <f t="shared" ref="O18:O36" si="13">IF(NOT(ISBLANK(_xlfn.IFNA(VLOOKUP($A18, $A$40:$O$199, 15, FALSE), ))), _xlfn.IFNA(VLOOKUP($A18, $A$40:$O$199, 15, FALSE), ), "")</f>
        <v>3008.8495575221291</v>
      </c>
      <c r="Q18" s="261"/>
      <c r="R18" s="261"/>
      <c r="S18" s="261"/>
    </row>
    <row r="19" spans="1:19" ht="17.25" customHeight="1" thickBot="1">
      <c r="A19" s="162" t="s">
        <v>201</v>
      </c>
      <c r="B19" s="126">
        <f t="shared" si="0"/>
        <v>91.1</v>
      </c>
      <c r="C19" s="77">
        <f t="shared" si="1"/>
        <v>1.2222222200000001E-2</v>
      </c>
      <c r="D19" s="15">
        <f t="shared" si="2"/>
        <v>89.3</v>
      </c>
      <c r="E19" s="32">
        <f t="shared" si="3"/>
        <v>-1.9758507135016437E-2</v>
      </c>
      <c r="F19" s="18">
        <f t="shared" si="4"/>
        <v>-1975.8507135016437</v>
      </c>
      <c r="G19" s="31">
        <f t="shared" si="5"/>
        <v>90.9</v>
      </c>
      <c r="H19" s="32">
        <f t="shared" si="6"/>
        <v>-2.1953896816683713E-3</v>
      </c>
      <c r="I19" s="101">
        <f t="shared" si="7"/>
        <v>-219.53896816683712</v>
      </c>
      <c r="J19" s="15">
        <f t="shared" si="8"/>
        <v>90.5</v>
      </c>
      <c r="K19" s="32">
        <f t="shared" si="9"/>
        <v>-6.5861690450054267E-3</v>
      </c>
      <c r="L19" s="18">
        <f t="shared" si="10"/>
        <v>-658.61690450054266</v>
      </c>
      <c r="M19" s="31">
        <f t="shared" si="11"/>
        <v>90</v>
      </c>
      <c r="N19" s="32">
        <f t="shared" si="12"/>
        <v>-1.2074643249176667E-2</v>
      </c>
      <c r="O19" s="18">
        <f t="shared" si="13"/>
        <v>-1207.4643249176668</v>
      </c>
      <c r="Q19" s="251"/>
      <c r="R19" s="251"/>
      <c r="S19" s="251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136</v>
      </c>
      <c r="E20" s="32">
        <f t="shared" si="3"/>
        <v>-2.1582733812949641E-2</v>
      </c>
      <c r="F20" s="18">
        <f t="shared" si="4"/>
        <v>-2158.2733812949641</v>
      </c>
      <c r="G20" s="31">
        <f t="shared" si="5"/>
        <v>136</v>
      </c>
      <c r="H20" s="32">
        <f t="shared" si="6"/>
        <v>-2.1582733812949641E-2</v>
      </c>
      <c r="I20" s="101">
        <f t="shared" si="7"/>
        <v>-2158.2733812949641</v>
      </c>
      <c r="J20" s="15">
        <f t="shared" si="8"/>
        <v>136</v>
      </c>
      <c r="K20" s="32">
        <f t="shared" si="9"/>
        <v>-2.1582733812949641E-2</v>
      </c>
      <c r="L20" s="18">
        <f t="shared" si="10"/>
        <v>-2158.2733812949641</v>
      </c>
      <c r="M20" s="31">
        <f t="shared" si="11"/>
        <v>135</v>
      </c>
      <c r="N20" s="32">
        <f t="shared" si="12"/>
        <v>-2.8776978417266189E-2</v>
      </c>
      <c r="O20" s="18">
        <f t="shared" si="13"/>
        <v>-2877.6978417266187</v>
      </c>
      <c r="Q20" s="251"/>
      <c r="R20" s="251"/>
      <c r="S20" s="251"/>
    </row>
    <row r="21" spans="1:19" ht="17.25" customHeight="1" thickBot="1">
      <c r="A21" s="163" t="s">
        <v>242</v>
      </c>
      <c r="B21" s="128">
        <f t="shared" si="0"/>
        <v>262</v>
      </c>
      <c r="C21" s="78">
        <f t="shared" si="1"/>
        <v>-2.9629629599999999E-2</v>
      </c>
      <c r="D21" s="20">
        <f t="shared" si="2"/>
        <v>257</v>
      </c>
      <c r="E21" s="21">
        <f t="shared" si="3"/>
        <v>-1.9083969465648856E-2</v>
      </c>
      <c r="F21" s="22">
        <f t="shared" si="4"/>
        <v>-1908.3969465648856</v>
      </c>
      <c r="G21" s="30">
        <f t="shared" si="5"/>
        <v>259</v>
      </c>
      <c r="H21" s="21">
        <f t="shared" si="6"/>
        <v>-1.1450381679389313E-2</v>
      </c>
      <c r="I21" s="105">
        <f t="shared" si="7"/>
        <v>-1145.0381679389313</v>
      </c>
      <c r="J21" s="20">
        <f t="shared" si="8"/>
        <v>260</v>
      </c>
      <c r="K21" s="21">
        <f t="shared" si="9"/>
        <v>-7.6335877862595417E-3</v>
      </c>
      <c r="L21" s="22">
        <f t="shared" si="10"/>
        <v>-763.35877862595419</v>
      </c>
      <c r="M21" s="30">
        <f t="shared" si="11"/>
        <v>261</v>
      </c>
      <c r="N21" s="21">
        <f t="shared" si="12"/>
        <v>-3.8167938931297708E-3</v>
      </c>
      <c r="O21" s="22">
        <f t="shared" si="13"/>
        <v>-381.67938931297709</v>
      </c>
      <c r="Q21" s="251"/>
      <c r="R21" s="251"/>
      <c r="S21" s="251"/>
    </row>
    <row r="22" spans="1:19" ht="17.25" customHeight="1" thickBot="1">
      <c r="A22" s="162" t="s">
        <v>229</v>
      </c>
      <c r="B22" s="129">
        <f t="shared" si="0"/>
        <v>94.3</v>
      </c>
      <c r="C22" s="80">
        <f t="shared" si="1"/>
        <v>0.1107184923</v>
      </c>
      <c r="D22" s="106">
        <f t="shared" si="2"/>
        <v>93.4</v>
      </c>
      <c r="E22" s="107">
        <f t="shared" si="3"/>
        <v>-9.544008483563007E-3</v>
      </c>
      <c r="F22" s="108">
        <f t="shared" si="4"/>
        <v>-954.40084835630068</v>
      </c>
      <c r="G22" s="109">
        <f t="shared" si="5"/>
        <v>93</v>
      </c>
      <c r="H22" s="107">
        <f t="shared" si="6"/>
        <v>-1.3785790031813332E-2</v>
      </c>
      <c r="I22" s="110">
        <f t="shared" si="7"/>
        <v>-1378.5790031813333</v>
      </c>
      <c r="J22" s="106">
        <f t="shared" si="8"/>
        <v>92.8</v>
      </c>
      <c r="K22" s="107">
        <f t="shared" si="9"/>
        <v>-1.5906680805938496E-2</v>
      </c>
      <c r="L22" s="108">
        <f t="shared" si="10"/>
        <v>-1590.6680805938495</v>
      </c>
      <c r="M22" s="109">
        <f t="shared" si="11"/>
        <v>92.6</v>
      </c>
      <c r="N22" s="107">
        <f t="shared" si="12"/>
        <v>-1.8027571580063656E-2</v>
      </c>
      <c r="O22" s="108">
        <f t="shared" si="13"/>
        <v>-1802.7571580063657</v>
      </c>
      <c r="Q22" s="251"/>
      <c r="R22" s="251"/>
      <c r="S22" s="251"/>
    </row>
    <row r="23" spans="1:19" ht="17.25" customHeight="1" thickBot="1">
      <c r="A23" s="162" t="s">
        <v>160</v>
      </c>
      <c r="B23" s="126">
        <f t="shared" si="0"/>
        <v>1650</v>
      </c>
      <c r="C23" s="77">
        <f t="shared" si="1"/>
        <v>9.6345515000000007E-2</v>
      </c>
      <c r="D23" s="15">
        <f t="shared" si="2"/>
        <v>1665</v>
      </c>
      <c r="E23" s="32">
        <f t="shared" si="3"/>
        <v>9.0909090909090905E-3</v>
      </c>
      <c r="F23" s="18">
        <f t="shared" si="4"/>
        <v>909.09090909090901</v>
      </c>
      <c r="G23" s="31">
        <f t="shared" si="5"/>
        <v>1610</v>
      </c>
      <c r="H23" s="32">
        <f t="shared" si="6"/>
        <v>-2.4242424242424242E-2</v>
      </c>
      <c r="I23" s="101">
        <f t="shared" si="7"/>
        <v>-2424.242424242424</v>
      </c>
      <c r="J23" s="15">
        <f t="shared" si="8"/>
        <v>1600</v>
      </c>
      <c r="K23" s="32">
        <f t="shared" si="9"/>
        <v>-3.0303030303030304E-2</v>
      </c>
      <c r="L23" s="18">
        <f t="shared" si="10"/>
        <v>-3030.3030303030305</v>
      </c>
      <c r="M23" s="31">
        <f t="shared" si="11"/>
        <v>1590</v>
      </c>
      <c r="N23" s="32">
        <f t="shared" si="12"/>
        <v>-3.6363636363636362E-2</v>
      </c>
      <c r="O23" s="18">
        <f t="shared" si="13"/>
        <v>-3636.363636363636</v>
      </c>
      <c r="Q23" s="251"/>
      <c r="R23" s="251"/>
      <c r="S23" s="251"/>
    </row>
    <row r="24" spans="1:19" ht="17.25" customHeight="1" thickBot="1">
      <c r="A24" s="162" t="s">
        <v>126</v>
      </c>
      <c r="B24" s="126">
        <f t="shared" si="0"/>
        <v>26.3</v>
      </c>
      <c r="C24" s="77">
        <f t="shared" si="1"/>
        <v>7.3469387799999994E-2</v>
      </c>
      <c r="D24" s="15">
        <f t="shared" si="2"/>
        <v>26.4</v>
      </c>
      <c r="E24" s="32">
        <f t="shared" si="3"/>
        <v>3.8022813688212117E-3</v>
      </c>
      <c r="F24" s="18">
        <f t="shared" si="4"/>
        <v>380.22813688212119</v>
      </c>
      <c r="G24" s="31">
        <f t="shared" si="5"/>
        <v>26.1</v>
      </c>
      <c r="H24" s="32">
        <f t="shared" si="6"/>
        <v>-7.6045627376425586E-3</v>
      </c>
      <c r="I24" s="101">
        <f t="shared" si="7"/>
        <v>-760.45627376425591</v>
      </c>
      <c r="J24" s="15">
        <f t="shared" si="8"/>
        <v>26.2</v>
      </c>
      <c r="K24" s="32">
        <f t="shared" si="9"/>
        <v>-3.8022813688213465E-3</v>
      </c>
      <c r="L24" s="18">
        <f t="shared" si="10"/>
        <v>-380.22813688213466</v>
      </c>
      <c r="M24" s="31">
        <f t="shared" si="11"/>
        <v>25.4</v>
      </c>
      <c r="N24" s="32">
        <f t="shared" si="12"/>
        <v>-3.4220532319391712E-2</v>
      </c>
      <c r="O24" s="18">
        <f t="shared" si="13"/>
        <v>-3422.0532319391714</v>
      </c>
      <c r="Q24" s="251"/>
      <c r="R24" s="251"/>
      <c r="S24" s="251"/>
    </row>
    <row r="25" spans="1:19" ht="17.25" customHeight="1" thickBot="1">
      <c r="A25" s="162" t="s">
        <v>150</v>
      </c>
      <c r="B25" s="126">
        <f t="shared" si="0"/>
        <v>2340</v>
      </c>
      <c r="C25" s="77">
        <f t="shared" si="1"/>
        <v>6.8493150700000005E-2</v>
      </c>
      <c r="D25" s="15">
        <f t="shared" si="2"/>
        <v>2415</v>
      </c>
      <c r="E25" s="32">
        <f t="shared" si="3"/>
        <v>3.2051282051282048E-2</v>
      </c>
      <c r="F25" s="18">
        <f t="shared" si="4"/>
        <v>3205.1282051282046</v>
      </c>
      <c r="G25" s="31">
        <f t="shared" si="5"/>
        <v>2450</v>
      </c>
      <c r="H25" s="32">
        <f t="shared" si="6"/>
        <v>4.7008547008547008E-2</v>
      </c>
      <c r="I25" s="101">
        <f t="shared" si="7"/>
        <v>4700.8547008547012</v>
      </c>
      <c r="J25" s="15">
        <f t="shared" si="8"/>
        <v>2430</v>
      </c>
      <c r="K25" s="32">
        <f t="shared" si="9"/>
        <v>3.8461538461538464E-2</v>
      </c>
      <c r="L25" s="18">
        <f t="shared" si="10"/>
        <v>3846.1538461538462</v>
      </c>
      <c r="M25" s="31">
        <f t="shared" si="11"/>
        <v>2400</v>
      </c>
      <c r="N25" s="32">
        <f t="shared" si="12"/>
        <v>2.564102564102564E-2</v>
      </c>
      <c r="O25" s="18">
        <f t="shared" si="13"/>
        <v>2564.102564102564</v>
      </c>
      <c r="Q25" s="33"/>
      <c r="R25" s="33"/>
    </row>
    <row r="26" spans="1:19" ht="17.25" customHeight="1" thickBot="1">
      <c r="A26" s="130" t="s">
        <v>223</v>
      </c>
      <c r="B26" s="131">
        <f t="shared" si="0"/>
        <v>217</v>
      </c>
      <c r="C26" s="79">
        <f t="shared" si="1"/>
        <v>6.3725490199999998E-2</v>
      </c>
      <c r="D26" s="24">
        <f t="shared" si="2"/>
        <v>218</v>
      </c>
      <c r="E26" s="25">
        <f t="shared" si="3"/>
        <v>4.608294930875576E-3</v>
      </c>
      <c r="F26" s="104">
        <f t="shared" si="4"/>
        <v>460.82949308755758</v>
      </c>
      <c r="G26" s="102">
        <f t="shared" si="5"/>
        <v>215</v>
      </c>
      <c r="H26" s="25">
        <f t="shared" si="6"/>
        <v>-9.2165898617511521E-3</v>
      </c>
      <c r="I26" s="103">
        <f t="shared" si="7"/>
        <v>-921.65898617511516</v>
      </c>
      <c r="J26" s="24">
        <f t="shared" si="8"/>
        <v>217</v>
      </c>
      <c r="K26" s="25">
        <f t="shared" si="9"/>
        <v>0</v>
      </c>
      <c r="L26" s="104">
        <f t="shared" si="10"/>
        <v>0</v>
      </c>
      <c r="M26" s="102">
        <f t="shared" si="11"/>
        <v>216</v>
      </c>
      <c r="N26" s="25">
        <f t="shared" si="12"/>
        <v>-4.608294930875576E-3</v>
      </c>
      <c r="O26" s="104">
        <f t="shared" si="13"/>
        <v>-460.82949308755758</v>
      </c>
      <c r="Q26" s="252"/>
      <c r="R26" s="253"/>
      <c r="S26" s="254"/>
    </row>
    <row r="27" spans="1:19" ht="17.25" customHeight="1">
      <c r="A27" s="161" t="s">
        <v>221</v>
      </c>
      <c r="B27" s="124">
        <f t="shared" si="0"/>
        <v>1170</v>
      </c>
      <c r="C27" s="76">
        <f t="shared" si="1"/>
        <v>5.8823529399999998E-2</v>
      </c>
      <c r="D27" s="13">
        <f t="shared" si="2"/>
        <v>1160</v>
      </c>
      <c r="E27" s="14">
        <f t="shared" si="3"/>
        <v>-8.5470085470085479E-3</v>
      </c>
      <c r="F27" s="16">
        <f t="shared" si="4"/>
        <v>-854.70085470085473</v>
      </c>
      <c r="G27" s="29">
        <f t="shared" si="5"/>
        <v>1165</v>
      </c>
      <c r="H27" s="14">
        <f t="shared" si="6"/>
        <v>-4.2735042735042739E-3</v>
      </c>
      <c r="I27" s="100">
        <f t="shared" si="7"/>
        <v>-427.35042735042737</v>
      </c>
      <c r="J27" s="13">
        <f t="shared" si="8"/>
        <v>1170</v>
      </c>
      <c r="K27" s="14">
        <f t="shared" si="9"/>
        <v>0</v>
      </c>
      <c r="L27" s="16">
        <f t="shared" si="10"/>
        <v>0</v>
      </c>
      <c r="M27" s="29">
        <f t="shared" si="11"/>
        <v>1160</v>
      </c>
      <c r="N27" s="14">
        <f t="shared" si="12"/>
        <v>-8.5470085470085479E-3</v>
      </c>
      <c r="O27" s="16">
        <f t="shared" si="13"/>
        <v>-854.70085470085473</v>
      </c>
      <c r="Q27" s="255"/>
      <c r="R27" s="256"/>
      <c r="S27" s="257"/>
    </row>
    <row r="28" spans="1:19" ht="17.25" customHeight="1" thickBot="1">
      <c r="A28" s="162" t="s">
        <v>238</v>
      </c>
      <c r="B28" s="126">
        <f t="shared" si="0"/>
        <v>3515</v>
      </c>
      <c r="C28" s="77">
        <f t="shared" si="1"/>
        <v>5.5555555600000001E-2</v>
      </c>
      <c r="D28" s="15">
        <f t="shared" si="2"/>
        <v>3560</v>
      </c>
      <c r="E28" s="32">
        <f t="shared" si="3"/>
        <v>1.2802275960170697E-2</v>
      </c>
      <c r="F28" s="18">
        <f t="shared" si="4"/>
        <v>1280.2275960170696</v>
      </c>
      <c r="G28" s="31">
        <f t="shared" si="5"/>
        <v>3480</v>
      </c>
      <c r="H28" s="32">
        <f t="shared" si="6"/>
        <v>-9.9573257467994308E-3</v>
      </c>
      <c r="I28" s="101">
        <f t="shared" si="7"/>
        <v>-995.73257467994313</v>
      </c>
      <c r="J28" s="15">
        <f t="shared" si="8"/>
        <v>3445</v>
      </c>
      <c r="K28" s="32">
        <f t="shared" si="9"/>
        <v>-1.9914651493598862E-2</v>
      </c>
      <c r="L28" s="18">
        <f t="shared" si="10"/>
        <v>-1991.4651493598863</v>
      </c>
      <c r="M28" s="31">
        <f t="shared" si="11"/>
        <v>3420</v>
      </c>
      <c r="N28" s="32">
        <f t="shared" si="12"/>
        <v>-2.7027027027027029E-2</v>
      </c>
      <c r="O28" s="18">
        <f t="shared" si="13"/>
        <v>-2702.7027027027029</v>
      </c>
      <c r="Q28" s="258"/>
      <c r="R28" s="259"/>
      <c r="S28" s="260"/>
    </row>
    <row r="29" spans="1:19" ht="17.25" customHeight="1" thickBot="1">
      <c r="A29" s="162" t="s">
        <v>69</v>
      </c>
      <c r="B29" s="126">
        <f t="shared" si="0"/>
        <v>4795</v>
      </c>
      <c r="C29" s="77">
        <f t="shared" si="1"/>
        <v>5.26893524E-2</v>
      </c>
      <c r="D29" s="15">
        <f t="shared" si="2"/>
        <v>4885</v>
      </c>
      <c r="E29" s="32">
        <f t="shared" si="3"/>
        <v>1.8769551616266946E-2</v>
      </c>
      <c r="F29" s="18">
        <f t="shared" si="4"/>
        <v>1876.9551616266947</v>
      </c>
      <c r="G29" s="31">
        <f t="shared" si="5"/>
        <v>4885</v>
      </c>
      <c r="H29" s="32">
        <f t="shared" si="6"/>
        <v>1.8769551616266946E-2</v>
      </c>
      <c r="I29" s="101">
        <f t="shared" si="7"/>
        <v>1876.9551616266947</v>
      </c>
      <c r="J29" s="15">
        <f t="shared" si="8"/>
        <v>4875</v>
      </c>
      <c r="K29" s="32">
        <f t="shared" si="9"/>
        <v>1.6684045881126174E-2</v>
      </c>
      <c r="L29" s="18">
        <f t="shared" si="10"/>
        <v>1668.4045881126174</v>
      </c>
      <c r="M29" s="31">
        <f t="shared" si="11"/>
        <v>4820</v>
      </c>
      <c r="N29" s="32">
        <f t="shared" si="12"/>
        <v>5.2137643378519288E-3</v>
      </c>
      <c r="O29" s="18">
        <f t="shared" si="13"/>
        <v>521.37643378519283</v>
      </c>
      <c r="Q29" s="251"/>
      <c r="R29" s="251"/>
      <c r="S29" s="251"/>
    </row>
    <row r="30" spans="1:19" ht="17.25" customHeight="1" thickBot="1">
      <c r="A30" s="162" t="s">
        <v>173</v>
      </c>
      <c r="B30" s="126">
        <f t="shared" si="0"/>
        <v>120</v>
      </c>
      <c r="C30" s="77">
        <f t="shared" si="1"/>
        <v>5.2631578900000003E-2</v>
      </c>
      <c r="D30" s="15">
        <f t="shared" si="2"/>
        <v>128</v>
      </c>
      <c r="E30" s="32">
        <f t="shared" si="3"/>
        <v>6.6666666666666666E-2</v>
      </c>
      <c r="F30" s="18">
        <f t="shared" si="4"/>
        <v>6666.666666666667</v>
      </c>
      <c r="G30" s="31">
        <f t="shared" si="5"/>
        <v>127</v>
      </c>
      <c r="H30" s="32">
        <f t="shared" si="6"/>
        <v>5.8333333333333334E-2</v>
      </c>
      <c r="I30" s="101">
        <f t="shared" si="7"/>
        <v>5833.333333333333</v>
      </c>
      <c r="J30" s="15">
        <f t="shared" si="8"/>
        <v>129</v>
      </c>
      <c r="K30" s="32">
        <f t="shared" si="9"/>
        <v>7.4999999999999997E-2</v>
      </c>
      <c r="L30" s="18">
        <f t="shared" si="10"/>
        <v>7500</v>
      </c>
      <c r="M30" s="31">
        <f t="shared" si="11"/>
        <v>128</v>
      </c>
      <c r="N30" s="32">
        <f t="shared" si="12"/>
        <v>6.6666666666666666E-2</v>
      </c>
      <c r="O30" s="18">
        <f t="shared" si="13"/>
        <v>6666.666666666667</v>
      </c>
      <c r="Q30" s="261"/>
      <c r="R30" s="261"/>
      <c r="S30" s="261"/>
    </row>
    <row r="31" spans="1:19" ht="17.25" customHeight="1" thickBot="1">
      <c r="A31" s="163" t="s">
        <v>265</v>
      </c>
      <c r="B31" s="128">
        <f t="shared" si="0"/>
        <v>338</v>
      </c>
      <c r="C31" s="78">
        <f t="shared" si="1"/>
        <v>3.3639143699999999E-2</v>
      </c>
      <c r="D31" s="20">
        <f t="shared" si="2"/>
        <v>336</v>
      </c>
      <c r="E31" s="21">
        <f t="shared" si="3"/>
        <v>-5.9171597633136093E-3</v>
      </c>
      <c r="F31" s="22">
        <f t="shared" si="4"/>
        <v>-591.71597633136093</v>
      </c>
      <c r="G31" s="30">
        <f t="shared" si="5"/>
        <v>335</v>
      </c>
      <c r="H31" s="21">
        <f t="shared" si="6"/>
        <v>-8.8757396449704144E-3</v>
      </c>
      <c r="I31" s="105">
        <f t="shared" si="7"/>
        <v>-887.5739644970414</v>
      </c>
      <c r="J31" s="20">
        <f t="shared" si="8"/>
        <v>335</v>
      </c>
      <c r="K31" s="21">
        <f t="shared" si="9"/>
        <v>-8.8757396449704144E-3</v>
      </c>
      <c r="L31" s="22">
        <f t="shared" si="10"/>
        <v>-887.5739644970414</v>
      </c>
      <c r="M31" s="30">
        <f t="shared" si="11"/>
        <v>335</v>
      </c>
      <c r="N31" s="21">
        <f t="shared" si="12"/>
        <v>-8.8757396449704144E-3</v>
      </c>
      <c r="O31" s="22">
        <f t="shared" si="13"/>
        <v>-887.5739644970414</v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304">
        <v>100000</v>
      </c>
      <c r="C37" s="305"/>
      <c r="D37" s="26" t="s">
        <v>43</v>
      </c>
      <c r="E37" s="27">
        <f>IF(COUNT(E17:E36), SUM(E17:E36) / COUNT(E17:E36), 0)</f>
        <v>3.7518818973195367E-3</v>
      </c>
      <c r="F37" s="28">
        <f>SUM(F17:F36)</f>
        <v>5627.8228459793054</v>
      </c>
      <c r="G37" s="26" t="s">
        <v>43</v>
      </c>
      <c r="H37" s="27">
        <f>IF(COUNT(H17:H36), SUM(H17:H36) / COUNT(H17:H36), 0)</f>
        <v>3.8226945973032084E-3</v>
      </c>
      <c r="I37" s="28">
        <f>SUM(I17:I36)</f>
        <v>5734.0418959548133</v>
      </c>
      <c r="J37" s="26" t="s">
        <v>43</v>
      </c>
      <c r="K37" s="27">
        <f>IF(COUNT(K17:K36), SUM(K17:K36) / COUNT(K17:K36), 0)</f>
        <v>3.3404112360902877E-3</v>
      </c>
      <c r="L37" s="28">
        <f>SUM(L17:L36)</f>
        <v>5010.6168541354318</v>
      </c>
      <c r="M37" s="26" t="s">
        <v>43</v>
      </c>
      <c r="N37" s="27">
        <f>IF(COUNT(N17:N36), SUM(N17:N36) / COUNT(N17:N36), 0)</f>
        <v>-4.3856523205527687E-3</v>
      </c>
      <c r="O37" s="28">
        <f>SUM(O17:O36)</f>
        <v>-6578.4784808291524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262" t="s">
        <v>44</v>
      </c>
      <c r="B40" s="263"/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4"/>
      <c r="Q40" s="261"/>
      <c r="R40" s="261"/>
      <c r="S40" s="261"/>
    </row>
    <row r="41" spans="1:19" ht="17.25" customHeight="1" thickBot="1">
      <c r="A41" s="216" t="s">
        <v>292</v>
      </c>
      <c r="B41" s="262" t="s">
        <v>49</v>
      </c>
      <c r="C41" s="264"/>
      <c r="D41" s="262" t="s">
        <v>58</v>
      </c>
      <c r="E41" s="263"/>
      <c r="F41" s="264"/>
      <c r="G41" s="265">
        <f>_xlfn.IFNA(VLOOKUP(B41, 현재가테이블!$B$2:$D$200, 2, FALSE), "-")</f>
        <v>40538000</v>
      </c>
      <c r="H41" s="266"/>
      <c r="I41" s="267"/>
      <c r="J41" s="262" t="s">
        <v>59</v>
      </c>
      <c r="K41" s="263"/>
      <c r="L41" s="264"/>
      <c r="M41" s="268">
        <f>_xlfn.IFNA(VLOOKUP(B41, 현재가테이블!$B$2:$D$200, 3, FALSE), "-")</f>
        <v>-3.68275993E-2</v>
      </c>
      <c r="N41" s="269"/>
      <c r="O41" s="270"/>
      <c r="Q41" s="261"/>
      <c r="R41" s="261"/>
      <c r="S41" s="261"/>
    </row>
    <row r="42" spans="1:19" ht="17.25" customHeight="1" thickBot="1">
      <c r="A42" s="306" t="s">
        <v>55</v>
      </c>
      <c r="B42" s="302" t="str">
        <f>TEXT($G$1, "[$-ko-KR]yyyy-mm-dd(ddd) ") &amp; "오전 00:00"</f>
        <v>2021-06-15(화) 오전 00:00</v>
      </c>
      <c r="C42" s="303"/>
      <c r="D42" s="275" t="str">
        <f>TEXT($G$1, "[$-ko-KR]yyyy-mm-dd(ddd) ") &amp; "오후 14:00"</f>
        <v>2021-06-15(화) 오후 14:00</v>
      </c>
      <c r="E42" s="276"/>
      <c r="F42" s="277"/>
      <c r="G42" s="275" t="str">
        <f>TEXT($G$1, "[$-ko-KR]yyyy-mm-dd(ddd) ") &amp; "오후 19:00"</f>
        <v>2021-06-15(화) 오후 19:00</v>
      </c>
      <c r="H42" s="276"/>
      <c r="I42" s="277"/>
      <c r="J42" s="275" t="str">
        <f>TEXT($G$1, "[$-ko-KR]yyyy-mm-dd(ddd) ") &amp; "오후 21:00"</f>
        <v>2021-06-15(화) 오후 21:00</v>
      </c>
      <c r="K42" s="276"/>
      <c r="L42" s="277"/>
      <c r="M42" s="275" t="str">
        <f>TEXT($G$1+1, "[$-ko-KR]yyyy-mm-dd(ddd) ") &amp; "오전 00:00"</f>
        <v>2021-06-16(수) 오전 00:00</v>
      </c>
      <c r="N42" s="276"/>
      <c r="O42" s="277"/>
      <c r="Q42" s="261"/>
      <c r="R42" s="261"/>
      <c r="S42" s="261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7" t="s">
        <v>58</v>
      </c>
      <c r="H43" s="218" t="s">
        <v>293</v>
      </c>
      <c r="I43" s="21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1"/>
      <c r="R43" s="251"/>
      <c r="S43" s="251"/>
    </row>
    <row r="44" spans="1:19" ht="17.25" customHeight="1" thickBot="1">
      <c r="A44" s="161" t="s">
        <v>197</v>
      </c>
      <c r="B44" s="124">
        <v>13.7</v>
      </c>
      <c r="C44" s="76">
        <v>0.22321428569999999</v>
      </c>
      <c r="D44" s="13">
        <v>15.5</v>
      </c>
      <c r="E44" s="14">
        <f>IF(ISNUMBER(D44), (D44 - $B44) / $B44, "")</f>
        <v>0.13138686131386867</v>
      </c>
      <c r="F44" s="16">
        <f>IF(ISNUMBER(D44), $B64 * E44, "")</f>
        <v>13138.686131386867</v>
      </c>
      <c r="G44" s="29">
        <v>15.6</v>
      </c>
      <c r="H44" s="14">
        <f>IF(ISNUMBER(G44), (G44 - $B44) / $B44, "")</f>
        <v>0.13868613138686134</v>
      </c>
      <c r="I44" s="100">
        <f>IF(ISNUMBER(G44), $B64 * H44, "")</f>
        <v>13868.613138686134</v>
      </c>
      <c r="J44" s="13">
        <v>16.2</v>
      </c>
      <c r="K44" s="14">
        <f>IF(ISNUMBER(J44), (J44 - $B44) / $B44, "")</f>
        <v>0.18248175182481752</v>
      </c>
      <c r="L44" s="16">
        <f>IF(ISNUMBER(J44), $B64 * K44, "")</f>
        <v>18248.175182481751</v>
      </c>
      <c r="M44" s="29">
        <v>15.3</v>
      </c>
      <c r="N44" s="14">
        <f>IF(ISNUMBER(M44), (M44 - $B44) / $B44, "")</f>
        <v>0.11678832116788332</v>
      </c>
      <c r="O44" s="16">
        <f>IF(ISNUMBER(M44), $B64 * N44, "")</f>
        <v>11678.832116788331</v>
      </c>
      <c r="Q44" s="261"/>
      <c r="R44" s="261"/>
      <c r="S44" s="261"/>
    </row>
    <row r="45" spans="1:19" ht="17.25" customHeight="1" thickBot="1">
      <c r="A45" s="162" t="s">
        <v>234</v>
      </c>
      <c r="B45" s="126">
        <v>96.1</v>
      </c>
      <c r="C45" s="77">
        <v>0.1454112038</v>
      </c>
      <c r="D45" s="15">
        <v>99</v>
      </c>
      <c r="E45" s="32">
        <f t="shared" ref="E45:E48" si="14">IF(ISNUMBER(D45), (D45 - $B45) / $B45, "")</f>
        <v>3.0176899063475607E-2</v>
      </c>
      <c r="F45" s="18">
        <f>IF(ISNUMBER(D45), $B64 * E45, "")</f>
        <v>3017.6899063475607</v>
      </c>
      <c r="G45" s="31">
        <v>94.6</v>
      </c>
      <c r="H45" s="32">
        <f t="shared" ref="H45:H48" si="15">IF(ISNUMBER(G45), (G45 - $B45) / $B45, "")</f>
        <v>-1.5608740894901146E-2</v>
      </c>
      <c r="I45" s="101">
        <f>IF(ISNUMBER(G45), $B64 * H45, "")</f>
        <v>-1560.8740894901146</v>
      </c>
      <c r="J45" s="15">
        <v>94.6</v>
      </c>
      <c r="K45" s="32">
        <f t="shared" ref="K45:K48" si="16">IF(ISNUMBER(J45), (J45 - $B45) / $B45, "")</f>
        <v>-1.5608740894901146E-2</v>
      </c>
      <c r="L45" s="18">
        <f>IF(ISNUMBER(J45), $B64 * K45, "")</f>
        <v>-1560.8740894901146</v>
      </c>
      <c r="M45" s="31">
        <v>93.4</v>
      </c>
      <c r="N45" s="32">
        <f t="shared" ref="N45:N48" si="17">IF(ISNUMBER(M45), (M45 - $B45) / $B45, "")</f>
        <v>-2.8095733610821943E-2</v>
      </c>
      <c r="O45" s="18">
        <f>IF(ISNUMBER(M45), $B64 * N45, "")</f>
        <v>-2809.5733610821944</v>
      </c>
      <c r="Q45" s="261"/>
      <c r="R45" s="261"/>
      <c r="S45" s="261"/>
    </row>
    <row r="46" spans="1:19" ht="17.25" customHeight="1" thickBot="1">
      <c r="A46" s="162" t="s">
        <v>215</v>
      </c>
      <c r="B46" s="126">
        <v>5.8</v>
      </c>
      <c r="C46" s="77">
        <v>0.14398422089999999</v>
      </c>
      <c r="D46" s="15">
        <v>6.9</v>
      </c>
      <c r="E46" s="32">
        <f t="shared" si="14"/>
        <v>0.1896551724137932</v>
      </c>
      <c r="F46" s="18">
        <f>IF(ISNUMBER(D46), $B64 * E46, "")</f>
        <v>18965.517241379319</v>
      </c>
      <c r="G46" s="31">
        <v>6.04</v>
      </c>
      <c r="H46" s="32">
        <f t="shared" si="15"/>
        <v>4.1379310344827627E-2</v>
      </c>
      <c r="I46" s="101">
        <f>IF(ISNUMBER(G46), $B64 * H46, "")</f>
        <v>4137.9310344827627</v>
      </c>
      <c r="J46" s="15">
        <v>6.03</v>
      </c>
      <c r="K46" s="32">
        <f t="shared" si="16"/>
        <v>3.9655172413793176E-2</v>
      </c>
      <c r="L46" s="18">
        <f>IF(ISNUMBER(J46), $B64 * K46, "")</f>
        <v>3965.5172413793175</v>
      </c>
      <c r="M46" s="31">
        <v>6.12</v>
      </c>
      <c r="N46" s="32">
        <f t="shared" si="17"/>
        <v>5.5172413793103496E-2</v>
      </c>
      <c r="O46" s="18">
        <f>IF(ISNUMBER(M46), $B64 * N46, "")</f>
        <v>5517.2413793103497</v>
      </c>
      <c r="Q46" s="251"/>
      <c r="R46" s="251"/>
      <c r="S46" s="251"/>
    </row>
    <row r="47" spans="1:19" ht="17.25" customHeight="1" thickBot="1">
      <c r="A47" s="162" t="s">
        <v>229</v>
      </c>
      <c r="B47" s="126">
        <v>94.3</v>
      </c>
      <c r="C47" s="77">
        <v>0.1107184923</v>
      </c>
      <c r="D47" s="15">
        <v>93.4</v>
      </c>
      <c r="E47" s="32">
        <f t="shared" si="14"/>
        <v>-9.544008483563007E-3</v>
      </c>
      <c r="F47" s="18">
        <f>IF(ISNUMBER(D47), $B64 * E47, "")</f>
        <v>-954.40084835630068</v>
      </c>
      <c r="G47" s="31">
        <v>93</v>
      </c>
      <c r="H47" s="32">
        <f t="shared" si="15"/>
        <v>-1.3785790031813332E-2</v>
      </c>
      <c r="I47" s="101">
        <f>IF(ISNUMBER(G47), $B64 * H47, "")</f>
        <v>-1378.5790031813333</v>
      </c>
      <c r="J47" s="15">
        <v>92.8</v>
      </c>
      <c r="K47" s="32">
        <f t="shared" si="16"/>
        <v>-1.5906680805938496E-2</v>
      </c>
      <c r="L47" s="18">
        <f>IF(ISNUMBER(J47), $B64 * K47, "")</f>
        <v>-1590.6680805938495</v>
      </c>
      <c r="M47" s="31">
        <v>92.6</v>
      </c>
      <c r="N47" s="32">
        <f t="shared" si="17"/>
        <v>-1.8027571580063656E-2</v>
      </c>
      <c r="O47" s="18">
        <f>IF(ISNUMBER(M47), $B64 * N47, "")</f>
        <v>-1802.7571580063657</v>
      </c>
      <c r="Q47" s="251"/>
      <c r="R47" s="251"/>
      <c r="S47" s="251"/>
    </row>
    <row r="48" spans="1:19" ht="17.25" customHeight="1" thickBot="1">
      <c r="A48" s="163" t="s">
        <v>206</v>
      </c>
      <c r="B48" s="128">
        <v>97.8</v>
      </c>
      <c r="C48" s="78">
        <v>8.6666666700000006E-2</v>
      </c>
      <c r="D48" s="20">
        <v>110</v>
      </c>
      <c r="E48" s="21">
        <f t="shared" si="14"/>
        <v>0.12474437627811864</v>
      </c>
      <c r="F48" s="22">
        <f>IF(ISNUMBER(D48), $B64 * E48, "")</f>
        <v>12474.437627811863</v>
      </c>
      <c r="G48" s="30">
        <v>99.7</v>
      </c>
      <c r="H48" s="21">
        <f t="shared" si="15"/>
        <v>1.9427402862985745E-2</v>
      </c>
      <c r="I48" s="105">
        <f>IF(ISNUMBER(G48), $B64 * H48, "")</f>
        <v>1942.7402862985746</v>
      </c>
      <c r="J48" s="20">
        <v>99.4</v>
      </c>
      <c r="K48" s="21">
        <f t="shared" si="16"/>
        <v>1.6359918200409086E-2</v>
      </c>
      <c r="L48" s="22">
        <f>IF(ISNUMBER(J48), $B64 * K48, "")</f>
        <v>1635.9918200409086</v>
      </c>
      <c r="M48" s="30">
        <v>98.4</v>
      </c>
      <c r="N48" s="21">
        <f t="shared" si="17"/>
        <v>6.134969325153462E-3</v>
      </c>
      <c r="O48" s="22">
        <f>IF(ISNUMBER(M48), $B64 * N48, "")</f>
        <v>613.4969325153462</v>
      </c>
      <c r="Q48" s="251"/>
      <c r="R48" s="251"/>
      <c r="S48" s="251"/>
    </row>
    <row r="49" spans="1:19" ht="17.25" customHeight="1" thickBot="1">
      <c r="A49" s="162" t="s">
        <v>212</v>
      </c>
      <c r="B49" s="129">
        <v>9.9700000000000006</v>
      </c>
      <c r="C49" s="80">
        <v>8.6056644900000007E-2</v>
      </c>
      <c r="D49" s="106">
        <v>10.1</v>
      </c>
      <c r="E49" s="107">
        <f>IF(ISNUMBER(D49), (D49 - $B49) / $B49, "")</f>
        <v>1.3039117352056068E-2</v>
      </c>
      <c r="F49" s="108">
        <f>IF(ISNUMBER(D49), $B64 * E49, "")</f>
        <v>1303.9117352056069</v>
      </c>
      <c r="G49" s="109">
        <v>10.7</v>
      </c>
      <c r="H49" s="107">
        <f>IF(ISNUMBER(G49), (G49 - $B49) / $B49, "")</f>
        <v>7.3219658976930654E-2</v>
      </c>
      <c r="I49" s="110">
        <f>IF(ISNUMBER(G49), $B64 * H49, "")</f>
        <v>7321.965897693065</v>
      </c>
      <c r="J49" s="106">
        <v>10.7</v>
      </c>
      <c r="K49" s="107">
        <f>IF(ISNUMBER(J49), (J49 - $B49) / $B49, "")</f>
        <v>7.3219658976930654E-2</v>
      </c>
      <c r="L49" s="108">
        <f>IF(ISNUMBER(J49), $B64 * K49, "")</f>
        <v>7321.965897693065</v>
      </c>
      <c r="M49" s="109">
        <v>10.5</v>
      </c>
      <c r="N49" s="107">
        <f>IF(ISNUMBER(M49), (M49 - $B49) / $B49, "")</f>
        <v>5.315947843530585E-2</v>
      </c>
      <c r="O49" s="108">
        <f>IF(ISNUMBER(M49), $B64 * N49, "")</f>
        <v>5315.9478435305846</v>
      </c>
      <c r="Q49" s="251"/>
      <c r="R49" s="251"/>
      <c r="S49" s="251"/>
    </row>
    <row r="50" spans="1:19" ht="17.25" customHeight="1" thickBot="1">
      <c r="A50" s="162" t="s">
        <v>126</v>
      </c>
      <c r="B50" s="126">
        <v>26.3</v>
      </c>
      <c r="C50" s="77">
        <v>7.3469387799999994E-2</v>
      </c>
      <c r="D50" s="15">
        <v>26.4</v>
      </c>
      <c r="E50" s="32">
        <f t="shared" ref="E50:E53" si="18">IF(ISNUMBER(D50), (D50 - $B50) / $B50, "")</f>
        <v>3.8022813688212117E-3</v>
      </c>
      <c r="F50" s="18">
        <f>IF(ISNUMBER(D50), $B64 * E50, "")</f>
        <v>380.22813688212119</v>
      </c>
      <c r="G50" s="31">
        <v>26.1</v>
      </c>
      <c r="H50" s="32">
        <f t="shared" ref="H50:H53" si="19">IF(ISNUMBER(G50), (G50 - $B50) / $B50, "")</f>
        <v>-7.6045627376425586E-3</v>
      </c>
      <c r="I50" s="101">
        <f>IF(ISNUMBER(G50), $B64 * H50, "")</f>
        <v>-760.45627376425591</v>
      </c>
      <c r="J50" s="15">
        <v>26.2</v>
      </c>
      <c r="K50" s="32">
        <f t="shared" ref="K50:K53" si="20">IF(ISNUMBER(J50), (J50 - $B50) / $B50, "")</f>
        <v>-3.8022813688213465E-3</v>
      </c>
      <c r="L50" s="18">
        <f>IF(ISNUMBER(J50), $B64 * K50, "")</f>
        <v>-380.22813688213466</v>
      </c>
      <c r="M50" s="31">
        <v>25.4</v>
      </c>
      <c r="N50" s="32">
        <f t="shared" ref="N50:N53" si="21">IF(ISNUMBER(M50), (M50 - $B50) / $B50, "")</f>
        <v>-3.4220532319391712E-2</v>
      </c>
      <c r="O50" s="18">
        <f>IF(ISNUMBER(M50), $B64 * N50, "")</f>
        <v>-3422.0532319391714</v>
      </c>
      <c r="Q50" s="251"/>
      <c r="R50" s="251"/>
      <c r="S50" s="251"/>
    </row>
    <row r="51" spans="1:19" ht="17.25" customHeight="1" thickBot="1">
      <c r="A51" s="162" t="s">
        <v>249</v>
      </c>
      <c r="B51" s="126">
        <v>20.6</v>
      </c>
      <c r="C51" s="77">
        <v>5.6410256399999997E-2</v>
      </c>
      <c r="D51" s="15">
        <v>23</v>
      </c>
      <c r="E51" s="32">
        <f t="shared" si="18"/>
        <v>0.11650485436893196</v>
      </c>
      <c r="F51" s="18">
        <f>IF(ISNUMBER(D51), $B64 * E51, "")</f>
        <v>11650.485436893196</v>
      </c>
      <c r="G51" s="31">
        <v>21.1</v>
      </c>
      <c r="H51" s="32">
        <f t="shared" si="19"/>
        <v>2.4271844660194174E-2</v>
      </c>
      <c r="I51" s="101">
        <f>IF(ISNUMBER(G51), $B64 * H51, "")</f>
        <v>2427.1844660194174</v>
      </c>
      <c r="J51" s="15">
        <v>21.2</v>
      </c>
      <c r="K51" s="32">
        <f t="shared" si="20"/>
        <v>2.9126213592232903E-2</v>
      </c>
      <c r="L51" s="18">
        <f>IF(ISNUMBER(J51), $B64 * K51, "")</f>
        <v>2912.6213592232903</v>
      </c>
      <c r="M51" s="31">
        <v>21.8</v>
      </c>
      <c r="N51" s="32">
        <f t="shared" si="21"/>
        <v>5.825242718446598E-2</v>
      </c>
      <c r="O51" s="18">
        <f>IF(ISNUMBER(M51), $B64 * N51, "")</f>
        <v>5825.2427184465978</v>
      </c>
      <c r="Q51" s="251"/>
      <c r="R51" s="251"/>
      <c r="S51" s="251"/>
    </row>
    <row r="52" spans="1:19" ht="17.25" customHeight="1" thickBot="1">
      <c r="A52" s="162" t="s">
        <v>225</v>
      </c>
      <c r="B52" s="126">
        <v>8.17</v>
      </c>
      <c r="C52" s="77">
        <v>5.41935484E-2</v>
      </c>
      <c r="D52" s="15">
        <v>8.1199999999999992</v>
      </c>
      <c r="E52" s="32">
        <f t="shared" si="18"/>
        <v>-6.1199510403917639E-3</v>
      </c>
      <c r="F52" s="18">
        <f>IF(ISNUMBER(D52), $B64 * E52, "")</f>
        <v>-611.99510403917634</v>
      </c>
      <c r="G52" s="31">
        <v>9.15</v>
      </c>
      <c r="H52" s="32">
        <f t="shared" si="19"/>
        <v>0.11995104039167692</v>
      </c>
      <c r="I52" s="101">
        <f>IF(ISNUMBER(G52), $B64 * H52, "")</f>
        <v>11995.104039167692</v>
      </c>
      <c r="J52" s="15">
        <v>9.06</v>
      </c>
      <c r="K52" s="32">
        <f t="shared" si="20"/>
        <v>0.10893512851897191</v>
      </c>
      <c r="L52" s="18">
        <f>IF(ISNUMBER(J52), $B64 * K52, "")</f>
        <v>10893.512851897191</v>
      </c>
      <c r="M52" s="31">
        <v>8.6300000000000008</v>
      </c>
      <c r="N52" s="32">
        <f t="shared" si="21"/>
        <v>5.630354957160353E-2</v>
      </c>
      <c r="O52" s="18">
        <f>IF(ISNUMBER(M52), $B64 * N52, "")</f>
        <v>5630.3549571603526</v>
      </c>
      <c r="Q52" s="33"/>
      <c r="R52" s="33"/>
    </row>
    <row r="53" spans="1:19" ht="17.25" customHeight="1" thickBot="1">
      <c r="A53" s="130" t="s">
        <v>246</v>
      </c>
      <c r="B53" s="131">
        <v>58</v>
      </c>
      <c r="C53" s="79">
        <v>5.0724637699999998E-2</v>
      </c>
      <c r="D53" s="24">
        <v>90.6</v>
      </c>
      <c r="E53" s="25">
        <f t="shared" si="18"/>
        <v>0.56206896551724128</v>
      </c>
      <c r="F53" s="104">
        <f>IF(ISNUMBER(D53), $B64 * E53, "")</f>
        <v>56206.89655172413</v>
      </c>
      <c r="G53" s="102">
        <v>78.3</v>
      </c>
      <c r="H53" s="25">
        <f t="shared" si="19"/>
        <v>0.35</v>
      </c>
      <c r="I53" s="103">
        <f>IF(ISNUMBER(G53), $B64 * H53, "")</f>
        <v>35000</v>
      </c>
      <c r="J53" s="24">
        <v>78.900000000000006</v>
      </c>
      <c r="K53" s="25">
        <f t="shared" si="20"/>
        <v>0.36034482758620701</v>
      </c>
      <c r="L53" s="104">
        <f>IF(ISNUMBER(J53), $B64 * K53, "")</f>
        <v>36034.482758620703</v>
      </c>
      <c r="M53" s="102">
        <v>79.400000000000006</v>
      </c>
      <c r="N53" s="25">
        <f t="shared" si="21"/>
        <v>0.36896551724137938</v>
      </c>
      <c r="O53" s="104">
        <f>IF(ISNUMBER(M53), $B64 * N53, "")</f>
        <v>36896.551724137935</v>
      </c>
      <c r="Q53" s="252"/>
      <c r="R53" s="253"/>
      <c r="S53" s="254"/>
    </row>
    <row r="54" spans="1:19" ht="17.25" customHeight="1">
      <c r="A54" s="161" t="s">
        <v>236</v>
      </c>
      <c r="B54" s="124">
        <v>90.3</v>
      </c>
      <c r="C54" s="76">
        <v>0.05</v>
      </c>
      <c r="D54" s="13">
        <v>88.8</v>
      </c>
      <c r="E54" s="14">
        <f>IF(ISNUMBER(D54), (D54 - $B54) / $B54, "")</f>
        <v>-1.6611295681063124E-2</v>
      </c>
      <c r="F54" s="16">
        <f>IF(ISNUMBER(D54), $B64 * E54, "")</f>
        <v>-1661.1295681063125</v>
      </c>
      <c r="G54" s="29">
        <v>88.9</v>
      </c>
      <c r="H54" s="14">
        <f>IF(ISNUMBER(G54), (G54 - $B54) / $B54, "")</f>
        <v>-1.5503875968992154E-2</v>
      </c>
      <c r="I54" s="100">
        <f>IF(ISNUMBER(G54), $B64 * H54, "")</f>
        <v>-1550.3875968992154</v>
      </c>
      <c r="J54" s="13">
        <v>88.7</v>
      </c>
      <c r="K54" s="14">
        <f>IF(ISNUMBER(J54), (J54 - $B54) / $B54, "")</f>
        <v>-1.7718715393133935E-2</v>
      </c>
      <c r="L54" s="16">
        <f>IF(ISNUMBER(J54), $B64 * K54, "")</f>
        <v>-1771.8715393133934</v>
      </c>
      <c r="M54" s="29">
        <v>88.9</v>
      </c>
      <c r="N54" s="14">
        <f>IF(ISNUMBER(M54), (M54 - $B54) / $B54, "")</f>
        <v>-1.5503875968992154E-2</v>
      </c>
      <c r="O54" s="16">
        <f>IF(ISNUMBER(M54), $B64 * N54, "")</f>
        <v>-1550.3875968992154</v>
      </c>
      <c r="Q54" s="255"/>
      <c r="R54" s="256"/>
      <c r="S54" s="257"/>
    </row>
    <row r="55" spans="1:19" ht="17.25" customHeight="1" thickBot="1">
      <c r="A55" s="162" t="s">
        <v>134</v>
      </c>
      <c r="B55" s="126">
        <v>81.400000000000006</v>
      </c>
      <c r="C55" s="77">
        <v>4.0920716099999997E-2</v>
      </c>
      <c r="D55" s="15">
        <v>81.400000000000006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81</v>
      </c>
      <c r="H55" s="32">
        <f t="shared" ref="H55:H58" si="23">IF(ISNUMBER(G55), (G55 - $B55) / $B55, "")</f>
        <v>-4.9140049140049833E-3</v>
      </c>
      <c r="I55" s="101">
        <f>IF(ISNUMBER(G55), $B64 * H55, "")</f>
        <v>-491.40049140049831</v>
      </c>
      <c r="J55" s="15">
        <v>80.900000000000006</v>
      </c>
      <c r="K55" s="32">
        <f t="shared" ref="K55:K58" si="24">IF(ISNUMBER(J55), (J55 - $B55) / $B55, "")</f>
        <v>-6.1425061425061421E-3</v>
      </c>
      <c r="L55" s="18">
        <f>IF(ISNUMBER(J55), $B64 * K55, "")</f>
        <v>-614.25061425061426</v>
      </c>
      <c r="M55" s="31">
        <v>80.5</v>
      </c>
      <c r="N55" s="32">
        <f t="shared" ref="N55:N58" si="25">IF(ISNUMBER(M55), (M55 - $B55) / $B55, "")</f>
        <v>-1.1056511056511125E-2</v>
      </c>
      <c r="O55" s="18">
        <f>IF(ISNUMBER(M55), $B64 * N55, "")</f>
        <v>-1105.6511056511126</v>
      </c>
      <c r="Q55" s="258"/>
      <c r="R55" s="259"/>
      <c r="S55" s="260"/>
    </row>
    <row r="56" spans="1:19" ht="17.25" customHeight="1" thickBot="1">
      <c r="A56" s="162" t="s">
        <v>167</v>
      </c>
      <c r="B56" s="126">
        <v>85.7</v>
      </c>
      <c r="C56" s="77">
        <v>3.8787878800000002E-2</v>
      </c>
      <c r="D56" s="15">
        <v>86.1</v>
      </c>
      <c r="E56" s="32">
        <f t="shared" si="22"/>
        <v>4.6674445740955833E-3</v>
      </c>
      <c r="F56" s="18">
        <f>IF(ISNUMBER(D56), $B64 * E56, "")</f>
        <v>466.74445740955832</v>
      </c>
      <c r="G56" s="31">
        <v>85.2</v>
      </c>
      <c r="H56" s="32">
        <f t="shared" si="23"/>
        <v>-5.8343057176196032E-3</v>
      </c>
      <c r="I56" s="101">
        <f>IF(ISNUMBER(G56), $B64 * H56, "")</f>
        <v>-583.43057176196032</v>
      </c>
      <c r="J56" s="15">
        <v>84.6</v>
      </c>
      <c r="K56" s="32">
        <f t="shared" si="24"/>
        <v>-1.2835472578763225E-2</v>
      </c>
      <c r="L56" s="18">
        <f>IF(ISNUMBER(J56), $B64 * K56, "")</f>
        <v>-1283.5472578763226</v>
      </c>
      <c r="M56" s="31">
        <v>84.2</v>
      </c>
      <c r="N56" s="32">
        <f t="shared" si="25"/>
        <v>-1.7502917152858809E-2</v>
      </c>
      <c r="O56" s="18">
        <f>IF(ISNUMBER(M56), $B64 * N56, "")</f>
        <v>-1750.2917152858809</v>
      </c>
      <c r="Q56" s="251"/>
      <c r="R56" s="251"/>
      <c r="S56" s="251"/>
    </row>
    <row r="57" spans="1:19" ht="17.25" customHeight="1" thickBot="1">
      <c r="A57" s="162" t="s">
        <v>208</v>
      </c>
      <c r="B57" s="126">
        <v>86.5</v>
      </c>
      <c r="C57" s="77">
        <v>3.3452807600000002E-2</v>
      </c>
      <c r="D57" s="15">
        <v>86.3</v>
      </c>
      <c r="E57" s="32">
        <f t="shared" si="22"/>
        <v>-2.3121387283237321E-3</v>
      </c>
      <c r="F57" s="18">
        <f>IF(ISNUMBER(D57), $B64 * E57, "")</f>
        <v>-231.2138728323732</v>
      </c>
      <c r="G57" s="31">
        <v>88.8</v>
      </c>
      <c r="H57" s="32">
        <f t="shared" si="23"/>
        <v>2.6589595375722509E-2</v>
      </c>
      <c r="I57" s="101">
        <f>IF(ISNUMBER(G57), $B64 * H57, "")</f>
        <v>2658.9595375722511</v>
      </c>
      <c r="J57" s="15">
        <v>88.5</v>
      </c>
      <c r="K57" s="32">
        <f t="shared" si="24"/>
        <v>2.3121387283236993E-2</v>
      </c>
      <c r="L57" s="18">
        <f>IF(ISNUMBER(J57), $B64 * K57, "")</f>
        <v>2312.1387283236995</v>
      </c>
      <c r="M57" s="31">
        <v>89.1</v>
      </c>
      <c r="N57" s="32">
        <f t="shared" si="25"/>
        <v>3.0057803468208025E-2</v>
      </c>
      <c r="O57" s="18">
        <f>IF(ISNUMBER(M57), $B64 * N57, "")</f>
        <v>3005.7803468208026</v>
      </c>
      <c r="Q57" s="261"/>
      <c r="R57" s="261"/>
      <c r="S57" s="261"/>
    </row>
    <row r="58" spans="1:19" ht="17.25" customHeight="1" thickBot="1">
      <c r="A58" s="163" t="s">
        <v>154</v>
      </c>
      <c r="B58" s="128">
        <v>8.76</v>
      </c>
      <c r="C58" s="78">
        <v>2.8169014100000001E-2</v>
      </c>
      <c r="D58" s="20">
        <v>8.6999999999999993</v>
      </c>
      <c r="E58" s="21">
        <f t="shared" si="22"/>
        <v>-6.8493150684932076E-3</v>
      </c>
      <c r="F58" s="22">
        <f>IF(ISNUMBER(D58), $B64 * E58, "")</f>
        <v>-684.93150684932073</v>
      </c>
      <c r="G58" s="30">
        <v>9.2899999999999991</v>
      </c>
      <c r="H58" s="21">
        <f t="shared" si="23"/>
        <v>6.0502283105022758E-2</v>
      </c>
      <c r="I58" s="105">
        <f>IF(ISNUMBER(G58), $B64 * H58, "")</f>
        <v>6050.2283105022761</v>
      </c>
      <c r="J58" s="20">
        <v>9.26</v>
      </c>
      <c r="K58" s="21">
        <f t="shared" si="24"/>
        <v>5.7077625570776259E-2</v>
      </c>
      <c r="L58" s="22">
        <f>IF(ISNUMBER(J58), $B64 * K58, "")</f>
        <v>5707.7625570776263</v>
      </c>
      <c r="M58" s="30">
        <v>9.09</v>
      </c>
      <c r="N58" s="21">
        <f t="shared" si="25"/>
        <v>3.7671232876712341E-2</v>
      </c>
      <c r="O58" s="22">
        <f>IF(ISNUMBER(M58), $B64 * N58, "")</f>
        <v>3767.1232876712343</v>
      </c>
      <c r="Q58" s="261"/>
      <c r="R58" s="261"/>
      <c r="S58" s="261"/>
    </row>
    <row r="59" spans="1:19" ht="17.25" customHeight="1" thickBot="1">
      <c r="A59" s="162" t="s">
        <v>195</v>
      </c>
      <c r="B59" s="129">
        <v>8.5500000000000007</v>
      </c>
      <c r="C59" s="80">
        <v>2.5179856099999998E-2</v>
      </c>
      <c r="D59" s="106">
        <v>8.5500000000000007</v>
      </c>
      <c r="E59" s="107">
        <f>IF(ISNUMBER(D59), (D59 - $B59) / $B59, "")</f>
        <v>0</v>
      </c>
      <c r="F59" s="108">
        <f>IF(ISNUMBER(D59), $B64 * E59, "")</f>
        <v>0</v>
      </c>
      <c r="G59" s="109">
        <v>9.2899999999999991</v>
      </c>
      <c r="H59" s="107">
        <f>IF(ISNUMBER(G59), (G59 - $B59) / $B59, "")</f>
        <v>8.6549707602338988E-2</v>
      </c>
      <c r="I59" s="110">
        <f>IF(ISNUMBER(G59), $B64 * H59, "")</f>
        <v>8654.9707602338985</v>
      </c>
      <c r="J59" s="106">
        <v>9.32</v>
      </c>
      <c r="K59" s="107">
        <f>IF(ISNUMBER(J59), (J59 - $B59) / $B59, "")</f>
        <v>9.0058479532163685E-2</v>
      </c>
      <c r="L59" s="108">
        <f>IF(ISNUMBER(J59), $B64 * K59, "")</f>
        <v>9005.8479532163692</v>
      </c>
      <c r="M59" s="109">
        <v>9.16</v>
      </c>
      <c r="N59" s="107">
        <f>IF(ISNUMBER(M59), (M59 - $B59) / $B59, "")</f>
        <v>7.1345029239766003E-2</v>
      </c>
      <c r="O59" s="108">
        <f>IF(ISNUMBER(M59), $B64 * N59, "")</f>
        <v>7134.5029239766</v>
      </c>
      <c r="Q59" s="251"/>
      <c r="R59" s="251"/>
      <c r="S59" s="251"/>
    </row>
    <row r="60" spans="1:19" ht="17.25" customHeight="1" thickBot="1">
      <c r="A60" s="162" t="s">
        <v>65</v>
      </c>
      <c r="B60" s="126">
        <v>33</v>
      </c>
      <c r="C60" s="77">
        <v>2.48447205E-2</v>
      </c>
      <c r="D60" s="15">
        <v>33.799999999999997</v>
      </c>
      <c r="E60" s="32">
        <f t="shared" ref="E60:E63" si="26">IF(ISNUMBER(D60), (D60 - $B60) / $B60, "")</f>
        <v>2.4242424242424156E-2</v>
      </c>
      <c r="F60" s="18">
        <f>IF(ISNUMBER(D60), $B64 * E60, "")</f>
        <v>2424.2424242424154</v>
      </c>
      <c r="G60" s="31">
        <v>33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33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32.799999999999997</v>
      </c>
      <c r="N60" s="32">
        <f t="shared" ref="N60:N63" si="29">IF(ISNUMBER(M60), (M60 - $B60) / $B60, "")</f>
        <v>-6.0606060606061465E-3</v>
      </c>
      <c r="O60" s="18">
        <f>IF(ISNUMBER(M60), $B64 * N60, "")</f>
        <v>-606.06060606061465</v>
      </c>
      <c r="Q60" s="251"/>
      <c r="R60" s="251"/>
      <c r="S60" s="251"/>
    </row>
    <row r="61" spans="1:19" ht="17.25" customHeight="1" thickBot="1">
      <c r="A61" s="162" t="s">
        <v>171</v>
      </c>
      <c r="B61" s="126">
        <v>4.79</v>
      </c>
      <c r="C61" s="77">
        <v>2.3504273499999999E-2</v>
      </c>
      <c r="D61" s="15">
        <v>5.38</v>
      </c>
      <c r="E61" s="32">
        <f t="shared" si="26"/>
        <v>0.12317327766179538</v>
      </c>
      <c r="F61" s="18">
        <f>IF(ISNUMBER(D61), $B64 * E61, "")</f>
        <v>12317.327766179538</v>
      </c>
      <c r="G61" s="31">
        <v>5.0599999999999996</v>
      </c>
      <c r="H61" s="32">
        <f t="shared" si="27"/>
        <v>5.6367432150313063E-2</v>
      </c>
      <c r="I61" s="101">
        <f>IF(ISNUMBER(G61), $B64 * H61, "")</f>
        <v>5636.7432150313061</v>
      </c>
      <c r="J61" s="15">
        <v>5.14</v>
      </c>
      <c r="K61" s="32">
        <f t="shared" si="28"/>
        <v>7.3068893528183645E-2</v>
      </c>
      <c r="L61" s="18">
        <f>IF(ISNUMBER(J61), $B64 * K61, "")</f>
        <v>7306.8893528183644</v>
      </c>
      <c r="M61" s="31">
        <v>5.19</v>
      </c>
      <c r="N61" s="32">
        <f t="shared" si="29"/>
        <v>8.3507306889352886E-2</v>
      </c>
      <c r="O61" s="18">
        <f>IF(ISNUMBER(M61), $B64 * N61, "")</f>
        <v>8350.7306889352894</v>
      </c>
      <c r="Q61" s="251"/>
      <c r="R61" s="251"/>
      <c r="S61" s="251"/>
    </row>
    <row r="62" spans="1:19" ht="17.25" customHeight="1">
      <c r="A62" s="162" t="s">
        <v>122</v>
      </c>
      <c r="B62" s="126">
        <v>22.5</v>
      </c>
      <c r="C62" s="77">
        <v>2.2727272699999999E-2</v>
      </c>
      <c r="D62" s="15">
        <v>25.9</v>
      </c>
      <c r="E62" s="32">
        <f t="shared" si="26"/>
        <v>0.15111111111111106</v>
      </c>
      <c r="F62" s="18">
        <f>IF(ISNUMBER(D62), $B64 * E62, "")</f>
        <v>15111.111111111106</v>
      </c>
      <c r="G62" s="31">
        <v>23.7</v>
      </c>
      <c r="H62" s="32">
        <f t="shared" si="27"/>
        <v>5.3333333333333302E-2</v>
      </c>
      <c r="I62" s="101">
        <f>IF(ISNUMBER(G62), $B64 * H62, "")</f>
        <v>5333.3333333333303</v>
      </c>
      <c r="J62" s="15">
        <v>23.8</v>
      </c>
      <c r="K62" s="32">
        <f t="shared" si="28"/>
        <v>5.777777777777781E-2</v>
      </c>
      <c r="L62" s="18">
        <f>IF(ISNUMBER(J62), $B64 * K62, "")</f>
        <v>5777.777777777781</v>
      </c>
      <c r="M62" s="31">
        <v>24.2</v>
      </c>
      <c r="N62" s="32">
        <f t="shared" si="29"/>
        <v>7.5555555555555529E-2</v>
      </c>
      <c r="O62" s="18">
        <f>IF(ISNUMBER(M62), $B64 * N62, "")</f>
        <v>7555.5555555555529</v>
      </c>
      <c r="Q62" s="240"/>
      <c r="R62" s="241"/>
      <c r="S62" s="242"/>
    </row>
    <row r="63" spans="1:19" ht="17.25" customHeight="1" thickBot="1">
      <c r="A63" s="130" t="s">
        <v>233</v>
      </c>
      <c r="B63" s="131">
        <v>18.600000000000001</v>
      </c>
      <c r="C63" s="79">
        <v>2.1978022E-2</v>
      </c>
      <c r="D63" s="24">
        <v>20.7</v>
      </c>
      <c r="E63" s="25">
        <f t="shared" si="26"/>
        <v>0.11290322580645148</v>
      </c>
      <c r="F63" s="104">
        <f>IF(ISNUMBER(D63), $B64 * E63, "")</f>
        <v>11290.322580645148</v>
      </c>
      <c r="G63" s="102">
        <v>19.2</v>
      </c>
      <c r="H63" s="25">
        <f t="shared" si="27"/>
        <v>3.2258064516128913E-2</v>
      </c>
      <c r="I63" s="103">
        <f>IF(ISNUMBER(G63), $B64 * H63, "")</f>
        <v>3225.8064516128911</v>
      </c>
      <c r="J63" s="24">
        <v>19.2</v>
      </c>
      <c r="K63" s="25">
        <f t="shared" si="28"/>
        <v>3.2258064516128913E-2</v>
      </c>
      <c r="L63" s="104">
        <f>IF(ISNUMBER(J63), $B64 * K63, "")</f>
        <v>3225.8064516128911</v>
      </c>
      <c r="M63" s="102">
        <v>19.3</v>
      </c>
      <c r="N63" s="25">
        <f t="shared" si="29"/>
        <v>3.7634408602150497E-2</v>
      </c>
      <c r="O63" s="104">
        <f>IF(ISNUMBER(M63), $B64 * N63, "")</f>
        <v>3763.4408602150497</v>
      </c>
      <c r="Q63" s="243"/>
      <c r="R63" s="244"/>
      <c r="S63" s="245"/>
    </row>
    <row r="64" spans="1:19" ht="17.25" customHeight="1" thickBot="1">
      <c r="A64" s="132" t="s">
        <v>295</v>
      </c>
      <c r="B64" s="304">
        <f>$B$37</f>
        <v>100000</v>
      </c>
      <c r="C64" s="305"/>
      <c r="D64" s="26" t="s">
        <v>296</v>
      </c>
      <c r="E64" s="27">
        <f>IF(COUNT(E44:E63), SUM(E44:E63) / COUNT(E44:E63), 0)</f>
        <v>7.7301965103517473E-2</v>
      </c>
      <c r="F64" s="28">
        <f>SUM(F44:F63)</f>
        <v>154603.93020703495</v>
      </c>
      <c r="G64" s="26" t="s">
        <v>296</v>
      </c>
      <c r="H64" s="27">
        <f>IF(COUNT(H44:H63), SUM(H44:H63) / COUNT(H44:H63), 0)</f>
        <v>5.0964226222068122E-2</v>
      </c>
      <c r="I64" s="28">
        <f>SUM(I44:I63)</f>
        <v>101928.45244413623</v>
      </c>
      <c r="J64" s="26" t="s">
        <v>296</v>
      </c>
      <c r="K64" s="27">
        <f>IF(COUNT(K44:K63), SUM(K44:K63) / COUNT(K44:K63), 0)</f>
        <v>5.357352510687826E-2</v>
      </c>
      <c r="L64" s="28">
        <f>SUM(L44:L63)</f>
        <v>107147.05021375655</v>
      </c>
      <c r="M64" s="26" t="s">
        <v>296</v>
      </c>
      <c r="N64" s="27">
        <f>IF(COUNT(N44:N63), SUM(N44:N63) / COUNT(N44:N63), 0)</f>
        <v>4.6004013280069742E-2</v>
      </c>
      <c r="O64" s="28">
        <f>SUM(O44:O63)</f>
        <v>92008.026560139479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262" t="s">
        <v>45</v>
      </c>
      <c r="B67" s="263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4"/>
      <c r="Q67" s="261"/>
      <c r="R67" s="261"/>
      <c r="S67" s="261"/>
    </row>
    <row r="68" spans="1:19" ht="17.25" thickBot="1">
      <c r="A68" s="216" t="s">
        <v>292</v>
      </c>
      <c r="B68" s="262" t="s">
        <v>49</v>
      </c>
      <c r="C68" s="264"/>
      <c r="D68" s="262" t="s">
        <v>58</v>
      </c>
      <c r="E68" s="263"/>
      <c r="F68" s="264"/>
      <c r="G68" s="265">
        <f>_xlfn.IFNA(VLOOKUP(B68, 현재가테이블!$B$2:$D$200, 2, FALSE), "-")</f>
        <v>40538000</v>
      </c>
      <c r="H68" s="266"/>
      <c r="I68" s="267"/>
      <c r="J68" s="262" t="s">
        <v>59</v>
      </c>
      <c r="K68" s="263"/>
      <c r="L68" s="264"/>
      <c r="M68" s="268">
        <f>_xlfn.IFNA(VLOOKUP(B68, 현재가테이블!$B$2:$D$200, 3, FALSE), "-")</f>
        <v>-3.68275993E-2</v>
      </c>
      <c r="N68" s="269"/>
      <c r="O68" s="270"/>
      <c r="Q68" s="261"/>
      <c r="R68" s="261"/>
      <c r="S68" s="261"/>
    </row>
    <row r="69" spans="1:19" ht="17.25" thickBot="1">
      <c r="A69" s="306" t="s">
        <v>55</v>
      </c>
      <c r="B69" s="302" t="str">
        <f>TEXT($G$1, "[$-ko-KR]yyyy-mm-dd(ddd) ") &amp; "오전 00:00"</f>
        <v>2021-06-15(화) 오전 00:00</v>
      </c>
      <c r="C69" s="303"/>
      <c r="D69" s="275" t="str">
        <f>TEXT($G$1, "[$-ko-KR]yyyy-mm-dd(ddd) ") &amp; "오후 14:00"</f>
        <v>2021-06-15(화) 오후 14:00</v>
      </c>
      <c r="E69" s="276"/>
      <c r="F69" s="277"/>
      <c r="G69" s="275" t="str">
        <f>TEXT($G$1, "[$-ko-KR]yyyy-mm-dd(ddd) ") &amp; "오후 19:00"</f>
        <v>2021-06-15(화) 오후 19:00</v>
      </c>
      <c r="H69" s="276"/>
      <c r="I69" s="277"/>
      <c r="J69" s="275" t="str">
        <f>TEXT($G$1, "[$-ko-KR]yyyy-mm-dd(ddd) ") &amp; "오후 21:00"</f>
        <v>2021-06-15(화) 오후 21:00</v>
      </c>
      <c r="K69" s="276"/>
      <c r="L69" s="277"/>
      <c r="M69" s="275" t="str">
        <f>TEXT($G$1+1, "[$-ko-KR]yyyy-mm-dd(ddd) ") &amp; "오전 00:00"</f>
        <v>2021-06-16(수) 오전 00:00</v>
      </c>
      <c r="N69" s="276"/>
      <c r="O69" s="277"/>
      <c r="Q69" s="261"/>
      <c r="R69" s="261"/>
      <c r="S69" s="261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7" t="s">
        <v>58</v>
      </c>
      <c r="H70" s="218" t="s">
        <v>293</v>
      </c>
      <c r="I70" s="21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1"/>
      <c r="R70" s="251"/>
      <c r="S70" s="251"/>
    </row>
    <row r="71" spans="1:19" ht="17.25" thickBot="1">
      <c r="A71" s="161" t="s">
        <v>161</v>
      </c>
      <c r="B71" s="124">
        <v>760</v>
      </c>
      <c r="C71" s="76">
        <v>0.52</v>
      </c>
      <c r="D71" s="13">
        <v>855</v>
      </c>
      <c r="E71" s="14">
        <f>IF(ISNUMBER(D71), (D71 - $B71) / $B71, "")</f>
        <v>0.125</v>
      </c>
      <c r="F71" s="16">
        <f>IF(ISNUMBER(D71), $B91 * E71, "")</f>
        <v>12500</v>
      </c>
      <c r="G71" s="29">
        <v>759</v>
      </c>
      <c r="H71" s="14">
        <f>IF(ISNUMBER(G71), (G71 - $B71) / $B71, "")</f>
        <v>-1.3157894736842105E-3</v>
      </c>
      <c r="I71" s="100">
        <f>IF(ISNUMBER(G71), $B91 * H71, "")</f>
        <v>-131.57894736842104</v>
      </c>
      <c r="J71" s="13">
        <v>765</v>
      </c>
      <c r="K71" s="14">
        <f>IF(ISNUMBER(J71), (J71 - $B71) / $B71, "")</f>
        <v>6.5789473684210523E-3</v>
      </c>
      <c r="L71" s="16">
        <f>IF(ISNUMBER(J71), $B91 * K71, "")</f>
        <v>657.8947368421052</v>
      </c>
      <c r="M71" s="29">
        <v>736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61"/>
      <c r="R71" s="261"/>
      <c r="S71" s="261"/>
    </row>
    <row r="72" spans="1:19" ht="17.25" thickBot="1">
      <c r="A72" s="162" t="s">
        <v>231</v>
      </c>
      <c r="B72" s="126">
        <v>360</v>
      </c>
      <c r="C72" s="77">
        <v>0.18811881189999999</v>
      </c>
      <c r="D72" s="15">
        <v>391</v>
      </c>
      <c r="E72" s="32">
        <f t="shared" ref="E72:E75" si="30">IF(ISNUMBER(D72), (D72 - $B72) / $B72, "")</f>
        <v>8.611111111111111E-2</v>
      </c>
      <c r="F72" s="18">
        <f>IF(ISNUMBER(D72), $B91 * E72, "")</f>
        <v>8611.1111111111113</v>
      </c>
      <c r="G72" s="31">
        <v>347</v>
      </c>
      <c r="H72" s="32">
        <f t="shared" ref="H72:H75" si="31">IF(ISNUMBER(G72), (G72 - $B72) / $B72, "")</f>
        <v>-3.6111111111111108E-2</v>
      </c>
      <c r="I72" s="101">
        <f>IF(ISNUMBER(G72), $B91 * H72, "")</f>
        <v>-3611.1111111111109</v>
      </c>
      <c r="J72" s="15">
        <v>344</v>
      </c>
      <c r="K72" s="32">
        <f t="shared" ref="K72:K75" si="32">IF(ISNUMBER(J72), (J72 - $B72) / $B72, "")</f>
        <v>-4.4444444444444446E-2</v>
      </c>
      <c r="L72" s="18">
        <f>IF(ISNUMBER(J72), $B91 * K72, "")</f>
        <v>-4444.4444444444443</v>
      </c>
      <c r="M72" s="31">
        <v>345</v>
      </c>
      <c r="N72" s="32">
        <f t="shared" ref="N72:N75" si="33">IF(ISNUMBER(M72), (M72 - $B72) / $B72, "")</f>
        <v>-4.1666666666666664E-2</v>
      </c>
      <c r="O72" s="18">
        <f>IF(ISNUMBER(M72), $B91 * N72, "")</f>
        <v>-4166.6666666666661</v>
      </c>
      <c r="Q72" s="261"/>
      <c r="R72" s="261"/>
      <c r="S72" s="261"/>
    </row>
    <row r="73" spans="1:19" ht="17.25" thickBot="1">
      <c r="A73" s="162" t="s">
        <v>223</v>
      </c>
      <c r="B73" s="126">
        <v>217</v>
      </c>
      <c r="C73" s="77">
        <v>6.3725490199999998E-2</v>
      </c>
      <c r="D73" s="15">
        <v>218</v>
      </c>
      <c r="E73" s="32">
        <f t="shared" si="30"/>
        <v>4.608294930875576E-3</v>
      </c>
      <c r="F73" s="18">
        <f>IF(ISNUMBER(D73), $B91 * E73, "")</f>
        <v>460.82949308755758</v>
      </c>
      <c r="G73" s="31">
        <v>215</v>
      </c>
      <c r="H73" s="32">
        <f t="shared" si="31"/>
        <v>-9.2165898617511521E-3</v>
      </c>
      <c r="I73" s="101">
        <f>IF(ISNUMBER(G73), $B91 * H73, "")</f>
        <v>-921.65898617511516</v>
      </c>
      <c r="J73" s="15">
        <v>217</v>
      </c>
      <c r="K73" s="32">
        <f t="shared" si="32"/>
        <v>0</v>
      </c>
      <c r="L73" s="18">
        <f>IF(ISNUMBER(J73), $B91 * K73, "")</f>
        <v>0</v>
      </c>
      <c r="M73" s="31">
        <v>216</v>
      </c>
      <c r="N73" s="32">
        <f t="shared" si="33"/>
        <v>-4.608294930875576E-3</v>
      </c>
      <c r="O73" s="18">
        <f>IF(ISNUMBER(M73), $B91 * N73, "")</f>
        <v>-460.82949308755758</v>
      </c>
      <c r="Q73" s="251"/>
      <c r="R73" s="251"/>
      <c r="S73" s="251"/>
    </row>
    <row r="74" spans="1:19" ht="17.25" thickBot="1">
      <c r="A74" s="162" t="s">
        <v>248</v>
      </c>
      <c r="B74" s="126">
        <v>102</v>
      </c>
      <c r="C74" s="77">
        <v>5.3719008300000003E-2</v>
      </c>
      <c r="D74" s="15">
        <v>122</v>
      </c>
      <c r="E74" s="32">
        <f t="shared" si="30"/>
        <v>0.19607843137254902</v>
      </c>
      <c r="F74" s="18">
        <f>IF(ISNUMBER(D74), $B91 * E74, "")</f>
        <v>19607.843137254902</v>
      </c>
      <c r="G74" s="31">
        <v>113</v>
      </c>
      <c r="H74" s="32">
        <f t="shared" si="31"/>
        <v>0.10784313725490197</v>
      </c>
      <c r="I74" s="101">
        <f>IF(ISNUMBER(G74), $B91 * H74, "")</f>
        <v>10784.313725490196</v>
      </c>
      <c r="J74" s="15">
        <v>109</v>
      </c>
      <c r="K74" s="32">
        <f t="shared" si="32"/>
        <v>6.8627450980392163E-2</v>
      </c>
      <c r="L74" s="18">
        <f>IF(ISNUMBER(J74), $B91 * K74, "")</f>
        <v>6862.7450980392159</v>
      </c>
      <c r="M74" s="31">
        <v>110</v>
      </c>
      <c r="N74" s="32">
        <f t="shared" si="33"/>
        <v>7.8431372549019607E-2</v>
      </c>
      <c r="O74" s="18">
        <f>IF(ISNUMBER(M74), $B91 * N74, "")</f>
        <v>7843.1372549019607</v>
      </c>
      <c r="Q74" s="251"/>
      <c r="R74" s="251"/>
      <c r="S74" s="251"/>
    </row>
    <row r="75" spans="1:19" ht="17.25" thickBot="1">
      <c r="A75" s="163" t="s">
        <v>173</v>
      </c>
      <c r="B75" s="128">
        <v>120</v>
      </c>
      <c r="C75" s="78">
        <v>5.2631578900000003E-2</v>
      </c>
      <c r="D75" s="20">
        <v>128</v>
      </c>
      <c r="E75" s="21">
        <f t="shared" si="30"/>
        <v>6.6666666666666666E-2</v>
      </c>
      <c r="F75" s="22">
        <f>IF(ISNUMBER(D75), $B91 * E75, "")</f>
        <v>6666.666666666667</v>
      </c>
      <c r="G75" s="30">
        <v>127</v>
      </c>
      <c r="H75" s="21">
        <f t="shared" si="31"/>
        <v>5.8333333333333334E-2</v>
      </c>
      <c r="I75" s="105">
        <f>IF(ISNUMBER(G75), $B91 * H75, "")</f>
        <v>5833.333333333333</v>
      </c>
      <c r="J75" s="20">
        <v>129</v>
      </c>
      <c r="K75" s="21">
        <f t="shared" si="32"/>
        <v>7.4999999999999997E-2</v>
      </c>
      <c r="L75" s="22">
        <f>IF(ISNUMBER(J75), $B91 * K75, "")</f>
        <v>7500</v>
      </c>
      <c r="M75" s="30">
        <v>128</v>
      </c>
      <c r="N75" s="21">
        <f t="shared" si="33"/>
        <v>6.6666666666666666E-2</v>
      </c>
      <c r="O75" s="22">
        <f>IF(ISNUMBER(M75), $B91 * N75, "")</f>
        <v>6666.666666666667</v>
      </c>
      <c r="Q75" s="251"/>
      <c r="R75" s="251"/>
      <c r="S75" s="251"/>
    </row>
    <row r="76" spans="1:19" ht="17.25" thickBot="1">
      <c r="A76" s="162" t="s">
        <v>265</v>
      </c>
      <c r="B76" s="129">
        <v>338</v>
      </c>
      <c r="C76" s="80">
        <v>3.3639143699999999E-2</v>
      </c>
      <c r="D76" s="106">
        <v>336</v>
      </c>
      <c r="E76" s="107">
        <f>IF(ISNUMBER(D76), (D76 - $B76) / $B76, "")</f>
        <v>-5.9171597633136093E-3</v>
      </c>
      <c r="F76" s="108">
        <f>IF(ISNUMBER(D76), $B91 * E76, "")</f>
        <v>-591.71597633136093</v>
      </c>
      <c r="G76" s="109">
        <v>335</v>
      </c>
      <c r="H76" s="107">
        <f>IF(ISNUMBER(G76), (G76 - $B76) / $B76, "")</f>
        <v>-8.8757396449704144E-3</v>
      </c>
      <c r="I76" s="110">
        <f>IF(ISNUMBER(G76), $B91 * H76, "")</f>
        <v>-887.5739644970414</v>
      </c>
      <c r="J76" s="106">
        <v>335</v>
      </c>
      <c r="K76" s="107">
        <f>IF(ISNUMBER(J76), (J76 - $B76) / $B76, "")</f>
        <v>-8.8757396449704144E-3</v>
      </c>
      <c r="L76" s="108">
        <f>IF(ISNUMBER(J76), $B91 * K76, "")</f>
        <v>-887.5739644970414</v>
      </c>
      <c r="M76" s="109">
        <v>335</v>
      </c>
      <c r="N76" s="107">
        <f>IF(ISNUMBER(M76), (M76 - $B76) / $B76, "")</f>
        <v>-8.8757396449704144E-3</v>
      </c>
      <c r="O76" s="108">
        <f>IF(ISNUMBER(M76), $B91 * N76, "")</f>
        <v>-887.5739644970414</v>
      </c>
      <c r="Q76" s="251"/>
      <c r="R76" s="251"/>
      <c r="S76" s="251"/>
    </row>
    <row r="77" spans="1:19" ht="17.25" thickBot="1">
      <c r="A77" s="162" t="s">
        <v>80</v>
      </c>
      <c r="B77" s="126">
        <v>771</v>
      </c>
      <c r="C77" s="77">
        <v>3.3512064299999998E-2</v>
      </c>
      <c r="D77" s="15">
        <v>816</v>
      </c>
      <c r="E77" s="32">
        <f t="shared" ref="E77:E80" si="34">IF(ISNUMBER(D77), (D77 - $B77) / $B77, "")</f>
        <v>5.8365758754863814E-2</v>
      </c>
      <c r="F77" s="18">
        <f>IF(ISNUMBER(D77), $B91 * E77, "")</f>
        <v>5836.5758754863818</v>
      </c>
      <c r="G77" s="31">
        <v>812</v>
      </c>
      <c r="H77" s="32">
        <f t="shared" ref="H77:H80" si="35">IF(ISNUMBER(G77), (G77 - $B77) / $B77, "")</f>
        <v>5.3177691309987028E-2</v>
      </c>
      <c r="I77" s="101">
        <f>IF(ISNUMBER(G77), $B91 * H77, "")</f>
        <v>5317.7691309987031</v>
      </c>
      <c r="J77" s="15">
        <v>805</v>
      </c>
      <c r="K77" s="32">
        <f t="shared" ref="K77:K80" si="36">IF(ISNUMBER(J77), (J77 - $B77) / $B77, "")</f>
        <v>4.4098573281452662E-2</v>
      </c>
      <c r="L77" s="18">
        <f>IF(ISNUMBER(J77), $B91 * K77, "")</f>
        <v>4409.8573281452664</v>
      </c>
      <c r="M77" s="31">
        <v>793</v>
      </c>
      <c r="N77" s="32">
        <f t="shared" ref="N77:N80" si="37">IF(ISNUMBER(M77), (M77 - $B77) / $B77, "")</f>
        <v>2.8534370946822308E-2</v>
      </c>
      <c r="O77" s="18">
        <f>IF(ISNUMBER(M77), $B91 * N77, "")</f>
        <v>2853.437094682231</v>
      </c>
      <c r="Q77" s="251"/>
      <c r="R77" s="251"/>
      <c r="S77" s="251"/>
    </row>
    <row r="78" spans="1:19" ht="17.25" thickBot="1">
      <c r="A78" s="162" t="s">
        <v>128</v>
      </c>
      <c r="B78" s="126">
        <v>316</v>
      </c>
      <c r="C78" s="77">
        <v>3.2679738600000001E-2</v>
      </c>
      <c r="D78" s="15">
        <v>315</v>
      </c>
      <c r="E78" s="32">
        <f t="shared" si="34"/>
        <v>-3.1645569620253164E-3</v>
      </c>
      <c r="F78" s="18">
        <f>IF(ISNUMBER(D78), $B91 * E78, "")</f>
        <v>-316.45569620253161</v>
      </c>
      <c r="G78" s="31">
        <v>313</v>
      </c>
      <c r="H78" s="32">
        <f t="shared" si="35"/>
        <v>-9.4936708860759497E-3</v>
      </c>
      <c r="I78" s="101">
        <f>IF(ISNUMBER(G78), $B91 * H78, "")</f>
        <v>-949.36708860759495</v>
      </c>
      <c r="J78" s="15">
        <v>311</v>
      </c>
      <c r="K78" s="32">
        <f t="shared" si="36"/>
        <v>-1.5822784810126583E-2</v>
      </c>
      <c r="L78" s="18">
        <f>IF(ISNUMBER(J78), $B91 * K78, "")</f>
        <v>-1582.2784810126584</v>
      </c>
      <c r="M78" s="31">
        <v>307</v>
      </c>
      <c r="N78" s="32">
        <f t="shared" si="37"/>
        <v>-2.8481012658227847E-2</v>
      </c>
      <c r="O78" s="18">
        <f>IF(ISNUMBER(M78), $B91 * N78, "")</f>
        <v>-2848.1012658227846</v>
      </c>
      <c r="Q78" s="251"/>
      <c r="R78" s="251"/>
      <c r="S78" s="251"/>
    </row>
    <row r="79" spans="1:19" ht="17.25" thickBot="1">
      <c r="A79" s="162" t="s">
        <v>61</v>
      </c>
      <c r="B79" s="126">
        <v>816</v>
      </c>
      <c r="C79" s="77">
        <v>2.5125628099999998E-2</v>
      </c>
      <c r="D79" s="15">
        <v>831</v>
      </c>
      <c r="E79" s="32">
        <f t="shared" si="34"/>
        <v>1.8382352941176471E-2</v>
      </c>
      <c r="F79" s="18">
        <f>IF(ISNUMBER(D79), $B91 * E79, "")</f>
        <v>1838.2352941176471</v>
      </c>
      <c r="G79" s="31">
        <v>811</v>
      </c>
      <c r="H79" s="32">
        <f t="shared" si="35"/>
        <v>-6.1274509803921568E-3</v>
      </c>
      <c r="I79" s="101">
        <f>IF(ISNUMBER(G79), $B91 * H79, "")</f>
        <v>-612.74509803921569</v>
      </c>
      <c r="J79" s="15">
        <v>805</v>
      </c>
      <c r="K79" s="32">
        <f t="shared" si="36"/>
        <v>-1.3480392156862746E-2</v>
      </c>
      <c r="L79" s="18">
        <f>IF(ISNUMBER(J79), $B91 * K79, "")</f>
        <v>-1348.0392156862745</v>
      </c>
      <c r="M79" s="31">
        <v>802</v>
      </c>
      <c r="N79" s="32">
        <f t="shared" si="37"/>
        <v>-1.7156862745098041E-2</v>
      </c>
      <c r="O79" s="18">
        <f>IF(ISNUMBER(M79), $B91 * N79, "")</f>
        <v>-1715.686274509804</v>
      </c>
      <c r="Q79" s="33"/>
      <c r="R79" s="33"/>
    </row>
    <row r="80" spans="1:19" ht="17.25" thickBot="1">
      <c r="A80" s="130" t="s">
        <v>279</v>
      </c>
      <c r="B80" s="131">
        <v>206</v>
      </c>
      <c r="C80" s="79">
        <v>2.4875621899999999E-2</v>
      </c>
      <c r="D80" s="24">
        <v>208</v>
      </c>
      <c r="E80" s="25">
        <f t="shared" si="34"/>
        <v>9.7087378640776691E-3</v>
      </c>
      <c r="F80" s="104">
        <f>IF(ISNUMBER(D80), $B91 * E80, "")</f>
        <v>970.87378640776694</v>
      </c>
      <c r="G80" s="102">
        <v>205</v>
      </c>
      <c r="H80" s="25">
        <f t="shared" si="35"/>
        <v>-4.8543689320388345E-3</v>
      </c>
      <c r="I80" s="103">
        <f>IF(ISNUMBER(G80), $B91 * H80, "")</f>
        <v>-485.43689320388347</v>
      </c>
      <c r="J80" s="24">
        <v>205</v>
      </c>
      <c r="K80" s="25">
        <f t="shared" si="36"/>
        <v>-4.8543689320388345E-3</v>
      </c>
      <c r="L80" s="104">
        <f>IF(ISNUMBER(J80), $B91 * K80, "")</f>
        <v>-485.43689320388347</v>
      </c>
      <c r="M80" s="102">
        <v>204</v>
      </c>
      <c r="N80" s="25">
        <f t="shared" si="37"/>
        <v>-9.7087378640776691E-3</v>
      </c>
      <c r="O80" s="104">
        <f>IF(ISNUMBER(M80), $B91 * N80, "")</f>
        <v>-970.87378640776694</v>
      </c>
      <c r="Q80" s="252"/>
      <c r="R80" s="253"/>
      <c r="S80" s="254"/>
    </row>
    <row r="81" spans="1:19">
      <c r="A81" s="161" t="s">
        <v>291</v>
      </c>
      <c r="B81" s="124">
        <v>380</v>
      </c>
      <c r="C81" s="76">
        <v>2.4258760099999999E-2</v>
      </c>
      <c r="D81" s="13">
        <v>377</v>
      </c>
      <c r="E81" s="14">
        <f>IF(ISNUMBER(D81), (D81 - $B81) / $B81, "")</f>
        <v>-7.8947368421052634E-3</v>
      </c>
      <c r="F81" s="16">
        <f>IF(ISNUMBER(D81), $B91 * E81, "")</f>
        <v>-789.47368421052636</v>
      </c>
      <c r="G81" s="29">
        <v>374</v>
      </c>
      <c r="H81" s="14">
        <f>IF(ISNUMBER(G81), (G81 - $B81) / $B81, "")</f>
        <v>-1.5789473684210527E-2</v>
      </c>
      <c r="I81" s="100">
        <f>IF(ISNUMBER(G81), $B91 * H81, "")</f>
        <v>-1578.9473684210527</v>
      </c>
      <c r="J81" s="13">
        <v>374</v>
      </c>
      <c r="K81" s="14">
        <f>IF(ISNUMBER(J81), (J81 - $B81) / $B81, "")</f>
        <v>-1.5789473684210527E-2</v>
      </c>
      <c r="L81" s="16">
        <f>IF(ISNUMBER(J81), $B91 * K81, "")</f>
        <v>-1578.9473684210527</v>
      </c>
      <c r="M81" s="29">
        <v>369</v>
      </c>
      <c r="N81" s="14">
        <f>IF(ISNUMBER(M81), (M81 - $B81) / $B81, "")</f>
        <v>-2.8947368421052631E-2</v>
      </c>
      <c r="O81" s="16">
        <f>IF(ISNUMBER(M81), $B91 * N81, "")</f>
        <v>-2894.7368421052633</v>
      </c>
      <c r="Q81" s="255"/>
      <c r="R81" s="256"/>
      <c r="S81" s="257"/>
    </row>
    <row r="82" spans="1:19" ht="17.25" thickBot="1">
      <c r="A82" s="162" t="s">
        <v>132</v>
      </c>
      <c r="B82" s="126">
        <v>132</v>
      </c>
      <c r="C82" s="77">
        <v>2.3255814E-2</v>
      </c>
      <c r="D82" s="15">
        <v>130</v>
      </c>
      <c r="E82" s="32">
        <f t="shared" ref="E82:E85" si="38">IF(ISNUMBER(D82), (D82 - $B82) / $B82, "")</f>
        <v>-1.5151515151515152E-2</v>
      </c>
      <c r="F82" s="18">
        <f>IF(ISNUMBER(D82), $B91 * E82, "")</f>
        <v>-1515.1515151515152</v>
      </c>
      <c r="G82" s="31">
        <v>129</v>
      </c>
      <c r="H82" s="32">
        <f t="shared" ref="H82:H85" si="39">IF(ISNUMBER(G82), (G82 - $B82) / $B82, "")</f>
        <v>-2.2727272727272728E-2</v>
      </c>
      <c r="I82" s="101">
        <f>IF(ISNUMBER(G82), $B91 * H82, "")</f>
        <v>-2272.727272727273</v>
      </c>
      <c r="J82" s="15">
        <v>129</v>
      </c>
      <c r="K82" s="32">
        <f t="shared" ref="K82:K85" si="40">IF(ISNUMBER(J82), (J82 - $B82) / $B82, "")</f>
        <v>-2.2727272727272728E-2</v>
      </c>
      <c r="L82" s="18">
        <f>IF(ISNUMBER(J82), $B91 * K82, "")</f>
        <v>-2272.727272727273</v>
      </c>
      <c r="M82" s="31">
        <v>129</v>
      </c>
      <c r="N82" s="32">
        <f t="shared" ref="N82:N85" si="41">IF(ISNUMBER(M82), (M82 - $B82) / $B82, "")</f>
        <v>-2.2727272727272728E-2</v>
      </c>
      <c r="O82" s="18">
        <f>IF(ISNUMBER(M82), $B91 * N82, "")</f>
        <v>-2272.727272727273</v>
      </c>
      <c r="Q82" s="258"/>
      <c r="R82" s="259"/>
      <c r="S82" s="260"/>
    </row>
    <row r="83" spans="1:19" ht="17.25" thickBot="1">
      <c r="A83" s="162" t="s">
        <v>57</v>
      </c>
      <c r="B83" s="126">
        <v>194</v>
      </c>
      <c r="C83" s="77">
        <v>2.10526316E-2</v>
      </c>
      <c r="D83" s="15">
        <v>198</v>
      </c>
      <c r="E83" s="32">
        <f t="shared" si="38"/>
        <v>2.0618556701030927E-2</v>
      </c>
      <c r="F83" s="18">
        <f>IF(ISNUMBER(D83), $B91 * E83, "")</f>
        <v>2061.855670103093</v>
      </c>
      <c r="G83" s="31">
        <v>197</v>
      </c>
      <c r="H83" s="32">
        <f t="shared" si="39"/>
        <v>1.5463917525773196E-2</v>
      </c>
      <c r="I83" s="101">
        <f>IF(ISNUMBER(G83), $B91 * H83, "")</f>
        <v>1546.3917525773197</v>
      </c>
      <c r="J83" s="15">
        <v>196</v>
      </c>
      <c r="K83" s="32">
        <f t="shared" si="40"/>
        <v>1.0309278350515464E-2</v>
      </c>
      <c r="L83" s="18">
        <f>IF(ISNUMBER(J83), $B91 * K83, "")</f>
        <v>1030.9278350515465</v>
      </c>
      <c r="M83" s="31">
        <v>197</v>
      </c>
      <c r="N83" s="32">
        <f t="shared" si="41"/>
        <v>1.5463917525773196E-2</v>
      </c>
      <c r="O83" s="18">
        <f>IF(ISNUMBER(M83), $B91 * N83, "")</f>
        <v>1546.3917525773197</v>
      </c>
      <c r="Q83" s="251"/>
      <c r="R83" s="251"/>
      <c r="S83" s="251"/>
    </row>
    <row r="84" spans="1:19" ht="17.25" thickBot="1">
      <c r="A84" s="162" t="s">
        <v>116</v>
      </c>
      <c r="B84" s="126">
        <v>323</v>
      </c>
      <c r="C84" s="77">
        <v>1.8927444799999998E-2</v>
      </c>
      <c r="D84" s="15">
        <v>325</v>
      </c>
      <c r="E84" s="32">
        <f t="shared" si="38"/>
        <v>6.1919504643962852E-3</v>
      </c>
      <c r="F84" s="18">
        <f>IF(ISNUMBER(D84), $B91 * E84, "")</f>
        <v>619.19504643962853</v>
      </c>
      <c r="G84" s="31">
        <v>321</v>
      </c>
      <c r="H84" s="32">
        <f t="shared" si="39"/>
        <v>-6.1919504643962852E-3</v>
      </c>
      <c r="I84" s="101">
        <f>IF(ISNUMBER(G84), $B91 * H84, "")</f>
        <v>-619.19504643962853</v>
      </c>
      <c r="J84" s="15">
        <v>321</v>
      </c>
      <c r="K84" s="32">
        <f t="shared" si="40"/>
        <v>-6.1919504643962852E-3</v>
      </c>
      <c r="L84" s="18">
        <f>IF(ISNUMBER(J84), $B91 * K84, "")</f>
        <v>-619.19504643962853</v>
      </c>
      <c r="M84" s="31">
        <v>318</v>
      </c>
      <c r="N84" s="32">
        <f t="shared" si="41"/>
        <v>-1.5479876160990712E-2</v>
      </c>
      <c r="O84" s="18">
        <f>IF(ISNUMBER(M84), $B91 * N84, "")</f>
        <v>-1547.9876160990711</v>
      </c>
      <c r="Q84" s="261"/>
      <c r="R84" s="261"/>
      <c r="S84" s="261"/>
    </row>
    <row r="85" spans="1:19" ht="17.25" thickBot="1">
      <c r="A85" s="163" t="s">
        <v>54</v>
      </c>
      <c r="B85" s="128">
        <v>229</v>
      </c>
      <c r="C85" s="78">
        <v>1.32743363E-2</v>
      </c>
      <c r="D85" s="20">
        <v>239</v>
      </c>
      <c r="E85" s="21">
        <f t="shared" si="38"/>
        <v>4.3668122270742356E-2</v>
      </c>
      <c r="F85" s="22">
        <f>IF(ISNUMBER(D85), $B91 * E85, "")</f>
        <v>4366.812227074236</v>
      </c>
      <c r="G85" s="30">
        <v>240</v>
      </c>
      <c r="H85" s="21">
        <f t="shared" si="39"/>
        <v>4.8034934497816595E-2</v>
      </c>
      <c r="I85" s="105">
        <f>IF(ISNUMBER(G85), $B91 * H85, "")</f>
        <v>4803.4934497816594</v>
      </c>
      <c r="J85" s="20">
        <v>240</v>
      </c>
      <c r="K85" s="21">
        <f t="shared" si="40"/>
        <v>4.8034934497816595E-2</v>
      </c>
      <c r="L85" s="22">
        <f>IF(ISNUMBER(J85), $B91 * K85, "")</f>
        <v>4803.4934497816594</v>
      </c>
      <c r="M85" s="30">
        <v>246</v>
      </c>
      <c r="N85" s="21">
        <f t="shared" si="41"/>
        <v>7.4235807860262015E-2</v>
      </c>
      <c r="O85" s="22">
        <f>IF(ISNUMBER(M85), $B91 * N85, "")</f>
        <v>7423.5807860262012</v>
      </c>
      <c r="Q85" s="261"/>
      <c r="R85" s="261"/>
      <c r="S85" s="261"/>
    </row>
    <row r="86" spans="1:19" ht="17.25" thickBot="1">
      <c r="A86" s="162" t="s">
        <v>148</v>
      </c>
      <c r="B86" s="129">
        <v>102</v>
      </c>
      <c r="C86" s="80">
        <v>9.9009900999999997E-3</v>
      </c>
      <c r="D86" s="106">
        <v>101</v>
      </c>
      <c r="E86" s="107">
        <f>IF(ISNUMBER(D86), (D86 - $B86) / $B86, "")</f>
        <v>-9.8039215686274508E-3</v>
      </c>
      <c r="F86" s="108">
        <f>IF(ISNUMBER(D86), $B91 * E86, "")</f>
        <v>-980.39215686274508</v>
      </c>
      <c r="G86" s="109">
        <v>102</v>
      </c>
      <c r="H86" s="107">
        <f>IF(ISNUMBER(G86), (G86 - $B86) / $B86, "")</f>
        <v>0</v>
      </c>
      <c r="I86" s="110">
        <f>IF(ISNUMBER(G86), $B91 * H86, "")</f>
        <v>0</v>
      </c>
      <c r="J86" s="106">
        <v>100</v>
      </c>
      <c r="K86" s="107">
        <f>IF(ISNUMBER(J86), (J86 - $B86) / $B86, "")</f>
        <v>-1.9607843137254902E-2</v>
      </c>
      <c r="L86" s="108">
        <f>IF(ISNUMBER(J86), $B91 * K86, "")</f>
        <v>-1960.7843137254902</v>
      </c>
      <c r="M86" s="109">
        <v>98.2</v>
      </c>
      <c r="N86" s="107">
        <f>IF(ISNUMBER(M86), (M86 - $B86) / $B86, "")</f>
        <v>-3.7254901960784285E-2</v>
      </c>
      <c r="O86" s="108">
        <f>IF(ISNUMBER(M86), $B91 * N86, "")</f>
        <v>-3725.4901960784287</v>
      </c>
      <c r="Q86" s="251"/>
      <c r="R86" s="251"/>
      <c r="S86" s="251"/>
    </row>
    <row r="87" spans="1:19" ht="17.25" thickBot="1">
      <c r="A87" s="162" t="s">
        <v>181</v>
      </c>
      <c r="B87" s="126">
        <v>237</v>
      </c>
      <c r="C87" s="77">
        <v>8.5106382999999997E-3</v>
      </c>
      <c r="D87" s="15">
        <v>236</v>
      </c>
      <c r="E87" s="32">
        <f t="shared" ref="E87:E90" si="42">IF(ISNUMBER(D87), (D87 - $B87) / $B87, "")</f>
        <v>-4.2194092827004216E-3</v>
      </c>
      <c r="F87" s="18">
        <f>IF(ISNUMBER(D87), $B91 * E87, "")</f>
        <v>-421.94092827004215</v>
      </c>
      <c r="G87" s="31">
        <v>235</v>
      </c>
      <c r="H87" s="32">
        <f t="shared" ref="H87:H90" si="43">IF(ISNUMBER(G87), (G87 - $B87) / $B87, "")</f>
        <v>-8.4388185654008432E-3</v>
      </c>
      <c r="I87" s="101">
        <f>IF(ISNUMBER(G87), $B91 * H87, "")</f>
        <v>-843.8818565400843</v>
      </c>
      <c r="J87" s="15">
        <v>234</v>
      </c>
      <c r="K87" s="32">
        <f t="shared" ref="K87:K90" si="44">IF(ISNUMBER(J87), (J87 - $B87) / $B87, "")</f>
        <v>-1.2658227848101266E-2</v>
      </c>
      <c r="L87" s="18">
        <f>IF(ISNUMBER(J87), $B91 * K87, "")</f>
        <v>-1265.8227848101264</v>
      </c>
      <c r="M87" s="31">
        <v>234</v>
      </c>
      <c r="N87" s="32">
        <f t="shared" ref="N87:N90" si="45">IF(ISNUMBER(M87), (M87 - $B87) / $B87, "")</f>
        <v>-1.2658227848101266E-2</v>
      </c>
      <c r="O87" s="18">
        <f>IF(ISNUMBER(M87), $B91 * N87, "")</f>
        <v>-1265.8227848101264</v>
      </c>
      <c r="Q87" s="251"/>
      <c r="R87" s="251"/>
      <c r="S87" s="251"/>
    </row>
    <row r="88" spans="1:19" ht="17.25" thickBot="1">
      <c r="A88" s="162" t="s">
        <v>136</v>
      </c>
      <c r="B88" s="126">
        <v>125</v>
      </c>
      <c r="C88" s="77">
        <v>8.0645161000000003E-3</v>
      </c>
      <c r="D88" s="15">
        <v>129</v>
      </c>
      <c r="E88" s="32">
        <f t="shared" si="42"/>
        <v>3.2000000000000001E-2</v>
      </c>
      <c r="F88" s="18">
        <f>IF(ISNUMBER(D88), $B91 * E88, "")</f>
        <v>3200</v>
      </c>
      <c r="G88" s="31">
        <v>128</v>
      </c>
      <c r="H88" s="32">
        <f t="shared" si="43"/>
        <v>2.4E-2</v>
      </c>
      <c r="I88" s="101">
        <f>IF(ISNUMBER(G88), $B91 * H88, "")</f>
        <v>2400</v>
      </c>
      <c r="J88" s="15">
        <v>129</v>
      </c>
      <c r="K88" s="32">
        <f t="shared" si="44"/>
        <v>3.2000000000000001E-2</v>
      </c>
      <c r="L88" s="18">
        <f>IF(ISNUMBER(J88), $B91 * K88, "")</f>
        <v>3200</v>
      </c>
      <c r="M88" s="31">
        <v>126</v>
      </c>
      <c r="N88" s="32">
        <f t="shared" si="45"/>
        <v>8.0000000000000002E-3</v>
      </c>
      <c r="O88" s="18">
        <f>IF(ISNUMBER(M88), $B91 * N88, "")</f>
        <v>800</v>
      </c>
      <c r="Q88" s="251"/>
      <c r="R88" s="251"/>
      <c r="S88" s="251"/>
    </row>
    <row r="89" spans="1:19">
      <c r="A89" s="162" t="s">
        <v>120</v>
      </c>
      <c r="B89" s="126">
        <v>139</v>
      </c>
      <c r="C89" s="77">
        <v>7.2463768E-3</v>
      </c>
      <c r="D89" s="15">
        <v>136</v>
      </c>
      <c r="E89" s="32">
        <f t="shared" si="42"/>
        <v>-2.1582733812949641E-2</v>
      </c>
      <c r="F89" s="18">
        <f>IF(ISNUMBER(D89), $B91 * E89, "")</f>
        <v>-2158.2733812949641</v>
      </c>
      <c r="G89" s="31">
        <v>136</v>
      </c>
      <c r="H89" s="32">
        <f t="shared" si="43"/>
        <v>-2.1582733812949641E-2</v>
      </c>
      <c r="I89" s="101">
        <f>IF(ISNUMBER(G89), $B91 * H89, "")</f>
        <v>-2158.2733812949641</v>
      </c>
      <c r="J89" s="15">
        <v>136</v>
      </c>
      <c r="K89" s="32">
        <f t="shared" si="44"/>
        <v>-2.1582733812949641E-2</v>
      </c>
      <c r="L89" s="18">
        <f>IF(ISNUMBER(J89), $B91 * K89, "")</f>
        <v>-2158.2733812949641</v>
      </c>
      <c r="M89" s="31">
        <v>135</v>
      </c>
      <c r="N89" s="32">
        <f t="shared" si="45"/>
        <v>-2.8776978417266189E-2</v>
      </c>
      <c r="O89" s="18">
        <f>IF(ISNUMBER(M89), $B91 * N89, "")</f>
        <v>-2877.6978417266187</v>
      </c>
      <c r="Q89" s="240"/>
      <c r="R89" s="241"/>
      <c r="S89" s="242"/>
    </row>
    <row r="90" spans="1:19" ht="17.25" thickBot="1">
      <c r="A90" s="130" t="s">
        <v>251</v>
      </c>
      <c r="B90" s="131">
        <v>147</v>
      </c>
      <c r="C90" s="79">
        <v>6.8493151000000004E-3</v>
      </c>
      <c r="D90" s="24">
        <v>148</v>
      </c>
      <c r="E90" s="25">
        <f t="shared" si="42"/>
        <v>6.8027210884353739E-3</v>
      </c>
      <c r="F90" s="104">
        <f>IF(ISNUMBER(D90), $B91 * E90, "")</f>
        <v>680.27210884353735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148</v>
      </c>
      <c r="K90" s="25">
        <f t="shared" si="44"/>
        <v>6.8027210884353739E-3</v>
      </c>
      <c r="L90" s="104">
        <f>IF(ISNUMBER(J90), $B91 * K90, "")</f>
        <v>680.27210884353735</v>
      </c>
      <c r="M90" s="102">
        <v>150</v>
      </c>
      <c r="N90" s="25">
        <f t="shared" si="45"/>
        <v>2.0408163265306121E-2</v>
      </c>
      <c r="O90" s="104">
        <f>IF(ISNUMBER(M90), $B91 * N90, "")</f>
        <v>2040.8163265306121</v>
      </c>
      <c r="Q90" s="243"/>
      <c r="R90" s="244"/>
      <c r="S90" s="245"/>
    </row>
    <row r="91" spans="1:19" ht="17.25" thickBot="1">
      <c r="A91" s="132" t="s">
        <v>295</v>
      </c>
      <c r="B91" s="304">
        <f>$B$37</f>
        <v>100000</v>
      </c>
      <c r="C91" s="305"/>
      <c r="D91" s="26" t="s">
        <v>296</v>
      </c>
      <c r="E91" s="27">
        <f>IF(COUNT(E71:E90), SUM(E71:E90) / COUNT(E71:E90), 0)</f>
        <v>3.0323433539134425E-2</v>
      </c>
      <c r="F91" s="28">
        <f>SUM(F71:F90)</f>
        <v>60646.867078268842</v>
      </c>
      <c r="G91" s="26" t="s">
        <v>296</v>
      </c>
      <c r="H91" s="27">
        <f>IF(COUNT(H71:H90), SUM(H71:H90) / COUNT(H71:H90), 0)</f>
        <v>7.4662661344561424E-3</v>
      </c>
      <c r="I91" s="28">
        <f>SUM(I71:I90)</f>
        <v>14932.532268912288</v>
      </c>
      <c r="J91" s="26" t="s">
        <v>296</v>
      </c>
      <c r="K91" s="27">
        <f>IF(COUNT(K71:K90), SUM(K71:K90) / COUNT(K71:K90), 0)</f>
        <v>5.2708336952202459E-3</v>
      </c>
      <c r="L91" s="28">
        <f>SUM(L71:L90)</f>
        <v>10541.667390440492</v>
      </c>
      <c r="M91" s="26" t="s">
        <v>296</v>
      </c>
      <c r="N91" s="27">
        <f>IF(COUNT(N71:N90), SUM(N71:N90) / COUNT(N71:N90), 0)</f>
        <v>1.9097057000224145E-4</v>
      </c>
      <c r="O91" s="28">
        <f>SUM(O71:O90)</f>
        <v>381.94114000448326</v>
      </c>
      <c r="Q91" s="246"/>
      <c r="R91" s="247"/>
      <c r="S91" s="248"/>
    </row>
    <row r="93" spans="1:19" ht="17.25" thickBot="1"/>
    <row r="94" spans="1:19" ht="17.25" thickBot="1">
      <c r="A94" s="262" t="s">
        <v>46</v>
      </c>
      <c r="B94" s="263"/>
      <c r="C94" s="263"/>
      <c r="D94" s="263"/>
      <c r="E94" s="263"/>
      <c r="F94" s="263"/>
      <c r="G94" s="263"/>
      <c r="H94" s="263"/>
      <c r="I94" s="263"/>
      <c r="J94" s="263"/>
      <c r="K94" s="263"/>
      <c r="L94" s="263"/>
      <c r="M94" s="263"/>
      <c r="N94" s="263"/>
      <c r="O94" s="264"/>
      <c r="Q94" s="261"/>
      <c r="R94" s="261"/>
      <c r="S94" s="261"/>
    </row>
    <row r="95" spans="1:19" ht="17.25" thickBot="1">
      <c r="A95" s="216" t="s">
        <v>292</v>
      </c>
      <c r="B95" s="262" t="s">
        <v>49</v>
      </c>
      <c r="C95" s="264"/>
      <c r="D95" s="262" t="s">
        <v>58</v>
      </c>
      <c r="E95" s="263"/>
      <c r="F95" s="264"/>
      <c r="G95" s="265">
        <f>_xlfn.IFNA(VLOOKUP(B95, 현재가테이블!$B$2:$D$200, 2, FALSE), "-")</f>
        <v>40538000</v>
      </c>
      <c r="H95" s="266"/>
      <c r="I95" s="267"/>
      <c r="J95" s="262" t="s">
        <v>59</v>
      </c>
      <c r="K95" s="263"/>
      <c r="L95" s="264"/>
      <c r="M95" s="268">
        <f>_xlfn.IFNA(VLOOKUP(B95, 현재가테이블!$B$2:$D$200, 3, FALSE), "-")</f>
        <v>-3.68275993E-2</v>
      </c>
      <c r="N95" s="269"/>
      <c r="O95" s="270"/>
      <c r="Q95" s="261"/>
      <c r="R95" s="261"/>
      <c r="S95" s="261"/>
    </row>
    <row r="96" spans="1:19" ht="17.25" thickBot="1">
      <c r="A96" s="306" t="s">
        <v>55</v>
      </c>
      <c r="B96" s="302" t="str">
        <f>TEXT($G$1, "[$-ko-KR]yyyy-mm-dd(ddd) ") &amp; "오전 00:00"</f>
        <v>2021-06-15(화) 오전 00:00</v>
      </c>
      <c r="C96" s="303"/>
      <c r="D96" s="275" t="str">
        <f>TEXT($G$1, "[$-ko-KR]yyyy-mm-dd(ddd) ") &amp; "오후 14:00"</f>
        <v>2021-06-15(화) 오후 14:00</v>
      </c>
      <c r="E96" s="276"/>
      <c r="F96" s="277"/>
      <c r="G96" s="275" t="str">
        <f>TEXT($G$1, "[$-ko-KR]yyyy-mm-dd(ddd) ") &amp; "오후 19:00"</f>
        <v>2021-06-15(화) 오후 19:00</v>
      </c>
      <c r="H96" s="276"/>
      <c r="I96" s="277"/>
      <c r="J96" s="275" t="str">
        <f>TEXT($G$1, "[$-ko-KR]yyyy-mm-dd(ddd) ") &amp; "오후 21:00"</f>
        <v>2021-06-15(화) 오후 21:00</v>
      </c>
      <c r="K96" s="276"/>
      <c r="L96" s="277"/>
      <c r="M96" s="275" t="str">
        <f>TEXT($G$1+1, "[$-ko-KR]yyyy-mm-dd(ddd) ") &amp; "오전 00:00"</f>
        <v>2021-06-16(수) 오전 00:00</v>
      </c>
      <c r="N96" s="276"/>
      <c r="O96" s="277"/>
      <c r="Q96" s="261"/>
      <c r="R96" s="261"/>
      <c r="S96" s="261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7" t="s">
        <v>58</v>
      </c>
      <c r="H97" s="218" t="s">
        <v>293</v>
      </c>
      <c r="I97" s="21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1"/>
      <c r="R97" s="251"/>
      <c r="S97" s="251"/>
    </row>
    <row r="98" spans="1:19" ht="17.25" thickBot="1">
      <c r="A98" s="161" t="s">
        <v>161</v>
      </c>
      <c r="B98" s="124">
        <v>760</v>
      </c>
      <c r="C98" s="76">
        <v>0.52</v>
      </c>
      <c r="D98" s="13">
        <v>855</v>
      </c>
      <c r="E98" s="14">
        <f>IF(ISNUMBER(D98), (D98 - $B98) / $B98, "")</f>
        <v>0.125</v>
      </c>
      <c r="F98" s="16">
        <f>IF(ISNUMBER(D98), $B118 * E98, "")</f>
        <v>12500</v>
      </c>
      <c r="G98" s="29">
        <v>759</v>
      </c>
      <c r="H98" s="14">
        <f>IF(ISNUMBER(G98), (G98 - $B98) / $B98, "")</f>
        <v>-1.3157894736842105E-3</v>
      </c>
      <c r="I98" s="100">
        <f>IF(ISNUMBER(G98), $B118 * H98, "")</f>
        <v>-131.57894736842104</v>
      </c>
      <c r="J98" s="13">
        <v>765</v>
      </c>
      <c r="K98" s="14">
        <f>IF(ISNUMBER(J98), (J98 - $B98) / $B98, "")</f>
        <v>6.5789473684210523E-3</v>
      </c>
      <c r="L98" s="16">
        <f>IF(ISNUMBER(J98), $B118 * K98, "")</f>
        <v>657.8947368421052</v>
      </c>
      <c r="M98" s="29">
        <v>736</v>
      </c>
      <c r="N98" s="14">
        <f>IF(ISNUMBER(M98), (M98 - $B98) / $B98, "")</f>
        <v>-3.1578947368421054E-2</v>
      </c>
      <c r="O98" s="16">
        <f>IF(ISNUMBER(M98), $B118 * N98, "")</f>
        <v>-3157.8947368421054</v>
      </c>
      <c r="Q98" s="261"/>
      <c r="R98" s="261"/>
      <c r="S98" s="261"/>
    </row>
    <row r="99" spans="1:19" ht="17.25" thickBot="1">
      <c r="A99" s="162" t="s">
        <v>197</v>
      </c>
      <c r="B99" s="126">
        <v>13.7</v>
      </c>
      <c r="C99" s="77">
        <v>0.22321428569999999</v>
      </c>
      <c r="D99" s="15">
        <v>15.5</v>
      </c>
      <c r="E99" s="32">
        <f t="shared" ref="E99:E102" si="46">IF(ISNUMBER(D99), (D99 - $B99) / $B99, "")</f>
        <v>0.13138686131386867</v>
      </c>
      <c r="F99" s="18">
        <f>IF(ISNUMBER(D99), $B118 * E99, "")</f>
        <v>13138.686131386867</v>
      </c>
      <c r="G99" s="31">
        <v>15.6</v>
      </c>
      <c r="H99" s="32">
        <f t="shared" ref="H99:H102" si="47">IF(ISNUMBER(G99), (G99 - $B99) / $B99, "")</f>
        <v>0.13868613138686134</v>
      </c>
      <c r="I99" s="101">
        <f>IF(ISNUMBER(G99), $B118 * H99, "")</f>
        <v>13868.613138686134</v>
      </c>
      <c r="J99" s="15">
        <v>16.2</v>
      </c>
      <c r="K99" s="32">
        <f t="shared" ref="K99:K102" si="48">IF(ISNUMBER(J99), (J99 - $B99) / $B99, "")</f>
        <v>0.18248175182481752</v>
      </c>
      <c r="L99" s="18">
        <f>IF(ISNUMBER(J99), $B118 * K99, "")</f>
        <v>18248.175182481751</v>
      </c>
      <c r="M99" s="31">
        <v>15.3</v>
      </c>
      <c r="N99" s="32">
        <f t="shared" ref="N99:N102" si="49">IF(ISNUMBER(M99), (M99 - $B99) / $B99, "")</f>
        <v>0.11678832116788332</v>
      </c>
      <c r="O99" s="18">
        <f>IF(ISNUMBER(M99), $B118 * N99, "")</f>
        <v>11678.832116788331</v>
      </c>
      <c r="Q99" s="261"/>
      <c r="R99" s="261"/>
      <c r="S99" s="261"/>
    </row>
    <row r="100" spans="1:19" ht="17.25" thickBot="1">
      <c r="A100" s="162" t="s">
        <v>231</v>
      </c>
      <c r="B100" s="126">
        <v>360</v>
      </c>
      <c r="C100" s="77">
        <v>0.18811881189999999</v>
      </c>
      <c r="D100" s="15">
        <v>391</v>
      </c>
      <c r="E100" s="32">
        <f t="shared" si="46"/>
        <v>8.611111111111111E-2</v>
      </c>
      <c r="F100" s="18">
        <f>IF(ISNUMBER(D100), $B118 * E100, "")</f>
        <v>8611.1111111111113</v>
      </c>
      <c r="G100" s="31">
        <v>347</v>
      </c>
      <c r="H100" s="32">
        <f t="shared" si="47"/>
        <v>-3.6111111111111108E-2</v>
      </c>
      <c r="I100" s="101">
        <f>IF(ISNUMBER(G100), $B118 * H100, "")</f>
        <v>-3611.1111111111109</v>
      </c>
      <c r="J100" s="15">
        <v>344</v>
      </c>
      <c r="K100" s="32">
        <f t="shared" si="48"/>
        <v>-4.4444444444444446E-2</v>
      </c>
      <c r="L100" s="18">
        <f>IF(ISNUMBER(J100), $B118 * K100, "")</f>
        <v>-4444.4444444444443</v>
      </c>
      <c r="M100" s="31">
        <v>345</v>
      </c>
      <c r="N100" s="32">
        <f t="shared" si="49"/>
        <v>-4.1666666666666664E-2</v>
      </c>
      <c r="O100" s="18">
        <f>IF(ISNUMBER(M100), $B118 * N100, "")</f>
        <v>-4166.6666666666661</v>
      </c>
      <c r="Q100" s="251"/>
      <c r="R100" s="251"/>
      <c r="S100" s="251"/>
    </row>
    <row r="101" spans="1:19" ht="17.25" thickBot="1">
      <c r="A101" s="162" t="s">
        <v>234</v>
      </c>
      <c r="B101" s="126">
        <v>96.1</v>
      </c>
      <c r="C101" s="77">
        <v>0.1454112038</v>
      </c>
      <c r="D101" s="15">
        <v>99</v>
      </c>
      <c r="E101" s="32">
        <f t="shared" si="46"/>
        <v>3.0176899063475607E-2</v>
      </c>
      <c r="F101" s="18">
        <f>IF(ISNUMBER(D101), $B118 * E101, "")</f>
        <v>3017.6899063475607</v>
      </c>
      <c r="G101" s="31">
        <v>94.6</v>
      </c>
      <c r="H101" s="32">
        <f t="shared" si="47"/>
        <v>-1.5608740894901146E-2</v>
      </c>
      <c r="I101" s="101">
        <f>IF(ISNUMBER(G101), $B118 * H101, "")</f>
        <v>-1560.8740894901146</v>
      </c>
      <c r="J101" s="15">
        <v>94.6</v>
      </c>
      <c r="K101" s="32">
        <f t="shared" si="48"/>
        <v>-1.5608740894901146E-2</v>
      </c>
      <c r="L101" s="18">
        <f>IF(ISNUMBER(J101), $B118 * K101, "")</f>
        <v>-1560.8740894901146</v>
      </c>
      <c r="M101" s="31">
        <v>93.4</v>
      </c>
      <c r="N101" s="32">
        <f t="shared" si="49"/>
        <v>-2.8095733610821943E-2</v>
      </c>
      <c r="O101" s="18">
        <f>IF(ISNUMBER(M101), $B118 * N101, "")</f>
        <v>-2809.5733610821944</v>
      </c>
      <c r="Q101" s="251"/>
      <c r="R101" s="251"/>
      <c r="S101" s="251"/>
    </row>
    <row r="102" spans="1:19" ht="17.25" thickBot="1">
      <c r="A102" s="163" t="s">
        <v>215</v>
      </c>
      <c r="B102" s="128">
        <v>5.8</v>
      </c>
      <c r="C102" s="78">
        <v>0.14398422089999999</v>
      </c>
      <c r="D102" s="20">
        <v>6.9</v>
      </c>
      <c r="E102" s="21">
        <f t="shared" si="46"/>
        <v>0.1896551724137932</v>
      </c>
      <c r="F102" s="22">
        <f>IF(ISNUMBER(D102), $B118 * E102, "")</f>
        <v>18965.517241379319</v>
      </c>
      <c r="G102" s="30">
        <v>6.04</v>
      </c>
      <c r="H102" s="21">
        <f t="shared" si="47"/>
        <v>4.1379310344827627E-2</v>
      </c>
      <c r="I102" s="105">
        <f>IF(ISNUMBER(G102), $B118 * H102, "")</f>
        <v>4137.9310344827627</v>
      </c>
      <c r="J102" s="20">
        <v>6.03</v>
      </c>
      <c r="K102" s="21">
        <f t="shared" si="48"/>
        <v>3.9655172413793176E-2</v>
      </c>
      <c r="L102" s="22">
        <f>IF(ISNUMBER(J102), $B118 * K102, "")</f>
        <v>3965.5172413793175</v>
      </c>
      <c r="M102" s="30">
        <v>6.12</v>
      </c>
      <c r="N102" s="21">
        <f t="shared" si="49"/>
        <v>5.5172413793103496E-2</v>
      </c>
      <c r="O102" s="22">
        <f>IF(ISNUMBER(M102), $B118 * N102, "")</f>
        <v>5517.2413793103497</v>
      </c>
      <c r="Q102" s="251"/>
      <c r="R102" s="251"/>
      <c r="S102" s="251"/>
    </row>
    <row r="103" spans="1:19" ht="17.25" thickBot="1">
      <c r="A103" s="162" t="s">
        <v>229</v>
      </c>
      <c r="B103" s="129">
        <v>94.3</v>
      </c>
      <c r="C103" s="80">
        <v>0.1107184923</v>
      </c>
      <c r="D103" s="106">
        <v>93.4</v>
      </c>
      <c r="E103" s="107">
        <f>IF(ISNUMBER(D103), (D103 - $B103) / $B103, "")</f>
        <v>-9.544008483563007E-3</v>
      </c>
      <c r="F103" s="108">
        <f>IF(ISNUMBER(D103), $B118 * E103, "")</f>
        <v>-954.40084835630068</v>
      </c>
      <c r="G103" s="109">
        <v>93</v>
      </c>
      <c r="H103" s="107">
        <f>IF(ISNUMBER(G103), (G103 - $B103) / $B103, "")</f>
        <v>-1.3785790031813332E-2</v>
      </c>
      <c r="I103" s="110">
        <f>IF(ISNUMBER(G103), $B118 * H103, "")</f>
        <v>-1378.5790031813333</v>
      </c>
      <c r="J103" s="106">
        <v>92.8</v>
      </c>
      <c r="K103" s="107">
        <f>IF(ISNUMBER(J103), (J103 - $B103) / $B103, "")</f>
        <v>-1.5906680805938496E-2</v>
      </c>
      <c r="L103" s="108">
        <f>IF(ISNUMBER(J103), $B118 * K103, "")</f>
        <v>-1590.6680805938495</v>
      </c>
      <c r="M103" s="109">
        <v>92.6</v>
      </c>
      <c r="N103" s="107">
        <f>IF(ISNUMBER(M103), (M103 - $B103) / $B103, "")</f>
        <v>-1.8027571580063656E-2</v>
      </c>
      <c r="O103" s="108">
        <f>IF(ISNUMBER(M103), $B118 * N103, "")</f>
        <v>-1802.7571580063657</v>
      </c>
      <c r="Q103" s="251"/>
      <c r="R103" s="251"/>
      <c r="S103" s="251"/>
    </row>
    <row r="104" spans="1:19" ht="17.25" thickBot="1">
      <c r="A104" s="162" t="s">
        <v>160</v>
      </c>
      <c r="B104" s="126">
        <v>1650</v>
      </c>
      <c r="C104" s="77">
        <v>9.6345515000000007E-2</v>
      </c>
      <c r="D104" s="15">
        <v>1665</v>
      </c>
      <c r="E104" s="32">
        <f t="shared" ref="E104:E107" si="50">IF(ISNUMBER(D104), (D104 - $B104) / $B104, "")</f>
        <v>9.0909090909090905E-3</v>
      </c>
      <c r="F104" s="18">
        <f>IF(ISNUMBER(D104), $B118 * E104, "")</f>
        <v>909.09090909090901</v>
      </c>
      <c r="G104" s="31">
        <v>1610</v>
      </c>
      <c r="H104" s="32">
        <f t="shared" ref="H104:H107" si="51">IF(ISNUMBER(G104), (G104 - $B104) / $B104, "")</f>
        <v>-2.4242424242424242E-2</v>
      </c>
      <c r="I104" s="101">
        <f>IF(ISNUMBER(G104), $B118 * H104, "")</f>
        <v>-2424.242424242424</v>
      </c>
      <c r="J104" s="15">
        <v>1600</v>
      </c>
      <c r="K104" s="32">
        <f t="shared" ref="K104:K107" si="52">IF(ISNUMBER(J104), (J104 - $B104) / $B104, "")</f>
        <v>-3.0303030303030304E-2</v>
      </c>
      <c r="L104" s="18">
        <f>IF(ISNUMBER(J104), $B118 * K104, "")</f>
        <v>-3030.3030303030305</v>
      </c>
      <c r="M104" s="31">
        <v>1590</v>
      </c>
      <c r="N104" s="32">
        <f t="shared" ref="N104:N107" si="53">IF(ISNUMBER(M104), (M104 - $B104) / $B104, "")</f>
        <v>-3.6363636363636362E-2</v>
      </c>
      <c r="O104" s="18">
        <f>IF(ISNUMBER(M104), $B118 * N104, "")</f>
        <v>-3636.363636363636</v>
      </c>
      <c r="Q104" s="251"/>
      <c r="R104" s="251"/>
      <c r="S104" s="251"/>
    </row>
    <row r="105" spans="1:19" ht="17.25" thickBot="1">
      <c r="A105" s="162" t="s">
        <v>206</v>
      </c>
      <c r="B105" s="126">
        <v>97.8</v>
      </c>
      <c r="C105" s="77">
        <v>8.6666666700000006E-2</v>
      </c>
      <c r="D105" s="15">
        <v>110</v>
      </c>
      <c r="E105" s="32">
        <f t="shared" si="50"/>
        <v>0.12474437627811864</v>
      </c>
      <c r="F105" s="18">
        <f>IF(ISNUMBER(D105), $B118 * E105, "")</f>
        <v>12474.437627811863</v>
      </c>
      <c r="G105" s="31">
        <v>99.7</v>
      </c>
      <c r="H105" s="32">
        <f t="shared" si="51"/>
        <v>1.9427402862985745E-2</v>
      </c>
      <c r="I105" s="101">
        <f>IF(ISNUMBER(G105), $B118 * H105, "")</f>
        <v>1942.7402862985746</v>
      </c>
      <c r="J105" s="15">
        <v>99.4</v>
      </c>
      <c r="K105" s="32">
        <f t="shared" si="52"/>
        <v>1.6359918200409086E-2</v>
      </c>
      <c r="L105" s="18">
        <f>IF(ISNUMBER(J105), $B118 * K105, "")</f>
        <v>1635.9918200409086</v>
      </c>
      <c r="M105" s="31">
        <v>98.4</v>
      </c>
      <c r="N105" s="32">
        <f t="shared" si="53"/>
        <v>6.134969325153462E-3</v>
      </c>
      <c r="O105" s="18">
        <f>IF(ISNUMBER(M105), $B118 * N105, "")</f>
        <v>613.4969325153462</v>
      </c>
      <c r="Q105" s="251"/>
      <c r="R105" s="251"/>
      <c r="S105" s="251"/>
    </row>
    <row r="106" spans="1:19" ht="17.25" thickBot="1">
      <c r="A106" s="162" t="s">
        <v>212</v>
      </c>
      <c r="B106" s="126">
        <v>9.9700000000000006</v>
      </c>
      <c r="C106" s="77">
        <v>8.6056644900000007E-2</v>
      </c>
      <c r="D106" s="15">
        <v>10.1</v>
      </c>
      <c r="E106" s="32">
        <f t="shared" si="50"/>
        <v>1.3039117352056068E-2</v>
      </c>
      <c r="F106" s="18">
        <f>IF(ISNUMBER(D106), $B118 * E106, "")</f>
        <v>1303.9117352056069</v>
      </c>
      <c r="G106" s="31">
        <v>10.7</v>
      </c>
      <c r="H106" s="32">
        <f t="shared" si="51"/>
        <v>7.3219658976930654E-2</v>
      </c>
      <c r="I106" s="101">
        <f>IF(ISNUMBER(G106), $B118 * H106, "")</f>
        <v>7321.965897693065</v>
      </c>
      <c r="J106" s="15">
        <v>10.7</v>
      </c>
      <c r="K106" s="32">
        <f t="shared" si="52"/>
        <v>7.3219658976930654E-2</v>
      </c>
      <c r="L106" s="18">
        <f>IF(ISNUMBER(J106), $B118 * K106, "")</f>
        <v>7321.965897693065</v>
      </c>
      <c r="M106" s="31">
        <v>10.5</v>
      </c>
      <c r="N106" s="32">
        <f t="shared" si="53"/>
        <v>5.315947843530585E-2</v>
      </c>
      <c r="O106" s="18">
        <f>IF(ISNUMBER(M106), $B118 * N106, "")</f>
        <v>5315.9478435305846</v>
      </c>
      <c r="Q106" s="33"/>
      <c r="R106" s="33"/>
    </row>
    <row r="107" spans="1:19" ht="17.25" thickBot="1">
      <c r="A107" s="130" t="s">
        <v>126</v>
      </c>
      <c r="B107" s="131">
        <v>26.3</v>
      </c>
      <c r="C107" s="79">
        <v>7.3469387799999994E-2</v>
      </c>
      <c r="D107" s="24">
        <v>26.4</v>
      </c>
      <c r="E107" s="25">
        <f t="shared" si="50"/>
        <v>3.8022813688212117E-3</v>
      </c>
      <c r="F107" s="104">
        <f>IF(ISNUMBER(D107), $B118 * E107, "")</f>
        <v>380.22813688212119</v>
      </c>
      <c r="G107" s="102">
        <v>26.1</v>
      </c>
      <c r="H107" s="25">
        <f t="shared" si="51"/>
        <v>-7.6045627376425586E-3</v>
      </c>
      <c r="I107" s="103">
        <f>IF(ISNUMBER(G107), $B118 * H107, "")</f>
        <v>-760.45627376425591</v>
      </c>
      <c r="J107" s="24">
        <v>26.2</v>
      </c>
      <c r="K107" s="25">
        <f t="shared" si="52"/>
        <v>-3.8022813688213465E-3</v>
      </c>
      <c r="L107" s="104">
        <f>IF(ISNUMBER(J107), $B118 * K107, "")</f>
        <v>-380.22813688213466</v>
      </c>
      <c r="M107" s="102">
        <v>25.4</v>
      </c>
      <c r="N107" s="25">
        <f t="shared" si="53"/>
        <v>-3.4220532319391712E-2</v>
      </c>
      <c r="O107" s="104">
        <f>IF(ISNUMBER(M107), $B118 * N107, "")</f>
        <v>-3422.0532319391714</v>
      </c>
      <c r="Q107" s="252"/>
      <c r="R107" s="253"/>
      <c r="S107" s="254"/>
    </row>
    <row r="108" spans="1:19">
      <c r="A108" s="161" t="s">
        <v>150</v>
      </c>
      <c r="B108" s="124">
        <v>2340</v>
      </c>
      <c r="C108" s="76">
        <v>6.8493150700000005E-2</v>
      </c>
      <c r="D108" s="13">
        <v>2415</v>
      </c>
      <c r="E108" s="14">
        <f>IF(ISNUMBER(D108), (D108 - $B108) / $B108, "")</f>
        <v>3.2051282051282048E-2</v>
      </c>
      <c r="F108" s="16">
        <f>IF(ISNUMBER(D108), $B118 * E108, "")</f>
        <v>3205.1282051282046</v>
      </c>
      <c r="G108" s="29">
        <v>2450</v>
      </c>
      <c r="H108" s="14">
        <f>IF(ISNUMBER(G108), (G108 - $B108) / $B108, "")</f>
        <v>4.7008547008547008E-2</v>
      </c>
      <c r="I108" s="100">
        <f>IF(ISNUMBER(G108), $B118 * H108, "")</f>
        <v>4700.8547008547012</v>
      </c>
      <c r="J108" s="13">
        <v>2430</v>
      </c>
      <c r="K108" s="14">
        <f>IF(ISNUMBER(J108), (J108 - $B108) / $B108, "")</f>
        <v>3.8461538461538464E-2</v>
      </c>
      <c r="L108" s="16">
        <f>IF(ISNUMBER(J108), $B118 * K108, "")</f>
        <v>3846.1538461538462</v>
      </c>
      <c r="M108" s="29">
        <v>2400</v>
      </c>
      <c r="N108" s="14">
        <f>IF(ISNUMBER(M108), (M108 - $B108) / $B108, "")</f>
        <v>2.564102564102564E-2</v>
      </c>
      <c r="O108" s="16">
        <f>IF(ISNUMBER(M108), $B118 * N108, "")</f>
        <v>2564.102564102564</v>
      </c>
      <c r="Q108" s="255"/>
      <c r="R108" s="256"/>
      <c r="S108" s="257"/>
    </row>
    <row r="109" spans="1:19" ht="17.25" thickBot="1">
      <c r="A109" s="162" t="s">
        <v>223</v>
      </c>
      <c r="B109" s="126">
        <v>217</v>
      </c>
      <c r="C109" s="77">
        <v>6.3725490199999998E-2</v>
      </c>
      <c r="D109" s="15">
        <v>218</v>
      </c>
      <c r="E109" s="32">
        <f t="shared" ref="E109:E112" si="54">IF(ISNUMBER(D109), (D109 - $B109) / $B109, "")</f>
        <v>4.608294930875576E-3</v>
      </c>
      <c r="F109" s="18">
        <f>IF(ISNUMBER(D109), $B118 * E109, "")</f>
        <v>460.82949308755758</v>
      </c>
      <c r="G109" s="31">
        <v>215</v>
      </c>
      <c r="H109" s="32">
        <f t="shared" ref="H109:H112" si="55">IF(ISNUMBER(G109), (G109 - $B109) / $B109, "")</f>
        <v>-9.2165898617511521E-3</v>
      </c>
      <c r="I109" s="101">
        <f>IF(ISNUMBER(G109), $B118 * H109, "")</f>
        <v>-921.65898617511516</v>
      </c>
      <c r="J109" s="15">
        <v>217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216</v>
      </c>
      <c r="N109" s="32">
        <f t="shared" ref="N109:N112" si="57">IF(ISNUMBER(M109), (M109 - $B109) / $B109, "")</f>
        <v>-4.608294930875576E-3</v>
      </c>
      <c r="O109" s="18">
        <f>IF(ISNUMBER(M109), $B118 * N109, "")</f>
        <v>-460.82949308755758</v>
      </c>
      <c r="Q109" s="258"/>
      <c r="R109" s="259"/>
      <c r="S109" s="260"/>
    </row>
    <row r="110" spans="1:19" ht="17.25" thickBot="1">
      <c r="A110" s="162" t="s">
        <v>221</v>
      </c>
      <c r="B110" s="126">
        <v>1170</v>
      </c>
      <c r="C110" s="77">
        <v>5.8823529399999998E-2</v>
      </c>
      <c r="D110" s="15">
        <v>1160</v>
      </c>
      <c r="E110" s="32">
        <f t="shared" si="54"/>
        <v>-8.5470085470085479E-3</v>
      </c>
      <c r="F110" s="18">
        <f>IF(ISNUMBER(D110), $B118 * E110, "")</f>
        <v>-854.70085470085473</v>
      </c>
      <c r="G110" s="31">
        <v>1165</v>
      </c>
      <c r="H110" s="32">
        <f t="shared" si="55"/>
        <v>-4.2735042735042739E-3</v>
      </c>
      <c r="I110" s="101">
        <f>IF(ISNUMBER(G110), $B118 * H110, "")</f>
        <v>-427.35042735042737</v>
      </c>
      <c r="J110" s="15">
        <v>1170</v>
      </c>
      <c r="K110" s="32">
        <f t="shared" si="56"/>
        <v>0</v>
      </c>
      <c r="L110" s="18">
        <f>IF(ISNUMBER(J110), $B118 * K110, "")</f>
        <v>0</v>
      </c>
      <c r="M110" s="31">
        <v>1160</v>
      </c>
      <c r="N110" s="32">
        <f t="shared" si="57"/>
        <v>-8.5470085470085479E-3</v>
      </c>
      <c r="O110" s="18">
        <f>IF(ISNUMBER(M110), $B118 * N110, "")</f>
        <v>-854.70085470085473</v>
      </c>
      <c r="Q110" s="251"/>
      <c r="R110" s="251"/>
      <c r="S110" s="251"/>
    </row>
    <row r="111" spans="1:19" ht="17.25" thickBot="1">
      <c r="A111" s="162" t="s">
        <v>249</v>
      </c>
      <c r="B111" s="126">
        <v>20.6</v>
      </c>
      <c r="C111" s="77">
        <v>5.6410256399999997E-2</v>
      </c>
      <c r="D111" s="15">
        <v>23</v>
      </c>
      <c r="E111" s="32">
        <f t="shared" si="54"/>
        <v>0.11650485436893196</v>
      </c>
      <c r="F111" s="18">
        <f>IF(ISNUMBER(D111), $B118 * E111, "")</f>
        <v>11650.485436893196</v>
      </c>
      <c r="G111" s="31">
        <v>21.1</v>
      </c>
      <c r="H111" s="32">
        <f t="shared" si="55"/>
        <v>2.4271844660194174E-2</v>
      </c>
      <c r="I111" s="101">
        <f>IF(ISNUMBER(G111), $B118 * H111, "")</f>
        <v>2427.1844660194174</v>
      </c>
      <c r="J111" s="15">
        <v>21.2</v>
      </c>
      <c r="K111" s="32">
        <f t="shared" si="56"/>
        <v>2.9126213592232903E-2</v>
      </c>
      <c r="L111" s="18">
        <f>IF(ISNUMBER(J111), $B118 * K111, "")</f>
        <v>2912.6213592232903</v>
      </c>
      <c r="M111" s="31">
        <v>21.8</v>
      </c>
      <c r="N111" s="32">
        <f t="shared" si="57"/>
        <v>5.825242718446598E-2</v>
      </c>
      <c r="O111" s="18">
        <f>IF(ISNUMBER(M111), $B118 * N111, "")</f>
        <v>5825.2427184465978</v>
      </c>
      <c r="Q111" s="261"/>
      <c r="R111" s="261"/>
      <c r="S111" s="261"/>
    </row>
    <row r="112" spans="1:19" ht="17.25" thickBot="1">
      <c r="A112" s="163" t="s">
        <v>238</v>
      </c>
      <c r="B112" s="128">
        <v>3515</v>
      </c>
      <c r="C112" s="78">
        <v>5.5555555600000001E-2</v>
      </c>
      <c r="D112" s="20">
        <v>3560</v>
      </c>
      <c r="E112" s="21">
        <f t="shared" si="54"/>
        <v>1.2802275960170697E-2</v>
      </c>
      <c r="F112" s="22">
        <f>IF(ISNUMBER(D112), $B118 * E112, "")</f>
        <v>1280.2275960170696</v>
      </c>
      <c r="G112" s="30">
        <v>3480</v>
      </c>
      <c r="H112" s="21">
        <f t="shared" si="55"/>
        <v>-9.9573257467994308E-3</v>
      </c>
      <c r="I112" s="105">
        <f>IF(ISNUMBER(G112), $B118 * H112, "")</f>
        <v>-995.73257467994313</v>
      </c>
      <c r="J112" s="20">
        <v>3445</v>
      </c>
      <c r="K112" s="21">
        <f t="shared" si="56"/>
        <v>-1.9914651493598862E-2</v>
      </c>
      <c r="L112" s="22">
        <f>IF(ISNUMBER(J112), $B118 * K112, "")</f>
        <v>-1991.4651493598863</v>
      </c>
      <c r="M112" s="30">
        <v>3420</v>
      </c>
      <c r="N112" s="21">
        <f t="shared" si="57"/>
        <v>-2.7027027027027029E-2</v>
      </c>
      <c r="O112" s="22">
        <f>IF(ISNUMBER(M112), $B118 * N112, "")</f>
        <v>-2702.7027027027029</v>
      </c>
      <c r="Q112" s="261"/>
      <c r="R112" s="261"/>
      <c r="S112" s="261"/>
    </row>
    <row r="113" spans="1:19" ht="17.25" thickBot="1">
      <c r="A113" s="162" t="s">
        <v>225</v>
      </c>
      <c r="B113" s="129">
        <v>8.17</v>
      </c>
      <c r="C113" s="80">
        <v>5.41935484E-2</v>
      </c>
      <c r="D113" s="106">
        <v>8.1199999999999992</v>
      </c>
      <c r="E113" s="107">
        <f>IF(ISNUMBER(D113), (D113 - $B113) / $B113, "")</f>
        <v>-6.1199510403917639E-3</v>
      </c>
      <c r="F113" s="108">
        <f>IF(ISNUMBER(D113), $B118 * E113, "")</f>
        <v>-611.99510403917634</v>
      </c>
      <c r="G113" s="109">
        <v>9.15</v>
      </c>
      <c r="H113" s="107">
        <f>IF(ISNUMBER(G113), (G113 - $B113) / $B113, "")</f>
        <v>0.11995104039167692</v>
      </c>
      <c r="I113" s="110">
        <f>IF(ISNUMBER(G113), $B118 * H113, "")</f>
        <v>11995.104039167692</v>
      </c>
      <c r="J113" s="106">
        <v>9.06</v>
      </c>
      <c r="K113" s="107">
        <f>IF(ISNUMBER(J113), (J113 - $B113) / $B113, "")</f>
        <v>0.10893512851897191</v>
      </c>
      <c r="L113" s="108">
        <f>IF(ISNUMBER(J113), $B118 * K113, "")</f>
        <v>10893.512851897191</v>
      </c>
      <c r="M113" s="109">
        <v>8.6300000000000008</v>
      </c>
      <c r="N113" s="107">
        <f>IF(ISNUMBER(M113), (M113 - $B113) / $B113, "")</f>
        <v>5.630354957160353E-2</v>
      </c>
      <c r="O113" s="108">
        <f>IF(ISNUMBER(M113), $B118 * N113, "")</f>
        <v>5630.3549571603526</v>
      </c>
      <c r="Q113" s="251"/>
      <c r="R113" s="251"/>
      <c r="S113" s="251"/>
    </row>
    <row r="114" spans="1:19" ht="17.25" thickBot="1">
      <c r="A114" s="162" t="s">
        <v>248</v>
      </c>
      <c r="B114" s="126">
        <v>102</v>
      </c>
      <c r="C114" s="77">
        <v>5.3719008300000003E-2</v>
      </c>
      <c r="D114" s="15">
        <v>122</v>
      </c>
      <c r="E114" s="32">
        <f t="shared" ref="E114:E117" si="58">IF(ISNUMBER(D114), (D114 - $B114) / $B114, "")</f>
        <v>0.19607843137254902</v>
      </c>
      <c r="F114" s="18">
        <f>IF(ISNUMBER(D114), $B118 * E114, "")</f>
        <v>19607.843137254902</v>
      </c>
      <c r="G114" s="31">
        <v>113</v>
      </c>
      <c r="H114" s="32">
        <f t="shared" ref="H114:H117" si="59">IF(ISNUMBER(G114), (G114 - $B114) / $B114, "")</f>
        <v>0.10784313725490197</v>
      </c>
      <c r="I114" s="101">
        <f>IF(ISNUMBER(G114), $B118 * H114, "")</f>
        <v>10784.313725490196</v>
      </c>
      <c r="J114" s="15">
        <v>109</v>
      </c>
      <c r="K114" s="32">
        <f t="shared" ref="K114:K117" si="60">IF(ISNUMBER(J114), (J114 - $B114) / $B114, "")</f>
        <v>6.8627450980392163E-2</v>
      </c>
      <c r="L114" s="18">
        <f>IF(ISNUMBER(J114), $B118 * K114, "")</f>
        <v>6862.7450980392159</v>
      </c>
      <c r="M114" s="31">
        <v>110</v>
      </c>
      <c r="N114" s="32">
        <f t="shared" ref="N114:N117" si="61">IF(ISNUMBER(M114), (M114 - $B114) / $B114, "")</f>
        <v>7.8431372549019607E-2</v>
      </c>
      <c r="O114" s="18">
        <f>IF(ISNUMBER(M114), $B118 * N114, "")</f>
        <v>7843.1372549019607</v>
      </c>
      <c r="Q114" s="251"/>
      <c r="R114" s="251"/>
      <c r="S114" s="251"/>
    </row>
    <row r="115" spans="1:19" ht="17.25" thickBot="1">
      <c r="A115" s="162" t="s">
        <v>69</v>
      </c>
      <c r="B115" s="126">
        <v>4795</v>
      </c>
      <c r="C115" s="77">
        <v>5.26893524E-2</v>
      </c>
      <c r="D115" s="15">
        <v>4885</v>
      </c>
      <c r="E115" s="32">
        <f t="shared" si="58"/>
        <v>1.8769551616266946E-2</v>
      </c>
      <c r="F115" s="18">
        <f>IF(ISNUMBER(D115), $B118 * E115, "")</f>
        <v>1876.9551616266947</v>
      </c>
      <c r="G115" s="31">
        <v>4885</v>
      </c>
      <c r="H115" s="32">
        <f t="shared" si="59"/>
        <v>1.8769551616266946E-2</v>
      </c>
      <c r="I115" s="101">
        <f>IF(ISNUMBER(G115), $B118 * H115, "")</f>
        <v>1876.9551616266947</v>
      </c>
      <c r="J115" s="15">
        <v>4875</v>
      </c>
      <c r="K115" s="32">
        <f t="shared" si="60"/>
        <v>1.6684045881126174E-2</v>
      </c>
      <c r="L115" s="18">
        <f>IF(ISNUMBER(J115), $B118 * K115, "")</f>
        <v>1668.4045881126174</v>
      </c>
      <c r="M115" s="31">
        <v>4820</v>
      </c>
      <c r="N115" s="32">
        <f t="shared" si="61"/>
        <v>5.2137643378519288E-3</v>
      </c>
      <c r="O115" s="18">
        <f>IF(ISNUMBER(M115), $B118 * N115, "")</f>
        <v>521.37643378519283</v>
      </c>
      <c r="Q115" s="251"/>
      <c r="R115" s="251"/>
      <c r="S115" s="251"/>
    </row>
    <row r="116" spans="1:19">
      <c r="A116" s="162" t="s">
        <v>173</v>
      </c>
      <c r="B116" s="126">
        <v>120</v>
      </c>
      <c r="C116" s="77">
        <v>5.2631578900000003E-2</v>
      </c>
      <c r="D116" s="15">
        <v>128</v>
      </c>
      <c r="E116" s="32">
        <f t="shared" si="58"/>
        <v>6.6666666666666666E-2</v>
      </c>
      <c r="F116" s="18">
        <f>IF(ISNUMBER(D116), $B118 * E116, "")</f>
        <v>6666.666666666667</v>
      </c>
      <c r="G116" s="31">
        <v>127</v>
      </c>
      <c r="H116" s="32">
        <f t="shared" si="59"/>
        <v>5.8333333333333334E-2</v>
      </c>
      <c r="I116" s="101">
        <f>IF(ISNUMBER(G116), $B118 * H116, "")</f>
        <v>5833.333333333333</v>
      </c>
      <c r="J116" s="15">
        <v>129</v>
      </c>
      <c r="K116" s="32">
        <f t="shared" si="60"/>
        <v>7.4999999999999997E-2</v>
      </c>
      <c r="L116" s="18">
        <f>IF(ISNUMBER(J116), $B118 * K116, "")</f>
        <v>7500</v>
      </c>
      <c r="M116" s="31">
        <v>128</v>
      </c>
      <c r="N116" s="32">
        <f t="shared" si="61"/>
        <v>6.6666666666666666E-2</v>
      </c>
      <c r="O116" s="18">
        <f>IF(ISNUMBER(M116), $B118 * N116, "")</f>
        <v>6666.666666666667</v>
      </c>
      <c r="Q116" s="240"/>
      <c r="R116" s="241"/>
      <c r="S116" s="242"/>
    </row>
    <row r="117" spans="1:19" ht="17.25" thickBot="1">
      <c r="A117" s="130" t="s">
        <v>246</v>
      </c>
      <c r="B117" s="131">
        <v>58</v>
      </c>
      <c r="C117" s="79">
        <v>5.0724637699999998E-2</v>
      </c>
      <c r="D117" s="24">
        <v>90.6</v>
      </c>
      <c r="E117" s="25">
        <f t="shared" si="58"/>
        <v>0.56206896551724128</v>
      </c>
      <c r="F117" s="104">
        <f>IF(ISNUMBER(D117), $B118 * E117, "")</f>
        <v>56206.89655172413</v>
      </c>
      <c r="G117" s="102">
        <v>78.3</v>
      </c>
      <c r="H117" s="25">
        <f t="shared" si="59"/>
        <v>0.35</v>
      </c>
      <c r="I117" s="103">
        <f>IF(ISNUMBER(G117), $B118 * H117, "")</f>
        <v>35000</v>
      </c>
      <c r="J117" s="24">
        <v>78.900000000000006</v>
      </c>
      <c r="K117" s="25">
        <f t="shared" si="60"/>
        <v>0.36034482758620701</v>
      </c>
      <c r="L117" s="104">
        <f>IF(ISNUMBER(J117), $B118 * K117, "")</f>
        <v>36034.482758620703</v>
      </c>
      <c r="M117" s="102">
        <v>79.400000000000006</v>
      </c>
      <c r="N117" s="25">
        <f t="shared" si="61"/>
        <v>0.36896551724137938</v>
      </c>
      <c r="O117" s="104">
        <f>IF(ISNUMBER(M117), $B118 * N117, "")</f>
        <v>36896.551724137935</v>
      </c>
      <c r="Q117" s="243"/>
      <c r="R117" s="244"/>
      <c r="S117" s="245"/>
    </row>
    <row r="118" spans="1:19" ht="17.25" thickBot="1">
      <c r="A118" s="132" t="s">
        <v>295</v>
      </c>
      <c r="B118" s="304">
        <f>$B$37</f>
        <v>100000</v>
      </c>
      <c r="C118" s="305"/>
      <c r="D118" s="26" t="s">
        <v>296</v>
      </c>
      <c r="E118" s="27">
        <f>IF(COUNT(E98:E117), SUM(E98:E117) / COUNT(E98:E117), 0)</f>
        <v>8.4917304120258733E-2</v>
      </c>
      <c r="F118" s="28">
        <f>SUM(F98:F117)</f>
        <v>169834.60824051744</v>
      </c>
      <c r="G118" s="26" t="s">
        <v>296</v>
      </c>
      <c r="H118" s="27">
        <f>IF(COUNT(H98:H117), SUM(H98:H117) / COUNT(H98:H117), 0)</f>
        <v>4.3838705973144709E-2</v>
      </c>
      <c r="I118" s="28">
        <f>SUM(I98:I117)</f>
        <v>87677.41194628943</v>
      </c>
      <c r="J118" s="26" t="s">
        <v>296</v>
      </c>
      <c r="K118" s="27">
        <f>IF(COUNT(K98:K117), SUM(K98:K117) / COUNT(K98:K117), 0)</f>
        <v>4.4274741224705275E-2</v>
      </c>
      <c r="L118" s="28">
        <f>SUM(L98:L117)</f>
        <v>88549.482449410541</v>
      </c>
      <c r="M118" s="26" t="s">
        <v>296</v>
      </c>
      <c r="N118" s="27">
        <f>IF(COUNT(N98:N117), SUM(N98:N117) / COUNT(N98:N117), 0)</f>
        <v>3.3029704374977313E-2</v>
      </c>
      <c r="O118" s="28">
        <f>SUM(O98:O117)</f>
        <v>66059.408749954629</v>
      </c>
      <c r="Q118" s="246"/>
      <c r="R118" s="247"/>
      <c r="S118" s="248"/>
    </row>
    <row r="120" spans="1:19" ht="17.25" thickBot="1"/>
    <row r="121" spans="1:19" ht="17.25" thickBot="1">
      <c r="A121" s="262" t="s">
        <v>283</v>
      </c>
      <c r="B121" s="263"/>
      <c r="C121" s="263"/>
      <c r="D121" s="263"/>
      <c r="E121" s="263"/>
      <c r="F121" s="263"/>
      <c r="G121" s="263"/>
      <c r="H121" s="263"/>
      <c r="I121" s="263"/>
      <c r="J121" s="263"/>
      <c r="K121" s="263"/>
      <c r="L121" s="263"/>
      <c r="M121" s="263"/>
      <c r="N121" s="263"/>
      <c r="O121" s="264"/>
      <c r="Q121" s="261"/>
      <c r="R121" s="261"/>
      <c r="S121" s="261"/>
    </row>
    <row r="122" spans="1:19" ht="17.25" thickBot="1">
      <c r="A122" s="216" t="s">
        <v>292</v>
      </c>
      <c r="B122" s="262" t="s">
        <v>49</v>
      </c>
      <c r="C122" s="264"/>
      <c r="D122" s="262" t="s">
        <v>58</v>
      </c>
      <c r="E122" s="263"/>
      <c r="F122" s="264"/>
      <c r="G122" s="265">
        <f>_xlfn.IFNA(VLOOKUP(B122, 현재가테이블!$B$2:$D$200, 2, FALSE), "-")</f>
        <v>40538000</v>
      </c>
      <c r="H122" s="266"/>
      <c r="I122" s="267"/>
      <c r="J122" s="262" t="s">
        <v>59</v>
      </c>
      <c r="K122" s="263"/>
      <c r="L122" s="264"/>
      <c r="M122" s="268">
        <f>_xlfn.IFNA(VLOOKUP(B122, 현재가테이블!$B$2:$D$200, 3, FALSE), "-")</f>
        <v>-3.68275993E-2</v>
      </c>
      <c r="N122" s="269"/>
      <c r="O122" s="270"/>
      <c r="Q122" s="261"/>
      <c r="R122" s="261"/>
      <c r="S122" s="261"/>
    </row>
    <row r="123" spans="1:19" ht="17.25" thickBot="1">
      <c r="A123" s="306" t="s">
        <v>55</v>
      </c>
      <c r="B123" s="302" t="str">
        <f>TEXT($G$1, "[$-ko-KR]yyyy-mm-dd(ddd) ") &amp; "오전 00:00"</f>
        <v>2021-06-15(화) 오전 00:00</v>
      </c>
      <c r="C123" s="303"/>
      <c r="D123" s="275" t="str">
        <f>TEXT($G$1, "[$-ko-KR]yyyy-mm-dd(ddd) ") &amp; "오후 14:00"</f>
        <v>2021-06-15(화) 오후 14:00</v>
      </c>
      <c r="E123" s="276"/>
      <c r="F123" s="277"/>
      <c r="G123" s="275" t="str">
        <f>TEXT($G$1, "[$-ko-KR]yyyy-mm-dd(ddd) ") &amp; "오후 19:00"</f>
        <v>2021-06-15(화) 오후 19:00</v>
      </c>
      <c r="H123" s="276"/>
      <c r="I123" s="277"/>
      <c r="J123" s="275" t="str">
        <f>TEXT($G$1, "[$-ko-KR]yyyy-mm-dd(ddd) ") &amp; "오후 21:00"</f>
        <v>2021-06-15(화) 오후 21:00</v>
      </c>
      <c r="K123" s="276"/>
      <c r="L123" s="277"/>
      <c r="M123" s="275" t="str">
        <f>TEXT($G$1+1, "[$-ko-KR]yyyy-mm-dd(ddd) ") &amp; "오전 00:00"</f>
        <v>2021-06-16(수) 오전 00:00</v>
      </c>
      <c r="N123" s="276"/>
      <c r="O123" s="277"/>
      <c r="Q123" s="261"/>
      <c r="R123" s="261"/>
      <c r="S123" s="261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7" t="s">
        <v>58</v>
      </c>
      <c r="H124" s="218" t="s">
        <v>293</v>
      </c>
      <c r="I124" s="21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1"/>
      <c r="R124" s="251"/>
      <c r="S124" s="251"/>
    </row>
    <row r="125" spans="1:19" ht="17.25" thickBot="1">
      <c r="A125" s="161" t="s">
        <v>65</v>
      </c>
      <c r="B125" s="124">
        <v>33</v>
      </c>
      <c r="C125" s="76">
        <v>2.48447205E-2</v>
      </c>
      <c r="D125" s="13">
        <v>33.799999999999997</v>
      </c>
      <c r="E125" s="14">
        <f>IF(ISNUMBER(D125), (D125 - $B125) / $B125, "")</f>
        <v>2.4242424242424156E-2</v>
      </c>
      <c r="F125" s="16">
        <f>IF(ISNUMBER(D125), $B145 * E125, "")</f>
        <v>2424.2424242424154</v>
      </c>
      <c r="G125" s="29">
        <v>33</v>
      </c>
      <c r="H125" s="14">
        <f>IF(ISNUMBER(G125), (G125 - $B125) / $B125, "")</f>
        <v>0</v>
      </c>
      <c r="I125" s="100">
        <f>IF(ISNUMBER(G125), $B145 * H125, "")</f>
        <v>0</v>
      </c>
      <c r="J125" s="13">
        <v>33</v>
      </c>
      <c r="K125" s="14">
        <f>IF(ISNUMBER(J125), (J125 - $B125) / $B125, "")</f>
        <v>0</v>
      </c>
      <c r="L125" s="16">
        <f>IF(ISNUMBER(J125), $B145 * K125, "")</f>
        <v>0</v>
      </c>
      <c r="M125" s="29">
        <v>32.799999999999997</v>
      </c>
      <c r="N125" s="14">
        <f>IF(ISNUMBER(M125), (M125 - $B125) / $B125, "")</f>
        <v>-6.0606060606061465E-3</v>
      </c>
      <c r="O125" s="16">
        <f>IF(ISNUMBER(M125), $B145 * N125, "")</f>
        <v>-606.06060606061465</v>
      </c>
      <c r="Q125" s="261"/>
      <c r="R125" s="261"/>
      <c r="S125" s="261"/>
    </row>
    <row r="126" spans="1:19" ht="17.25" thickBot="1">
      <c r="A126" s="162" t="s">
        <v>171</v>
      </c>
      <c r="B126" s="126">
        <v>4.79</v>
      </c>
      <c r="C126" s="77">
        <v>2.3504273499999999E-2</v>
      </c>
      <c r="D126" s="15">
        <v>5.38</v>
      </c>
      <c r="E126" s="32">
        <f t="shared" ref="E126:E129" si="62">IF(ISNUMBER(D126), (D126 - $B126) / $B126, "")</f>
        <v>0.12317327766179538</v>
      </c>
      <c r="F126" s="18">
        <f>IF(ISNUMBER(D126), $B145 * E126, "")</f>
        <v>12317.327766179538</v>
      </c>
      <c r="G126" s="31">
        <v>5.0599999999999996</v>
      </c>
      <c r="H126" s="32">
        <f t="shared" ref="H126:H129" si="63">IF(ISNUMBER(G126), (G126 - $B126) / $B126, "")</f>
        <v>5.6367432150313063E-2</v>
      </c>
      <c r="I126" s="101">
        <f>IF(ISNUMBER(G126), $B145 * H126, "")</f>
        <v>5636.7432150313061</v>
      </c>
      <c r="J126" s="15">
        <v>5.14</v>
      </c>
      <c r="K126" s="32">
        <f t="shared" ref="K126:K129" si="64">IF(ISNUMBER(J126), (J126 - $B126) / $B126, "")</f>
        <v>7.3068893528183645E-2</v>
      </c>
      <c r="L126" s="18">
        <f>IF(ISNUMBER(J126), $B145 * K126, "")</f>
        <v>7306.8893528183644</v>
      </c>
      <c r="M126" s="31">
        <v>5.19</v>
      </c>
      <c r="N126" s="32">
        <f t="shared" ref="N126:N129" si="65">IF(ISNUMBER(M126), (M126 - $B126) / $B126, "")</f>
        <v>8.3507306889352886E-2</v>
      </c>
      <c r="O126" s="18">
        <f>IF(ISNUMBER(M126), $B145 * N126, "")</f>
        <v>8350.7306889352894</v>
      </c>
      <c r="Q126" s="261"/>
      <c r="R126" s="261"/>
      <c r="S126" s="261"/>
    </row>
    <row r="127" spans="1:19" ht="17.25" thickBot="1">
      <c r="A127" s="162" t="s">
        <v>122</v>
      </c>
      <c r="B127" s="126">
        <v>22.5</v>
      </c>
      <c r="C127" s="77">
        <v>2.2727272699999999E-2</v>
      </c>
      <c r="D127" s="15">
        <v>25.9</v>
      </c>
      <c r="E127" s="32">
        <f t="shared" si="62"/>
        <v>0.15111111111111106</v>
      </c>
      <c r="F127" s="18">
        <f>IF(ISNUMBER(D127), $B145 * E127, "")</f>
        <v>15111.111111111106</v>
      </c>
      <c r="G127" s="31">
        <v>23.7</v>
      </c>
      <c r="H127" s="32">
        <f t="shared" si="63"/>
        <v>5.3333333333333302E-2</v>
      </c>
      <c r="I127" s="101">
        <f>IF(ISNUMBER(G127), $B145 * H127, "")</f>
        <v>5333.3333333333303</v>
      </c>
      <c r="J127" s="15">
        <v>23.8</v>
      </c>
      <c r="K127" s="32">
        <f t="shared" si="64"/>
        <v>5.777777777777781E-2</v>
      </c>
      <c r="L127" s="18">
        <f>IF(ISNUMBER(J127), $B145 * K127, "")</f>
        <v>5777.777777777781</v>
      </c>
      <c r="M127" s="31">
        <v>24.2</v>
      </c>
      <c r="N127" s="32">
        <f t="shared" si="65"/>
        <v>7.5555555555555529E-2</v>
      </c>
      <c r="O127" s="18">
        <f>IF(ISNUMBER(M127), $B145 * N127, "")</f>
        <v>7555.5555555555529</v>
      </c>
      <c r="Q127" s="251"/>
      <c r="R127" s="251"/>
      <c r="S127" s="251"/>
    </row>
    <row r="128" spans="1:19" ht="17.25" thickBot="1">
      <c r="A128" s="162" t="s">
        <v>233</v>
      </c>
      <c r="B128" s="126">
        <v>18.600000000000001</v>
      </c>
      <c r="C128" s="77">
        <v>2.1978022E-2</v>
      </c>
      <c r="D128" s="15">
        <v>20.7</v>
      </c>
      <c r="E128" s="32">
        <f t="shared" si="62"/>
        <v>0.11290322580645148</v>
      </c>
      <c r="F128" s="18">
        <f>IF(ISNUMBER(D128), $B145 * E128, "")</f>
        <v>11290.322580645148</v>
      </c>
      <c r="G128" s="31">
        <v>19.2</v>
      </c>
      <c r="H128" s="32">
        <f t="shared" si="63"/>
        <v>3.2258064516128913E-2</v>
      </c>
      <c r="I128" s="101">
        <f>IF(ISNUMBER(G128), $B145 * H128, "")</f>
        <v>3225.8064516128911</v>
      </c>
      <c r="J128" s="15">
        <v>19.2</v>
      </c>
      <c r="K128" s="32">
        <f t="shared" si="64"/>
        <v>3.2258064516128913E-2</v>
      </c>
      <c r="L128" s="18">
        <f>IF(ISNUMBER(J128), $B145 * K128, "")</f>
        <v>3225.8064516128911</v>
      </c>
      <c r="M128" s="31">
        <v>19.3</v>
      </c>
      <c r="N128" s="32">
        <f t="shared" si="65"/>
        <v>3.7634408602150497E-2</v>
      </c>
      <c r="O128" s="18">
        <f>IF(ISNUMBER(M128), $B145 * N128, "")</f>
        <v>3763.4408602150497</v>
      </c>
      <c r="Q128" s="251"/>
      <c r="R128" s="251"/>
      <c r="S128" s="251"/>
    </row>
    <row r="129" spans="1:19" ht="17.25" thickBot="1">
      <c r="A129" s="163" t="s">
        <v>263</v>
      </c>
      <c r="B129" s="128">
        <v>28.5</v>
      </c>
      <c r="C129" s="78">
        <v>2.15053763E-2</v>
      </c>
      <c r="D129" s="20">
        <v>32.299999999999997</v>
      </c>
      <c r="E129" s="21">
        <f t="shared" si="62"/>
        <v>0.13333333333333322</v>
      </c>
      <c r="F129" s="22">
        <f>IF(ISNUMBER(D129), $B145 * E129, "")</f>
        <v>13333.333333333321</v>
      </c>
      <c r="G129" s="30">
        <v>29.5</v>
      </c>
      <c r="H129" s="21">
        <f t="shared" si="63"/>
        <v>3.5087719298245612E-2</v>
      </c>
      <c r="I129" s="105">
        <f>IF(ISNUMBER(G129), $B145 * H129, "")</f>
        <v>3508.7719298245611</v>
      </c>
      <c r="J129" s="20">
        <v>29.5</v>
      </c>
      <c r="K129" s="21">
        <f t="shared" si="64"/>
        <v>3.5087719298245612E-2</v>
      </c>
      <c r="L129" s="22">
        <f>IF(ISNUMBER(J129), $B145 * K129, "")</f>
        <v>3508.7719298245611</v>
      </c>
      <c r="M129" s="30">
        <v>30.2</v>
      </c>
      <c r="N129" s="21">
        <f t="shared" si="65"/>
        <v>5.9649122807017521E-2</v>
      </c>
      <c r="O129" s="22">
        <f>IF(ISNUMBER(M129), $B145 * N129, "")</f>
        <v>5964.912280701752</v>
      </c>
      <c r="Q129" s="251"/>
      <c r="R129" s="251"/>
      <c r="S129" s="251"/>
    </row>
    <row r="130" spans="1:19" ht="17.25" thickBot="1">
      <c r="A130" s="162" t="s">
        <v>210</v>
      </c>
      <c r="B130" s="129">
        <v>56.5</v>
      </c>
      <c r="C130" s="80">
        <v>1.9855595699999999E-2</v>
      </c>
      <c r="D130" s="106">
        <v>56.1</v>
      </c>
      <c r="E130" s="107">
        <f>IF(ISNUMBER(D130), (D130 - $B130) / $B130, "")</f>
        <v>-7.0796460176990898E-3</v>
      </c>
      <c r="F130" s="108">
        <f>IF(ISNUMBER(D130), $B145 * E130, "")</f>
        <v>-707.964601769909</v>
      </c>
      <c r="G130" s="109">
        <v>59.4</v>
      </c>
      <c r="H130" s="107">
        <f>IF(ISNUMBER(G130), (G130 - $B130) / $B130, "")</f>
        <v>5.1327433628318556E-2</v>
      </c>
      <c r="I130" s="110">
        <f>IF(ISNUMBER(G130), $B145 * H130, "")</f>
        <v>5132.7433628318558</v>
      </c>
      <c r="J130" s="106">
        <v>58.8</v>
      </c>
      <c r="K130" s="107">
        <f>IF(ISNUMBER(J130), (J130 - $B130) / $B130, "")</f>
        <v>4.0707964601769862E-2</v>
      </c>
      <c r="L130" s="108">
        <f>IF(ISNUMBER(J130), $B145 * K130, "")</f>
        <v>4070.7964601769863</v>
      </c>
      <c r="M130" s="109">
        <v>58.2</v>
      </c>
      <c r="N130" s="107">
        <f>IF(ISNUMBER(M130), (M130 - $B130) / $B130, "")</f>
        <v>3.0088495575221291E-2</v>
      </c>
      <c r="O130" s="108">
        <f>IF(ISNUMBER(M130), $B145 * N130, "")</f>
        <v>3008.8495575221291</v>
      </c>
      <c r="Q130" s="251"/>
      <c r="R130" s="251"/>
      <c r="S130" s="251"/>
    </row>
    <row r="131" spans="1:19" ht="17.25" thickBot="1">
      <c r="A131" s="162" t="s">
        <v>219</v>
      </c>
      <c r="B131" s="126">
        <v>8.4</v>
      </c>
      <c r="C131" s="77">
        <v>1.6949152499999998E-2</v>
      </c>
      <c r="D131" s="15">
        <v>8.2899999999999991</v>
      </c>
      <c r="E131" s="32">
        <f t="shared" ref="E131:E134" si="66">IF(ISNUMBER(D131), (D131 - $B131) / $B131, "")</f>
        <v>-1.3095238095238238E-2</v>
      </c>
      <c r="F131" s="18">
        <f>IF(ISNUMBER(D131), $B145 * E131, "")</f>
        <v>-1309.5238095238237</v>
      </c>
      <c r="G131" s="31">
        <v>8.91</v>
      </c>
      <c r="H131" s="32">
        <f t="shared" ref="H131:H134" si="67">IF(ISNUMBER(G131), (G131 - $B131) / $B131, "")</f>
        <v>6.0714285714285686E-2</v>
      </c>
      <c r="I131" s="101">
        <f>IF(ISNUMBER(G131), $B145 * H131, "")</f>
        <v>6071.4285714285688</v>
      </c>
      <c r="J131" s="15">
        <v>9.1199999999999992</v>
      </c>
      <c r="K131" s="32">
        <f t="shared" ref="K131:K134" si="68">IF(ISNUMBER(J131), (J131 - $B131) / $B131, "")</f>
        <v>8.5714285714285576E-2</v>
      </c>
      <c r="L131" s="18">
        <f>IF(ISNUMBER(J131), $B145 * K131, "")</f>
        <v>8571.4285714285579</v>
      </c>
      <c r="M131" s="31">
        <v>9.0299999999999994</v>
      </c>
      <c r="N131" s="32">
        <f t="shared" ref="N131:N134" si="69">IF(ISNUMBER(M131), (M131 - $B131) / $B131, "")</f>
        <v>7.4999999999999872E-2</v>
      </c>
      <c r="O131" s="18">
        <f>IF(ISNUMBER(M131), $B145 * N131, "")</f>
        <v>7499.9999999999873</v>
      </c>
      <c r="Q131" s="251"/>
      <c r="R131" s="251"/>
      <c r="S131" s="251"/>
    </row>
    <row r="132" spans="1:19" ht="17.25" thickBot="1">
      <c r="A132" s="162" t="s">
        <v>152</v>
      </c>
      <c r="B132" s="126">
        <v>18.399999999999999</v>
      </c>
      <c r="C132" s="77">
        <v>1.65745856E-2</v>
      </c>
      <c r="D132" s="15">
        <v>18.7</v>
      </c>
      <c r="E132" s="32">
        <f t="shared" si="66"/>
        <v>1.6304347826086998E-2</v>
      </c>
      <c r="F132" s="18">
        <f>IF(ISNUMBER(D132), $B145 * E132, "")</f>
        <v>1630.4347826086998</v>
      </c>
      <c r="G132" s="31">
        <v>18.5</v>
      </c>
      <c r="H132" s="32">
        <f t="shared" si="67"/>
        <v>5.4347826086957301E-3</v>
      </c>
      <c r="I132" s="101">
        <f>IF(ISNUMBER(G132), $B145 * H132, "")</f>
        <v>543.47826086957298</v>
      </c>
      <c r="J132" s="15">
        <v>18.399999999999999</v>
      </c>
      <c r="K132" s="32">
        <f t="shared" si="68"/>
        <v>0</v>
      </c>
      <c r="L132" s="18">
        <f>IF(ISNUMBER(J132), $B145 * K132, "")</f>
        <v>0</v>
      </c>
      <c r="M132" s="31">
        <v>18.3</v>
      </c>
      <c r="N132" s="32">
        <f t="shared" si="69"/>
        <v>-5.4347826086955367E-3</v>
      </c>
      <c r="O132" s="18">
        <f>IF(ISNUMBER(M132), $B145 * N132, "")</f>
        <v>-543.47826086955365</v>
      </c>
      <c r="Q132" s="251"/>
      <c r="R132" s="251"/>
      <c r="S132" s="251"/>
    </row>
    <row r="133" spans="1:19" ht="17.25" thickBot="1">
      <c r="A133" s="162" t="s">
        <v>227</v>
      </c>
      <c r="B133" s="126">
        <v>93.2</v>
      </c>
      <c r="C133" s="77">
        <v>1.63576881E-2</v>
      </c>
      <c r="D133" s="15">
        <v>91.8</v>
      </c>
      <c r="E133" s="32">
        <f t="shared" si="66"/>
        <v>-1.5021459227467872E-2</v>
      </c>
      <c r="F133" s="18">
        <f>IF(ISNUMBER(D133), $B145 * E133, "")</f>
        <v>-1502.1459227467872</v>
      </c>
      <c r="G133" s="31">
        <v>92.4</v>
      </c>
      <c r="H133" s="32">
        <f t="shared" si="67"/>
        <v>-8.5836909871244323E-3</v>
      </c>
      <c r="I133" s="101">
        <f>IF(ISNUMBER(G133), $B145 * H133, "")</f>
        <v>-858.36909871244325</v>
      </c>
      <c r="J133" s="15">
        <v>92.3</v>
      </c>
      <c r="K133" s="32">
        <f t="shared" si="68"/>
        <v>-9.656652360515083E-3</v>
      </c>
      <c r="L133" s="18">
        <f>IF(ISNUMBER(J133), $B145 * K133, "")</f>
        <v>-965.66523605150826</v>
      </c>
      <c r="M133" s="31">
        <v>93.3</v>
      </c>
      <c r="N133" s="32">
        <f t="shared" si="69"/>
        <v>1.072961373390497E-3</v>
      </c>
      <c r="O133" s="18">
        <f>IF(ISNUMBER(M133), $B145 * N133, "")</f>
        <v>107.29613733904971</v>
      </c>
      <c r="Q133" s="33"/>
      <c r="R133" s="33"/>
    </row>
    <row r="134" spans="1:19" ht="17.25" thickBot="1">
      <c r="A134" s="130" t="s">
        <v>201</v>
      </c>
      <c r="B134" s="131">
        <v>91.1</v>
      </c>
      <c r="C134" s="79">
        <v>1.2222222200000001E-2</v>
      </c>
      <c r="D134" s="24">
        <v>89.3</v>
      </c>
      <c r="E134" s="25">
        <f t="shared" si="66"/>
        <v>-1.9758507135016437E-2</v>
      </c>
      <c r="F134" s="104">
        <f>IF(ISNUMBER(D134), $B145 * E134, "")</f>
        <v>-1975.8507135016437</v>
      </c>
      <c r="G134" s="102">
        <v>90.9</v>
      </c>
      <c r="H134" s="25">
        <f t="shared" si="67"/>
        <v>-2.1953896816683713E-3</v>
      </c>
      <c r="I134" s="103">
        <f>IF(ISNUMBER(G134), $B145 * H134, "")</f>
        <v>-219.53896816683712</v>
      </c>
      <c r="J134" s="24">
        <v>90.5</v>
      </c>
      <c r="K134" s="25">
        <f t="shared" si="68"/>
        <v>-6.5861690450054267E-3</v>
      </c>
      <c r="L134" s="104">
        <f>IF(ISNUMBER(J134), $B145 * K134, "")</f>
        <v>-658.61690450054266</v>
      </c>
      <c r="M134" s="102">
        <v>90</v>
      </c>
      <c r="N134" s="25">
        <f t="shared" si="69"/>
        <v>-1.2074643249176667E-2</v>
      </c>
      <c r="O134" s="104">
        <f>IF(ISNUMBER(M134), $B145 * N134, "")</f>
        <v>-1207.4643249176668</v>
      </c>
      <c r="Q134" s="252"/>
      <c r="R134" s="253"/>
      <c r="S134" s="254"/>
    </row>
    <row r="135" spans="1:19">
      <c r="A135" s="161" t="s">
        <v>277</v>
      </c>
      <c r="B135" s="124">
        <v>55.4</v>
      </c>
      <c r="C135" s="76">
        <v>1.09489051E-2</v>
      </c>
      <c r="D135" s="13">
        <v>74.599999999999994</v>
      </c>
      <c r="E135" s="14">
        <f>IF(ISNUMBER(D135), (D135 - $B135) / $B135, "")</f>
        <v>0.34657039711191329</v>
      </c>
      <c r="F135" s="16">
        <f>IF(ISNUMBER(D135), $B145 * E135, "")</f>
        <v>34657.039711191326</v>
      </c>
      <c r="G135" s="29">
        <v>65.599999999999994</v>
      </c>
      <c r="H135" s="14">
        <f>IF(ISNUMBER(G135), (G135 - $B135) / $B135, "")</f>
        <v>0.1841155234657039</v>
      </c>
      <c r="I135" s="100">
        <f>IF(ISNUMBER(G135), $B145 * H135, "")</f>
        <v>18411.552346570388</v>
      </c>
      <c r="J135" s="13">
        <v>64.2</v>
      </c>
      <c r="K135" s="14">
        <f>IF(ISNUMBER(J135), (J135 - $B135) / $B135, "")</f>
        <v>0.15884476534296038</v>
      </c>
      <c r="L135" s="16">
        <f>IF(ISNUMBER(J135), $B145 * K135, "")</f>
        <v>15884.476534296038</v>
      </c>
      <c r="M135" s="29">
        <v>63.2</v>
      </c>
      <c r="N135" s="14">
        <f>IF(ISNUMBER(M135), (M135 - $B135) / $B135, "")</f>
        <v>0.14079422382671489</v>
      </c>
      <c r="O135" s="16">
        <f>IF(ISNUMBER(M135), $B145 * N135, "")</f>
        <v>14079.422382671488</v>
      </c>
      <c r="Q135" s="255"/>
      <c r="R135" s="256"/>
      <c r="S135" s="257"/>
    </row>
    <row r="136" spans="1:19" ht="17.25" thickBot="1">
      <c r="A136" s="162" t="s">
        <v>217</v>
      </c>
      <c r="B136" s="126">
        <v>10.199999999999999</v>
      </c>
      <c r="C136" s="77">
        <v>9.9009900999999997E-3</v>
      </c>
      <c r="D136" s="15">
        <v>10</v>
      </c>
      <c r="E136" s="32">
        <f t="shared" ref="E136:E139" si="70">IF(ISNUMBER(D136), (D136 - $B136) / $B136, "")</f>
        <v>-1.9607843137254832E-2</v>
      </c>
      <c r="F136" s="18">
        <f>IF(ISNUMBER(D136), $B145 * E136, "")</f>
        <v>-1960.7843137254831</v>
      </c>
      <c r="G136" s="31">
        <v>10</v>
      </c>
      <c r="H136" s="32">
        <f t="shared" ref="H136:H139" si="71">IF(ISNUMBER(G136), (G136 - $B136) / $B136, "")</f>
        <v>-1.9607843137254832E-2</v>
      </c>
      <c r="I136" s="101">
        <f>IF(ISNUMBER(G136), $B145 * H136, "")</f>
        <v>-1960.7843137254831</v>
      </c>
      <c r="J136" s="15">
        <v>10</v>
      </c>
      <c r="K136" s="32">
        <f t="shared" ref="K136:K139" si="72">IF(ISNUMBER(J136), (J136 - $B136) / $B136, "")</f>
        <v>-1.9607843137254832E-2</v>
      </c>
      <c r="L136" s="18">
        <f>IF(ISNUMBER(J136), $B145 * K136, "")</f>
        <v>-1960.7843137254831</v>
      </c>
      <c r="M136" s="31">
        <v>9.9600000000000009</v>
      </c>
      <c r="N136" s="32">
        <f t="shared" ref="N136:N139" si="73">IF(ISNUMBER(M136), (M136 - $B136) / $B136, "")</f>
        <v>-2.3529411764705729E-2</v>
      </c>
      <c r="O136" s="18">
        <f>IF(ISNUMBER(M136), $B145 * N136, "")</f>
        <v>-2352.9411764705728</v>
      </c>
      <c r="Q136" s="258"/>
      <c r="R136" s="259"/>
      <c r="S136" s="260"/>
    </row>
    <row r="137" spans="1:19" ht="17.25" thickBot="1">
      <c r="A137" s="162" t="s">
        <v>156</v>
      </c>
      <c r="B137" s="126">
        <v>83</v>
      </c>
      <c r="C137" s="77">
        <v>8.5054677999999995E-3</v>
      </c>
      <c r="D137" s="15">
        <v>83.4</v>
      </c>
      <c r="E137" s="32">
        <f t="shared" si="70"/>
        <v>4.819277108433803E-3</v>
      </c>
      <c r="F137" s="18">
        <f>IF(ISNUMBER(D137), $B145 * E137, "")</f>
        <v>481.92771084338028</v>
      </c>
      <c r="G137" s="31">
        <v>82.5</v>
      </c>
      <c r="H137" s="32">
        <f t="shared" si="71"/>
        <v>-6.024096385542169E-3</v>
      </c>
      <c r="I137" s="101">
        <f>IF(ISNUMBER(G137), $B145 * H137, "")</f>
        <v>-602.40963855421694</v>
      </c>
      <c r="J137" s="15">
        <v>82.4</v>
      </c>
      <c r="K137" s="32">
        <f t="shared" si="72"/>
        <v>-7.2289156626505341E-3</v>
      </c>
      <c r="L137" s="18">
        <f>IF(ISNUMBER(J137), $B145 * K137, "")</f>
        <v>-722.89156626505337</v>
      </c>
      <c r="M137" s="31">
        <v>82.3</v>
      </c>
      <c r="N137" s="32">
        <f t="shared" si="73"/>
        <v>-8.4337349397590709E-3</v>
      </c>
      <c r="O137" s="18">
        <f>IF(ISNUMBER(M137), $B145 * N137, "")</f>
        <v>-843.37349397590708</v>
      </c>
      <c r="Q137" s="251"/>
      <c r="R137" s="251"/>
      <c r="S137" s="251"/>
    </row>
    <row r="138" spans="1:19" ht="17.25" thickBot="1">
      <c r="A138" s="162" t="s">
        <v>273</v>
      </c>
      <c r="B138" s="126">
        <v>71.2</v>
      </c>
      <c r="C138" s="77">
        <v>8.4985835999999999E-3</v>
      </c>
      <c r="D138" s="15">
        <v>71.900000000000006</v>
      </c>
      <c r="E138" s="32">
        <f t="shared" si="70"/>
        <v>9.831460674157343E-3</v>
      </c>
      <c r="F138" s="18">
        <f>IF(ISNUMBER(D138), $B145 * E138, "")</f>
        <v>983.14606741573425</v>
      </c>
      <c r="G138" s="31">
        <v>71.400000000000006</v>
      </c>
      <c r="H138" s="32">
        <f t="shared" si="71"/>
        <v>2.8089887640449836E-3</v>
      </c>
      <c r="I138" s="101">
        <f>IF(ISNUMBER(G138), $B145 * H138, "")</f>
        <v>280.89887640449837</v>
      </c>
      <c r="J138" s="15">
        <v>71.099999999999994</v>
      </c>
      <c r="K138" s="32">
        <f t="shared" si="72"/>
        <v>-1.4044943820225916E-3</v>
      </c>
      <c r="L138" s="18">
        <f>IF(ISNUMBER(J138), $B145 * K138, "")</f>
        <v>-140.44943820225916</v>
      </c>
      <c r="M138" s="31">
        <v>70.7</v>
      </c>
      <c r="N138" s="32">
        <f t="shared" si="73"/>
        <v>-7.0224719101123594E-3</v>
      </c>
      <c r="O138" s="18">
        <f>IF(ISNUMBER(M138), $B145 * N138, "")</f>
        <v>-702.24719101123594</v>
      </c>
      <c r="Q138" s="261"/>
      <c r="R138" s="261"/>
      <c r="S138" s="261"/>
    </row>
    <row r="139" spans="1:19" ht="17.25" thickBot="1">
      <c r="A139" s="163" t="s">
        <v>100</v>
      </c>
      <c r="B139" s="128">
        <v>4.08</v>
      </c>
      <c r="C139" s="78">
        <v>7.4074073999999997E-3</v>
      </c>
      <c r="D139" s="20">
        <v>4.05</v>
      </c>
      <c r="E139" s="21">
        <f t="shared" si="70"/>
        <v>-7.3529411764706488E-3</v>
      </c>
      <c r="F139" s="22">
        <f>IF(ISNUMBER(D139), $B145 * E139, "")</f>
        <v>-735.29411764706492</v>
      </c>
      <c r="G139" s="30">
        <v>4.03</v>
      </c>
      <c r="H139" s="21">
        <f t="shared" si="71"/>
        <v>-1.225490196078427E-2</v>
      </c>
      <c r="I139" s="105">
        <f>IF(ISNUMBER(G139), $B145 * H139, "")</f>
        <v>-1225.4901960784271</v>
      </c>
      <c r="J139" s="20">
        <v>4.01</v>
      </c>
      <c r="K139" s="21">
        <f t="shared" si="72"/>
        <v>-1.715686274509811E-2</v>
      </c>
      <c r="L139" s="22">
        <f>IF(ISNUMBER(J139), $B145 * K139, "")</f>
        <v>-1715.686274509811</v>
      </c>
      <c r="M139" s="30">
        <v>4</v>
      </c>
      <c r="N139" s="21">
        <f t="shared" si="73"/>
        <v>-1.9607843137254919E-2</v>
      </c>
      <c r="O139" s="22">
        <f>IF(ISNUMBER(M139), $B145 * N139, "")</f>
        <v>-1960.784313725492</v>
      </c>
      <c r="Q139" s="261"/>
      <c r="R139" s="261"/>
      <c r="S139" s="261"/>
    </row>
    <row r="140" spans="1:19" ht="17.25" thickBot="1">
      <c r="A140" s="162" t="s">
        <v>185</v>
      </c>
      <c r="B140" s="129">
        <v>14.9</v>
      </c>
      <c r="C140" s="80">
        <v>0</v>
      </c>
      <c r="D140" s="106">
        <v>14.7</v>
      </c>
      <c r="E140" s="107">
        <f>IF(ISNUMBER(D140), (D140 - $B140) / $B140, "")</f>
        <v>-1.342281879194638E-2</v>
      </c>
      <c r="F140" s="108">
        <f>IF(ISNUMBER(D140), $B145 * E140, "")</f>
        <v>-1342.2818791946379</v>
      </c>
      <c r="G140" s="109">
        <v>14.8</v>
      </c>
      <c r="H140" s="107">
        <f>IF(ISNUMBER(G140), (G140 - $B140) / $B140, "")</f>
        <v>-6.7114093959731299E-3</v>
      </c>
      <c r="I140" s="110">
        <f>IF(ISNUMBER(G140), $B145 * H140, "")</f>
        <v>-671.14093959731304</v>
      </c>
      <c r="J140" s="106">
        <v>14.8</v>
      </c>
      <c r="K140" s="107">
        <f>IF(ISNUMBER(J140), (J140 - $B140) / $B140, "")</f>
        <v>-6.7114093959731299E-3</v>
      </c>
      <c r="L140" s="108">
        <f>IF(ISNUMBER(J140), $B145 * K140, "")</f>
        <v>-671.14093959731304</v>
      </c>
      <c r="M140" s="109">
        <v>14.7</v>
      </c>
      <c r="N140" s="107">
        <f>IF(ISNUMBER(M140), (M140 - $B140) / $B140, "")</f>
        <v>-1.342281879194638E-2</v>
      </c>
      <c r="O140" s="108">
        <f>IF(ISNUMBER(M140), $B145 * N140, "")</f>
        <v>-1342.2818791946379</v>
      </c>
      <c r="Q140" s="251"/>
      <c r="R140" s="251"/>
      <c r="S140" s="251"/>
    </row>
    <row r="141" spans="1:19" ht="17.25" thickBot="1">
      <c r="A141" s="162" t="s">
        <v>261</v>
      </c>
      <c r="B141" s="126">
        <v>54.2</v>
      </c>
      <c r="C141" s="77">
        <v>-3.6764706E-3</v>
      </c>
      <c r="D141" s="15">
        <v>58.2</v>
      </c>
      <c r="E141" s="32">
        <f t="shared" ref="E141:E144" si="74">IF(ISNUMBER(D141), (D141 - $B141) / $B141, "")</f>
        <v>7.3800738007380073E-2</v>
      </c>
      <c r="F141" s="18">
        <f>IF(ISNUMBER(D141), $B145 * E141, "")</f>
        <v>7380.0738007380078</v>
      </c>
      <c r="G141" s="31">
        <v>56.6</v>
      </c>
      <c r="H141" s="32">
        <f t="shared" ref="H141:H144" si="75">IF(ISNUMBER(G141), (G141 - $B141) / $B141, "")</f>
        <v>4.4280442804428014E-2</v>
      </c>
      <c r="I141" s="101">
        <f>IF(ISNUMBER(G141), $B145 * H141, "")</f>
        <v>4428.0442804428012</v>
      </c>
      <c r="J141" s="15">
        <v>57.6</v>
      </c>
      <c r="K141" s="32">
        <f t="shared" ref="K141:K144" si="76">IF(ISNUMBER(J141), (J141 - $B141) / $B141, "")</f>
        <v>6.2730627306273032E-2</v>
      </c>
      <c r="L141" s="18">
        <f>IF(ISNUMBER(J141), $B145 * K141, "")</f>
        <v>6273.0627306273036</v>
      </c>
      <c r="M141" s="31">
        <v>56.3</v>
      </c>
      <c r="N141" s="32">
        <f t="shared" ref="N141:N144" si="77">IF(ISNUMBER(M141), (M141 - $B141) / $B141, "")</f>
        <v>3.874538745387443E-2</v>
      </c>
      <c r="O141" s="18">
        <f>IF(ISNUMBER(M141), $B145 * N141, "")</f>
        <v>3874.5387453874432</v>
      </c>
      <c r="Q141" s="251"/>
      <c r="R141" s="251"/>
      <c r="S141" s="251"/>
    </row>
    <row r="142" spans="1:19" ht="17.25" thickBot="1">
      <c r="A142" s="162" t="s">
        <v>72</v>
      </c>
      <c r="B142" s="126">
        <v>19</v>
      </c>
      <c r="C142" s="77">
        <v>-1.04166667E-2</v>
      </c>
      <c r="D142" s="15">
        <v>19.2</v>
      </c>
      <c r="E142" s="32">
        <f t="shared" si="74"/>
        <v>1.0526315789473648E-2</v>
      </c>
      <c r="F142" s="18">
        <f>IF(ISNUMBER(D142), $B145 * E142, "")</f>
        <v>1052.6315789473647</v>
      </c>
      <c r="G142" s="31">
        <v>19.2</v>
      </c>
      <c r="H142" s="32">
        <f t="shared" si="75"/>
        <v>1.0526315789473648E-2</v>
      </c>
      <c r="I142" s="101">
        <f>IF(ISNUMBER(G142), $B145 * H142, "")</f>
        <v>1052.6315789473647</v>
      </c>
      <c r="J142" s="15">
        <v>19.100000000000001</v>
      </c>
      <c r="K142" s="32">
        <f t="shared" si="76"/>
        <v>5.2631578947369166E-3</v>
      </c>
      <c r="L142" s="18">
        <f>IF(ISNUMBER(J142), $B145 * K142, "")</f>
        <v>526.31578947369167</v>
      </c>
      <c r="M142" s="31">
        <v>19.100000000000001</v>
      </c>
      <c r="N142" s="32">
        <f t="shared" si="77"/>
        <v>5.2631578947369166E-3</v>
      </c>
      <c r="O142" s="18">
        <f>IF(ISNUMBER(M142), $B145 * N142, "")</f>
        <v>526.31578947369167</v>
      </c>
      <c r="Q142" s="251"/>
      <c r="R142" s="251"/>
      <c r="S142" s="251"/>
    </row>
    <row r="143" spans="1:19">
      <c r="A143" s="162" t="s">
        <v>255</v>
      </c>
      <c r="B143" s="126">
        <v>58.4</v>
      </c>
      <c r="C143" s="77">
        <v>-2.8286189699999999E-2</v>
      </c>
      <c r="D143" s="15">
        <v>59.3</v>
      </c>
      <c r="E143" s="32">
        <f t="shared" si="74"/>
        <v>1.5410958904109566E-2</v>
      </c>
      <c r="F143" s="18">
        <f>IF(ISNUMBER(D143), $B145 * E143, "")</f>
        <v>1541.0958904109566</v>
      </c>
      <c r="G143" s="31">
        <v>59.8</v>
      </c>
      <c r="H143" s="32">
        <f t="shared" si="75"/>
        <v>2.3972602739726005E-2</v>
      </c>
      <c r="I143" s="101">
        <f>IF(ISNUMBER(G143), $B145 * H143, "")</f>
        <v>2397.2602739726003</v>
      </c>
      <c r="J143" s="15">
        <v>59.6</v>
      </c>
      <c r="K143" s="32">
        <f t="shared" si="76"/>
        <v>2.0547945205479503E-2</v>
      </c>
      <c r="L143" s="18">
        <f>IF(ISNUMBER(J143), $B145 * K143, "")</f>
        <v>2054.7945205479505</v>
      </c>
      <c r="M143" s="31">
        <v>59.1</v>
      </c>
      <c r="N143" s="32">
        <f t="shared" si="77"/>
        <v>1.1986301369863063E-2</v>
      </c>
      <c r="O143" s="18">
        <f>IF(ISNUMBER(M143), $B145 * N143, "")</f>
        <v>1198.6301369863063</v>
      </c>
      <c r="Q143" s="240"/>
      <c r="R143" s="241"/>
      <c r="S143" s="242"/>
    </row>
    <row r="144" spans="1:19" ht="17.25" thickBot="1">
      <c r="A144" s="130" t="s">
        <v>259</v>
      </c>
      <c r="B144" s="131">
        <v>75.8</v>
      </c>
      <c r="C144" s="79">
        <v>-3.0690537100000002E-2</v>
      </c>
      <c r="D144" s="24">
        <v>75</v>
      </c>
      <c r="E144" s="25">
        <f t="shared" si="74"/>
        <v>-1.0554089709762496E-2</v>
      </c>
      <c r="F144" s="104">
        <f>IF(ISNUMBER(D144), $B145 * E144, "")</f>
        <v>-1055.4089709762495</v>
      </c>
      <c r="G144" s="102">
        <v>75</v>
      </c>
      <c r="H144" s="25">
        <f t="shared" si="75"/>
        <v>-1.0554089709762496E-2</v>
      </c>
      <c r="I144" s="103">
        <f>IF(ISNUMBER(G144), $B145 * H144, "")</f>
        <v>-1055.4089709762495</v>
      </c>
      <c r="J144" s="24">
        <v>75</v>
      </c>
      <c r="K144" s="25">
        <f t="shared" si="76"/>
        <v>-1.0554089709762496E-2</v>
      </c>
      <c r="L144" s="104">
        <f>IF(ISNUMBER(J144), $B145 * K144, "")</f>
        <v>-1055.4089709762495</v>
      </c>
      <c r="M144" s="102">
        <v>74.5</v>
      </c>
      <c r="N144" s="25">
        <f t="shared" si="77"/>
        <v>-1.715039577836408E-2</v>
      </c>
      <c r="O144" s="104">
        <f>IF(ISNUMBER(M144), $B145 * N144, "")</f>
        <v>-1715.0395778364079</v>
      </c>
      <c r="Q144" s="243"/>
      <c r="R144" s="244"/>
      <c r="S144" s="245"/>
    </row>
    <row r="145" spans="1:19" ht="17.25" thickBot="1">
      <c r="A145" s="132" t="s">
        <v>295</v>
      </c>
      <c r="B145" s="304">
        <f>$B$37</f>
        <v>100000</v>
      </c>
      <c r="C145" s="305"/>
      <c r="D145" s="26" t="s">
        <v>296</v>
      </c>
      <c r="E145" s="27">
        <f>IF(COUNT(E125:E144), SUM(E125:E144) / COUNT(E125:E144), 0)</f>
        <v>4.5806716214290694E-2</v>
      </c>
      <c r="F145" s="28">
        <f>SUM(F125:F144)</f>
        <v>91613.432428581393</v>
      </c>
      <c r="G145" s="26" t="s">
        <v>296</v>
      </c>
      <c r="H145" s="27">
        <f>IF(COUNT(H125:H144), SUM(H125:H144) / COUNT(H125:H144), 0)</f>
        <v>2.4714775177729385E-2</v>
      </c>
      <c r="I145" s="28">
        <f>SUM(I125:I144)</f>
        <v>49429.550355458778</v>
      </c>
      <c r="J145" s="26" t="s">
        <v>296</v>
      </c>
      <c r="K145" s="27">
        <f>IF(COUNT(K125:K144), SUM(K125:K144) / COUNT(K125:K144), 0)</f>
        <v>2.4654738237377953E-2</v>
      </c>
      <c r="L145" s="28">
        <f>SUM(L125:L144)</f>
        <v>49309.476474755909</v>
      </c>
      <c r="M145" s="26" t="s">
        <v>296</v>
      </c>
      <c r="N145" s="27">
        <f>IF(COUNT(N125:N144), SUM(N125:N144) / COUNT(N125:N144), 0)</f>
        <v>2.2328010655362829E-2</v>
      </c>
      <c r="O145" s="28">
        <f>SUM(O125:O144)</f>
        <v>44656.02131072565</v>
      </c>
      <c r="Q145" s="246"/>
      <c r="R145" s="247"/>
      <c r="S145" s="248"/>
    </row>
    <row r="147" spans="1:19" ht="17.25" thickBot="1"/>
    <row r="148" spans="1:19" ht="17.25" thickBot="1">
      <c r="A148" s="262" t="s">
        <v>284</v>
      </c>
      <c r="B148" s="263"/>
      <c r="C148" s="263"/>
      <c r="D148" s="263"/>
      <c r="E148" s="263"/>
      <c r="F148" s="263"/>
      <c r="G148" s="263"/>
      <c r="H148" s="263"/>
      <c r="I148" s="263"/>
      <c r="J148" s="263"/>
      <c r="K148" s="263"/>
      <c r="L148" s="263"/>
      <c r="M148" s="263"/>
      <c r="N148" s="263"/>
      <c r="O148" s="264"/>
      <c r="Q148" s="261"/>
      <c r="R148" s="261"/>
      <c r="S148" s="261"/>
    </row>
    <row r="149" spans="1:19" ht="17.25" thickBot="1">
      <c r="A149" s="216" t="s">
        <v>292</v>
      </c>
      <c r="B149" s="262" t="s">
        <v>49</v>
      </c>
      <c r="C149" s="264"/>
      <c r="D149" s="262" t="s">
        <v>58</v>
      </c>
      <c r="E149" s="263"/>
      <c r="F149" s="264"/>
      <c r="G149" s="265">
        <f>_xlfn.IFNA(VLOOKUP(B149, 현재가테이블!$B$2:$D$200, 2, FALSE), "-")</f>
        <v>40538000</v>
      </c>
      <c r="H149" s="266"/>
      <c r="I149" s="267"/>
      <c r="J149" s="262" t="s">
        <v>59</v>
      </c>
      <c r="K149" s="263"/>
      <c r="L149" s="264"/>
      <c r="M149" s="268">
        <f>_xlfn.IFNA(VLOOKUP(B149, 현재가테이블!$B$2:$D$200, 3, FALSE), "-")</f>
        <v>-3.68275993E-2</v>
      </c>
      <c r="N149" s="269"/>
      <c r="O149" s="270"/>
      <c r="Q149" s="261"/>
      <c r="R149" s="261"/>
      <c r="S149" s="261"/>
    </row>
    <row r="150" spans="1:19" ht="17.25" thickBot="1">
      <c r="A150" s="306" t="s">
        <v>55</v>
      </c>
      <c r="B150" s="302" t="str">
        <f>TEXT($G$1, "[$-ko-KR]yyyy-mm-dd(ddd) ") &amp; "오전 00:00"</f>
        <v>2021-06-15(화) 오전 00:00</v>
      </c>
      <c r="C150" s="303"/>
      <c r="D150" s="275" t="str">
        <f>TEXT($G$1, "[$-ko-KR]yyyy-mm-dd(ddd) ") &amp; "오후 14:00"</f>
        <v>2021-06-15(화) 오후 14:00</v>
      </c>
      <c r="E150" s="276"/>
      <c r="F150" s="277"/>
      <c r="G150" s="275" t="str">
        <f>TEXT($G$1, "[$-ko-KR]yyyy-mm-dd(ddd) ") &amp; "오후 19:00"</f>
        <v>2021-06-15(화) 오후 19:00</v>
      </c>
      <c r="H150" s="276"/>
      <c r="I150" s="277"/>
      <c r="J150" s="275" t="str">
        <f>TEXT($G$1, "[$-ko-KR]yyyy-mm-dd(ddd) ") &amp; "오후 21:00"</f>
        <v>2021-06-15(화) 오후 21:00</v>
      </c>
      <c r="K150" s="276"/>
      <c r="L150" s="277"/>
      <c r="M150" s="275" t="str">
        <f>TEXT($G$1+1, "[$-ko-KR]yyyy-mm-dd(ddd) ") &amp; "오전 00:00"</f>
        <v>2021-06-16(수) 오전 00:00</v>
      </c>
      <c r="N150" s="276"/>
      <c r="O150" s="277"/>
      <c r="Q150" s="261"/>
      <c r="R150" s="261"/>
      <c r="S150" s="261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7" t="s">
        <v>58</v>
      </c>
      <c r="H151" s="218" t="s">
        <v>293</v>
      </c>
      <c r="I151" s="21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1"/>
      <c r="R151" s="251"/>
      <c r="S151" s="251"/>
    </row>
    <row r="152" spans="1:19" ht="17.25" thickBot="1">
      <c r="A152" s="161" t="s">
        <v>116</v>
      </c>
      <c r="B152" s="124">
        <v>323</v>
      </c>
      <c r="C152" s="76">
        <v>1.8927444799999998E-2</v>
      </c>
      <c r="D152" s="13">
        <v>325</v>
      </c>
      <c r="E152" s="14">
        <f>IF(ISNUMBER(D152), (D152 - $B152) / $B152, "")</f>
        <v>6.1919504643962852E-3</v>
      </c>
      <c r="F152" s="16">
        <f>IF(ISNUMBER(D152), $B172 * E152, "")</f>
        <v>619.19504643962853</v>
      </c>
      <c r="G152" s="29">
        <v>321</v>
      </c>
      <c r="H152" s="14">
        <f>IF(ISNUMBER(G152), (G152 - $B152) / $B152, "")</f>
        <v>-6.1919504643962852E-3</v>
      </c>
      <c r="I152" s="100">
        <f>IF(ISNUMBER(G152), $B172 * H152, "")</f>
        <v>-619.19504643962853</v>
      </c>
      <c r="J152" s="13">
        <v>321</v>
      </c>
      <c r="K152" s="14">
        <f>IF(ISNUMBER(J152), (J152 - $B152) / $B152, "")</f>
        <v>-6.1919504643962852E-3</v>
      </c>
      <c r="L152" s="16">
        <f>IF(ISNUMBER(J152), $B172 * K152, "")</f>
        <v>-619.19504643962853</v>
      </c>
      <c r="M152" s="29">
        <v>318</v>
      </c>
      <c r="N152" s="14">
        <f>IF(ISNUMBER(M152), (M152 - $B152) / $B152, "")</f>
        <v>-1.5479876160990712E-2</v>
      </c>
      <c r="O152" s="16">
        <f>IF(ISNUMBER(M152), $B172 * N152, "")</f>
        <v>-1547.9876160990711</v>
      </c>
      <c r="Q152" s="261"/>
      <c r="R152" s="261"/>
      <c r="S152" s="261"/>
    </row>
    <row r="153" spans="1:19" ht="17.25" thickBot="1">
      <c r="A153" s="162" t="s">
        <v>54</v>
      </c>
      <c r="B153" s="126">
        <v>229</v>
      </c>
      <c r="C153" s="77">
        <v>1.32743363E-2</v>
      </c>
      <c r="D153" s="15">
        <v>239</v>
      </c>
      <c r="E153" s="32">
        <f t="shared" ref="E153:E156" si="78">IF(ISNUMBER(D153), (D153 - $B153) / $B153, "")</f>
        <v>4.3668122270742356E-2</v>
      </c>
      <c r="F153" s="18">
        <f>IF(ISNUMBER(D153), $B172 * E153, "")</f>
        <v>4366.812227074236</v>
      </c>
      <c r="G153" s="31">
        <v>240</v>
      </c>
      <c r="H153" s="32">
        <f t="shared" ref="H153:H156" si="79">IF(ISNUMBER(G153), (G153 - $B153) / $B153, "")</f>
        <v>4.8034934497816595E-2</v>
      </c>
      <c r="I153" s="101">
        <f>IF(ISNUMBER(G153), $B172 * H153, "")</f>
        <v>4803.4934497816594</v>
      </c>
      <c r="J153" s="15">
        <v>240</v>
      </c>
      <c r="K153" s="32">
        <f t="shared" ref="K153:K156" si="80">IF(ISNUMBER(J153), (J153 - $B153) / $B153, "")</f>
        <v>4.8034934497816595E-2</v>
      </c>
      <c r="L153" s="18">
        <f>IF(ISNUMBER(J153), $B172 * K153, "")</f>
        <v>4803.4934497816594</v>
      </c>
      <c r="M153" s="31">
        <v>246</v>
      </c>
      <c r="N153" s="32">
        <f t="shared" ref="N153:N156" si="81">IF(ISNUMBER(M153), (M153 - $B153) / $B153, "")</f>
        <v>7.4235807860262015E-2</v>
      </c>
      <c r="O153" s="18">
        <f>IF(ISNUMBER(M153), $B172 * N153, "")</f>
        <v>7423.5807860262012</v>
      </c>
      <c r="Q153" s="261"/>
      <c r="R153" s="261"/>
      <c r="S153" s="261"/>
    </row>
    <row r="154" spans="1:19" ht="17.25" thickBot="1">
      <c r="A154" s="162" t="s">
        <v>148</v>
      </c>
      <c r="B154" s="126">
        <v>102</v>
      </c>
      <c r="C154" s="77">
        <v>9.9009900999999997E-3</v>
      </c>
      <c r="D154" s="15">
        <v>101</v>
      </c>
      <c r="E154" s="32">
        <f t="shared" si="78"/>
        <v>-9.8039215686274508E-3</v>
      </c>
      <c r="F154" s="18">
        <f>IF(ISNUMBER(D154), $B172 * E154, "")</f>
        <v>-980.39215686274508</v>
      </c>
      <c r="G154" s="31">
        <v>102</v>
      </c>
      <c r="H154" s="32">
        <f t="shared" si="79"/>
        <v>0</v>
      </c>
      <c r="I154" s="101">
        <f>IF(ISNUMBER(G154), $B172 * H154, "")</f>
        <v>0</v>
      </c>
      <c r="J154" s="15">
        <v>100</v>
      </c>
      <c r="K154" s="32">
        <f t="shared" si="80"/>
        <v>-1.9607843137254902E-2</v>
      </c>
      <c r="L154" s="18">
        <f>IF(ISNUMBER(J154), $B172 * K154, "")</f>
        <v>-1960.7843137254902</v>
      </c>
      <c r="M154" s="31">
        <v>98.2</v>
      </c>
      <c r="N154" s="32">
        <f t="shared" si="81"/>
        <v>-3.7254901960784285E-2</v>
      </c>
      <c r="O154" s="18">
        <f>IF(ISNUMBER(M154), $B172 * N154, "")</f>
        <v>-3725.4901960784287</v>
      </c>
      <c r="Q154" s="251"/>
      <c r="R154" s="251"/>
      <c r="S154" s="251"/>
    </row>
    <row r="155" spans="1:19" ht="17.25" thickBot="1">
      <c r="A155" s="162" t="s">
        <v>181</v>
      </c>
      <c r="B155" s="126">
        <v>237</v>
      </c>
      <c r="C155" s="77">
        <v>8.5106382999999997E-3</v>
      </c>
      <c r="D155" s="15">
        <v>236</v>
      </c>
      <c r="E155" s="32">
        <f t="shared" si="78"/>
        <v>-4.2194092827004216E-3</v>
      </c>
      <c r="F155" s="18">
        <f>IF(ISNUMBER(D155), $B172 * E155, "")</f>
        <v>-421.94092827004215</v>
      </c>
      <c r="G155" s="31">
        <v>235</v>
      </c>
      <c r="H155" s="32">
        <f t="shared" si="79"/>
        <v>-8.4388185654008432E-3</v>
      </c>
      <c r="I155" s="101">
        <f>IF(ISNUMBER(G155), $B172 * H155, "")</f>
        <v>-843.8818565400843</v>
      </c>
      <c r="J155" s="15">
        <v>234</v>
      </c>
      <c r="K155" s="32">
        <f t="shared" si="80"/>
        <v>-1.2658227848101266E-2</v>
      </c>
      <c r="L155" s="18">
        <f>IF(ISNUMBER(J155), $B172 * K155, "")</f>
        <v>-1265.8227848101264</v>
      </c>
      <c r="M155" s="31">
        <v>234</v>
      </c>
      <c r="N155" s="32">
        <f t="shared" si="81"/>
        <v>-1.2658227848101266E-2</v>
      </c>
      <c r="O155" s="18">
        <f>IF(ISNUMBER(M155), $B172 * N155, "")</f>
        <v>-1265.8227848101264</v>
      </c>
      <c r="Q155" s="251"/>
      <c r="R155" s="251"/>
      <c r="S155" s="251"/>
    </row>
    <row r="156" spans="1:19" ht="17.25" thickBot="1">
      <c r="A156" s="163" t="s">
        <v>136</v>
      </c>
      <c r="B156" s="128">
        <v>125</v>
      </c>
      <c r="C156" s="78">
        <v>8.0645161000000003E-3</v>
      </c>
      <c r="D156" s="20">
        <v>129</v>
      </c>
      <c r="E156" s="21">
        <f t="shared" si="78"/>
        <v>3.2000000000000001E-2</v>
      </c>
      <c r="F156" s="22">
        <f>IF(ISNUMBER(D156), $B172 * E156, "")</f>
        <v>3200</v>
      </c>
      <c r="G156" s="30">
        <v>128</v>
      </c>
      <c r="H156" s="21">
        <f t="shared" si="79"/>
        <v>2.4E-2</v>
      </c>
      <c r="I156" s="105">
        <f>IF(ISNUMBER(G156), $B172 * H156, "")</f>
        <v>2400</v>
      </c>
      <c r="J156" s="20">
        <v>129</v>
      </c>
      <c r="K156" s="21">
        <f t="shared" si="80"/>
        <v>3.2000000000000001E-2</v>
      </c>
      <c r="L156" s="22">
        <f>IF(ISNUMBER(J156), $B172 * K156, "")</f>
        <v>3200</v>
      </c>
      <c r="M156" s="30">
        <v>126</v>
      </c>
      <c r="N156" s="21">
        <f t="shared" si="81"/>
        <v>8.0000000000000002E-3</v>
      </c>
      <c r="O156" s="22">
        <f>IF(ISNUMBER(M156), $B172 * N156, "")</f>
        <v>800</v>
      </c>
      <c r="Q156" s="251"/>
      <c r="R156" s="251"/>
      <c r="S156" s="251"/>
    </row>
    <row r="157" spans="1:19" ht="17.25" thickBot="1">
      <c r="A157" s="162" t="s">
        <v>120</v>
      </c>
      <c r="B157" s="129">
        <v>139</v>
      </c>
      <c r="C157" s="80">
        <v>7.2463768E-3</v>
      </c>
      <c r="D157" s="106">
        <v>136</v>
      </c>
      <c r="E157" s="107">
        <f>IF(ISNUMBER(D157), (D157 - $B157) / $B157, "")</f>
        <v>-2.1582733812949641E-2</v>
      </c>
      <c r="F157" s="108">
        <f>IF(ISNUMBER(D157), $B172 * E157, "")</f>
        <v>-2158.2733812949641</v>
      </c>
      <c r="G157" s="109">
        <v>136</v>
      </c>
      <c r="H157" s="107">
        <f>IF(ISNUMBER(G157), (G157 - $B157) / $B157, "")</f>
        <v>-2.1582733812949641E-2</v>
      </c>
      <c r="I157" s="110">
        <f>IF(ISNUMBER(G157), $B172 * H157, "")</f>
        <v>-2158.2733812949641</v>
      </c>
      <c r="J157" s="106">
        <v>136</v>
      </c>
      <c r="K157" s="107">
        <f>IF(ISNUMBER(J157), (J157 - $B157) / $B157, "")</f>
        <v>-2.1582733812949641E-2</v>
      </c>
      <c r="L157" s="108">
        <f>IF(ISNUMBER(J157), $B172 * K157, "")</f>
        <v>-2158.2733812949641</v>
      </c>
      <c r="M157" s="109">
        <v>135</v>
      </c>
      <c r="N157" s="107">
        <f>IF(ISNUMBER(M157), (M157 - $B157) / $B157, "")</f>
        <v>-2.8776978417266189E-2</v>
      </c>
      <c r="O157" s="108">
        <f>IF(ISNUMBER(M157), $B172 * N157, "")</f>
        <v>-2877.6978417266187</v>
      </c>
      <c r="Q157" s="251"/>
      <c r="R157" s="251"/>
      <c r="S157" s="251"/>
    </row>
    <row r="158" spans="1:19" ht="17.25" thickBot="1">
      <c r="A158" s="162" t="s">
        <v>251</v>
      </c>
      <c r="B158" s="126">
        <v>147</v>
      </c>
      <c r="C158" s="77">
        <v>6.8493151000000004E-3</v>
      </c>
      <c r="D158" s="15">
        <v>148</v>
      </c>
      <c r="E158" s="32">
        <f t="shared" ref="E158:E161" si="82">IF(ISNUMBER(D158), (D158 - $B158) / $B158, "")</f>
        <v>6.8027210884353739E-3</v>
      </c>
      <c r="F158" s="18">
        <f>IF(ISNUMBER(D158), $B172 * E158, "")</f>
        <v>680.27210884353735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148</v>
      </c>
      <c r="K158" s="32">
        <f t="shared" ref="K158:K161" si="84">IF(ISNUMBER(J158), (J158 - $B158) / $B158, "")</f>
        <v>6.8027210884353739E-3</v>
      </c>
      <c r="L158" s="18">
        <f>IF(ISNUMBER(J158), $B172 * K158, "")</f>
        <v>680.27210884353735</v>
      </c>
      <c r="M158" s="31">
        <v>150</v>
      </c>
      <c r="N158" s="32">
        <f t="shared" ref="N158:N161" si="85">IF(ISNUMBER(M158), (M158 - $B158) / $B158, "")</f>
        <v>2.0408163265306121E-2</v>
      </c>
      <c r="O158" s="18">
        <f>IF(ISNUMBER(M158), $B172 * N158, "")</f>
        <v>2040.8163265306121</v>
      </c>
      <c r="Q158" s="251"/>
      <c r="R158" s="251"/>
      <c r="S158" s="251"/>
    </row>
    <row r="159" spans="1:19" ht="17.25" thickBot="1">
      <c r="A159" s="162" t="s">
        <v>199</v>
      </c>
      <c r="B159" s="126">
        <v>161</v>
      </c>
      <c r="C159" s="77">
        <v>6.2500000000000003E-3</v>
      </c>
      <c r="D159" s="15">
        <v>169</v>
      </c>
      <c r="E159" s="32">
        <f t="shared" si="82"/>
        <v>4.9689440993788817E-2</v>
      </c>
      <c r="F159" s="18">
        <f>IF(ISNUMBER(D159), $B172 * E159, "")</f>
        <v>4968.9440993788812</v>
      </c>
      <c r="G159" s="31">
        <v>166</v>
      </c>
      <c r="H159" s="32">
        <f t="shared" si="83"/>
        <v>3.1055900621118012E-2</v>
      </c>
      <c r="I159" s="101">
        <f>IF(ISNUMBER(G159), $B172 * H159, "")</f>
        <v>3105.5900621118012</v>
      </c>
      <c r="J159" s="15">
        <v>166</v>
      </c>
      <c r="K159" s="32">
        <f t="shared" si="84"/>
        <v>3.1055900621118012E-2</v>
      </c>
      <c r="L159" s="18">
        <f>IF(ISNUMBER(J159), $B172 * K159, "")</f>
        <v>3105.5900621118012</v>
      </c>
      <c r="M159" s="31">
        <v>168</v>
      </c>
      <c r="N159" s="32">
        <f t="shared" si="85"/>
        <v>4.3478260869565216E-2</v>
      </c>
      <c r="O159" s="18">
        <f>IF(ISNUMBER(M159), $B172 * N159, "")</f>
        <v>4347.826086956522</v>
      </c>
      <c r="Q159" s="251"/>
      <c r="R159" s="251"/>
      <c r="S159" s="251"/>
    </row>
    <row r="160" spans="1:19" ht="17.25" thickBot="1">
      <c r="A160" s="162" t="s">
        <v>88</v>
      </c>
      <c r="B160" s="126">
        <v>330</v>
      </c>
      <c r="C160" s="77">
        <v>6.0975609999999996E-3</v>
      </c>
      <c r="D160" s="15">
        <v>331</v>
      </c>
      <c r="E160" s="32">
        <f t="shared" si="82"/>
        <v>3.0303030303030303E-3</v>
      </c>
      <c r="F160" s="18">
        <f>IF(ISNUMBER(D160), $B172 * E160, "")</f>
        <v>303.030303030303</v>
      </c>
      <c r="G160" s="31">
        <v>327</v>
      </c>
      <c r="H160" s="32">
        <f t="shared" si="83"/>
        <v>-9.0909090909090905E-3</v>
      </c>
      <c r="I160" s="101">
        <f>IF(ISNUMBER(G160), $B172 * H160, "")</f>
        <v>-909.09090909090901</v>
      </c>
      <c r="J160" s="15">
        <v>326</v>
      </c>
      <c r="K160" s="32">
        <f t="shared" si="84"/>
        <v>-1.2121212121212121E-2</v>
      </c>
      <c r="L160" s="18">
        <f>IF(ISNUMBER(J160), $B172 * K160, "")</f>
        <v>-1212.121212121212</v>
      </c>
      <c r="M160" s="31">
        <v>322</v>
      </c>
      <c r="N160" s="32">
        <f t="shared" si="85"/>
        <v>-2.4242424242424242E-2</v>
      </c>
      <c r="O160" s="18">
        <f>IF(ISNUMBER(M160), $B172 * N160, "")</f>
        <v>-2424.242424242424</v>
      </c>
      <c r="Q160" s="33"/>
      <c r="R160" s="33"/>
    </row>
    <row r="161" spans="1:19" ht="17.25" thickBot="1">
      <c r="A161" s="130" t="s">
        <v>191</v>
      </c>
      <c r="B161" s="131">
        <v>999</v>
      </c>
      <c r="C161" s="79">
        <v>3.0120481999999999E-3</v>
      </c>
      <c r="D161" s="24">
        <v>1000</v>
      </c>
      <c r="E161" s="25">
        <f t="shared" si="82"/>
        <v>1.001001001001001E-3</v>
      </c>
      <c r="F161" s="104">
        <f>IF(ISNUMBER(D161), $B172 * E161, "")</f>
        <v>100.10010010010009</v>
      </c>
      <c r="G161" s="102">
        <v>992</v>
      </c>
      <c r="H161" s="25">
        <f t="shared" si="83"/>
        <v>-7.0070070070070069E-3</v>
      </c>
      <c r="I161" s="103">
        <f>IF(ISNUMBER(G161), $B172 * H161, "")</f>
        <v>-700.70070070070074</v>
      </c>
      <c r="J161" s="24">
        <v>990</v>
      </c>
      <c r="K161" s="25">
        <f t="shared" si="84"/>
        <v>-9.0090090090090089E-3</v>
      </c>
      <c r="L161" s="104">
        <f>IF(ISNUMBER(J161), $B172 * K161, "")</f>
        <v>-900.90090090090087</v>
      </c>
      <c r="M161" s="102">
        <v>982</v>
      </c>
      <c r="N161" s="25">
        <f t="shared" si="85"/>
        <v>-1.7017017017017019E-2</v>
      </c>
      <c r="O161" s="104">
        <f>IF(ISNUMBER(M161), $B172 * N161, "")</f>
        <v>-1701.7017017017019</v>
      </c>
      <c r="Q161" s="252"/>
      <c r="R161" s="253"/>
      <c r="S161" s="254"/>
    </row>
    <row r="162" spans="1:19">
      <c r="A162" s="161" t="s">
        <v>275</v>
      </c>
      <c r="B162" s="124">
        <v>843</v>
      </c>
      <c r="C162" s="76">
        <v>1.1876485000000001E-3</v>
      </c>
      <c r="D162" s="13">
        <v>840</v>
      </c>
      <c r="E162" s="14">
        <f>IF(ISNUMBER(D162), (D162 - $B162) / $B162, "")</f>
        <v>-3.5587188612099642E-3</v>
      </c>
      <c r="F162" s="16">
        <f>IF(ISNUMBER(D162), $B172 * E162, "")</f>
        <v>-355.87188612099641</v>
      </c>
      <c r="G162" s="29">
        <v>835</v>
      </c>
      <c r="H162" s="14">
        <f>IF(ISNUMBER(G162), (G162 - $B162) / $B162, "")</f>
        <v>-9.4899169632265724E-3</v>
      </c>
      <c r="I162" s="100">
        <f>IF(ISNUMBER(G162), $B172 * H162, "")</f>
        <v>-948.99169632265728</v>
      </c>
      <c r="J162" s="13">
        <v>835</v>
      </c>
      <c r="K162" s="14">
        <f>IF(ISNUMBER(J162), (J162 - $B162) / $B162, "")</f>
        <v>-9.4899169632265724E-3</v>
      </c>
      <c r="L162" s="16">
        <f>IF(ISNUMBER(J162), $B172 * K162, "")</f>
        <v>-948.99169632265728</v>
      </c>
      <c r="M162" s="29">
        <v>836</v>
      </c>
      <c r="N162" s="14">
        <f>IF(ISNUMBER(M162), (M162 - $B162) / $B162, "")</f>
        <v>-8.3036773428232496E-3</v>
      </c>
      <c r="O162" s="16">
        <f>IF(ISNUMBER(M162), $B172 * N162, "")</f>
        <v>-830.36773428232493</v>
      </c>
      <c r="Q162" s="255"/>
      <c r="R162" s="256"/>
      <c r="S162" s="257"/>
    </row>
    <row r="163" spans="1:19" ht="17.25" thickBot="1">
      <c r="A163" s="162" t="s">
        <v>51</v>
      </c>
      <c r="B163" s="126">
        <v>394</v>
      </c>
      <c r="C163" s="77">
        <v>-2.5316456000000001E-3</v>
      </c>
      <c r="D163" s="15">
        <v>400</v>
      </c>
      <c r="E163" s="32">
        <f t="shared" ref="E163:E166" si="86">IF(ISNUMBER(D163), (D163 - $B163) / $B163, "")</f>
        <v>1.5228426395939087E-2</v>
      </c>
      <c r="F163" s="18">
        <f>IF(ISNUMBER(D163), $B172 * E163, "")</f>
        <v>1522.8426395939086</v>
      </c>
      <c r="G163" s="31">
        <v>392</v>
      </c>
      <c r="H163" s="32">
        <f t="shared" ref="H163:H166" si="87">IF(ISNUMBER(G163), (G163 - $B163) / $B163, "")</f>
        <v>-5.076142131979695E-3</v>
      </c>
      <c r="I163" s="101">
        <f>IF(ISNUMBER(G163), $B172 * H163, "")</f>
        <v>-507.61421319796949</v>
      </c>
      <c r="J163" s="15">
        <v>389</v>
      </c>
      <c r="K163" s="32">
        <f t="shared" ref="K163:K166" si="88">IF(ISNUMBER(J163), (J163 - $B163) / $B163, "")</f>
        <v>-1.2690355329949238E-2</v>
      </c>
      <c r="L163" s="18">
        <f>IF(ISNUMBER(J163), $B172 * K163, "")</f>
        <v>-1269.0355329949239</v>
      </c>
      <c r="M163" s="31">
        <v>383</v>
      </c>
      <c r="N163" s="32">
        <f t="shared" ref="N163:N166" si="89">IF(ISNUMBER(M163), (M163 - $B163) / $B163, "")</f>
        <v>-2.7918781725888325E-2</v>
      </c>
      <c r="O163" s="18">
        <f>IF(ISNUMBER(M163), $B172 * N163, "")</f>
        <v>-2791.8781725888325</v>
      </c>
      <c r="Q163" s="258"/>
      <c r="R163" s="259"/>
      <c r="S163" s="260"/>
    </row>
    <row r="164" spans="1:19" ht="17.25" thickBot="1">
      <c r="A164" s="162" t="s">
        <v>169</v>
      </c>
      <c r="B164" s="126">
        <v>247</v>
      </c>
      <c r="C164" s="77">
        <v>-4.0322581E-3</v>
      </c>
      <c r="D164" s="15">
        <v>245</v>
      </c>
      <c r="E164" s="32">
        <f t="shared" si="86"/>
        <v>-8.0971659919028341E-3</v>
      </c>
      <c r="F164" s="18">
        <f>IF(ISNUMBER(D164), $B172 * E164, "")</f>
        <v>-809.71659919028343</v>
      </c>
      <c r="G164" s="31">
        <v>245</v>
      </c>
      <c r="H164" s="32">
        <f t="shared" si="87"/>
        <v>-8.0971659919028341E-3</v>
      </c>
      <c r="I164" s="101">
        <f>IF(ISNUMBER(G164), $B172 * H164, "")</f>
        <v>-809.71659919028343</v>
      </c>
      <c r="J164" s="15">
        <v>243</v>
      </c>
      <c r="K164" s="32">
        <f t="shared" si="88"/>
        <v>-1.6194331983805668E-2</v>
      </c>
      <c r="L164" s="18">
        <f>IF(ISNUMBER(J164), $B172 * K164, "")</f>
        <v>-1619.4331983805669</v>
      </c>
      <c r="M164" s="31">
        <v>247</v>
      </c>
      <c r="N164" s="32">
        <f t="shared" si="89"/>
        <v>0</v>
      </c>
      <c r="O164" s="18">
        <f>IF(ISNUMBER(M164), $B172 * N164, "")</f>
        <v>0</v>
      </c>
      <c r="Q164" s="251"/>
      <c r="R164" s="251"/>
      <c r="S164" s="251"/>
    </row>
    <row r="165" spans="1:19" ht="17.25" thickBot="1">
      <c r="A165" s="162" t="s">
        <v>253</v>
      </c>
      <c r="B165" s="126">
        <v>419</v>
      </c>
      <c r="C165" s="77">
        <v>-7.1090047000000002E-3</v>
      </c>
      <c r="D165" s="15">
        <v>416</v>
      </c>
      <c r="E165" s="32">
        <f t="shared" si="86"/>
        <v>-7.1599045346062056E-3</v>
      </c>
      <c r="F165" s="18">
        <f>IF(ISNUMBER(D165), $B172 * E165, "")</f>
        <v>-715.99045346062053</v>
      </c>
      <c r="G165" s="31">
        <v>413</v>
      </c>
      <c r="H165" s="32">
        <f t="shared" si="87"/>
        <v>-1.4319809069212411E-2</v>
      </c>
      <c r="I165" s="101">
        <f>IF(ISNUMBER(G165), $B172 * H165, "")</f>
        <v>-1431.9809069212411</v>
      </c>
      <c r="J165" s="15">
        <v>412</v>
      </c>
      <c r="K165" s="32">
        <f t="shared" si="88"/>
        <v>-1.6706443914081145E-2</v>
      </c>
      <c r="L165" s="18">
        <f>IF(ISNUMBER(J165), $B172 * K165, "")</f>
        <v>-1670.6443914081146</v>
      </c>
      <c r="M165" s="31">
        <v>413</v>
      </c>
      <c r="N165" s="32">
        <f t="shared" si="89"/>
        <v>-1.4319809069212411E-2</v>
      </c>
      <c r="O165" s="18">
        <f>IF(ISNUMBER(M165), $B172 * N165, "")</f>
        <v>-1431.9809069212411</v>
      </c>
      <c r="Q165" s="261"/>
      <c r="R165" s="261"/>
      <c r="S165" s="261"/>
    </row>
    <row r="166" spans="1:19" ht="17.25" thickBot="1">
      <c r="A166" s="163" t="s">
        <v>82</v>
      </c>
      <c r="B166" s="128">
        <v>822</v>
      </c>
      <c r="C166" s="78">
        <v>-7.2463768E-3</v>
      </c>
      <c r="D166" s="20">
        <v>886</v>
      </c>
      <c r="E166" s="21">
        <f t="shared" si="86"/>
        <v>7.785888077858881E-2</v>
      </c>
      <c r="F166" s="22">
        <f>IF(ISNUMBER(D166), $B172 * E166, "")</f>
        <v>7785.8880778588809</v>
      </c>
      <c r="G166" s="30">
        <v>827</v>
      </c>
      <c r="H166" s="21">
        <f t="shared" si="87"/>
        <v>6.082725060827251E-3</v>
      </c>
      <c r="I166" s="105">
        <f>IF(ISNUMBER(G166), $B172 * H166, "")</f>
        <v>608.27250608272504</v>
      </c>
      <c r="J166" s="20">
        <v>828</v>
      </c>
      <c r="K166" s="21">
        <f t="shared" si="88"/>
        <v>7.2992700729927005E-3</v>
      </c>
      <c r="L166" s="22">
        <f>IF(ISNUMBER(J166), $B172 * K166, "")</f>
        <v>729.92700729927003</v>
      </c>
      <c r="M166" s="30">
        <v>823</v>
      </c>
      <c r="N166" s="21">
        <f t="shared" si="89"/>
        <v>1.2165450121654502E-3</v>
      </c>
      <c r="O166" s="22">
        <f>IF(ISNUMBER(M166), $B172 * N166, "")</f>
        <v>121.65450121654501</v>
      </c>
      <c r="Q166" s="261"/>
      <c r="R166" s="261"/>
      <c r="S166" s="261"/>
    </row>
    <row r="167" spans="1:19" ht="17.25" thickBot="1">
      <c r="A167" s="162" t="s">
        <v>112</v>
      </c>
      <c r="B167" s="129">
        <v>132</v>
      </c>
      <c r="C167" s="80">
        <v>-7.5187969999999998E-3</v>
      </c>
      <c r="D167" s="106">
        <v>137</v>
      </c>
      <c r="E167" s="107">
        <f>IF(ISNUMBER(D167), (D167 - $B167) / $B167, "")</f>
        <v>3.787878787878788E-2</v>
      </c>
      <c r="F167" s="108">
        <f>IF(ISNUMBER(D167), $B172 * E167, "")</f>
        <v>3787.878787878788</v>
      </c>
      <c r="G167" s="109">
        <v>136</v>
      </c>
      <c r="H167" s="107">
        <f>IF(ISNUMBER(G167), (G167 - $B167) / $B167, "")</f>
        <v>3.0303030303030304E-2</v>
      </c>
      <c r="I167" s="110">
        <f>IF(ISNUMBER(G167), $B172 * H167, "")</f>
        <v>3030.3030303030305</v>
      </c>
      <c r="J167" s="106">
        <v>138</v>
      </c>
      <c r="K167" s="107">
        <f>IF(ISNUMBER(J167), (J167 - $B167) / $B167, "")</f>
        <v>4.5454545454545456E-2</v>
      </c>
      <c r="L167" s="108">
        <f>IF(ISNUMBER(J167), $B172 * K167, "")</f>
        <v>4545.454545454546</v>
      </c>
      <c r="M167" s="109">
        <v>137</v>
      </c>
      <c r="N167" s="107">
        <f>IF(ISNUMBER(M167), (M167 - $B167) / $B167, "")</f>
        <v>3.787878787878788E-2</v>
      </c>
      <c r="O167" s="108">
        <f>IF(ISNUMBER(M167), $B172 * N167, "")</f>
        <v>3787.878787878788</v>
      </c>
      <c r="Q167" s="251"/>
      <c r="R167" s="251"/>
      <c r="S167" s="251"/>
    </row>
    <row r="168" spans="1:19" ht="17.25" thickBot="1">
      <c r="A168" s="162" t="s">
        <v>257</v>
      </c>
      <c r="B168" s="126">
        <v>501</v>
      </c>
      <c r="C168" s="77">
        <v>-1.9569471599999999E-2</v>
      </c>
      <c r="D168" s="15">
        <v>507</v>
      </c>
      <c r="E168" s="32">
        <f t="shared" ref="E168:E171" si="90">IF(ISNUMBER(D168), (D168 - $B168) / $B168, "")</f>
        <v>1.1976047904191617E-2</v>
      </c>
      <c r="F168" s="18">
        <f>IF(ISNUMBER(D168), $B172 * E168, "")</f>
        <v>1197.6047904191616</v>
      </c>
      <c r="G168" s="31">
        <v>496</v>
      </c>
      <c r="H168" s="32">
        <f t="shared" ref="H168:H171" si="91">IF(ISNUMBER(G168), (G168 - $B168) / $B168, "")</f>
        <v>-9.9800399201596807E-3</v>
      </c>
      <c r="I168" s="101">
        <f>IF(ISNUMBER(G168), $B172 * H168, "")</f>
        <v>-998.00399201596804</v>
      </c>
      <c r="J168" s="15">
        <v>495</v>
      </c>
      <c r="K168" s="32">
        <f t="shared" ref="K168:K171" si="92">IF(ISNUMBER(J168), (J168 - $B168) / $B168, "")</f>
        <v>-1.1976047904191617E-2</v>
      </c>
      <c r="L168" s="18">
        <f>IF(ISNUMBER(J168), $B172 * K168, "")</f>
        <v>-1197.6047904191616</v>
      </c>
      <c r="M168" s="31">
        <v>491</v>
      </c>
      <c r="N168" s="32">
        <f t="shared" ref="N168:N171" si="93">IF(ISNUMBER(M168), (M168 - $B168) / $B168, "")</f>
        <v>-1.9960079840319361E-2</v>
      </c>
      <c r="O168" s="18">
        <f>IF(ISNUMBER(M168), $B172 * N168, "")</f>
        <v>-1996.0079840319361</v>
      </c>
      <c r="Q168" s="251"/>
      <c r="R168" s="251"/>
      <c r="S168" s="251"/>
    </row>
    <row r="169" spans="1:19" ht="17.25" thickBot="1">
      <c r="A169" s="162" t="s">
        <v>142</v>
      </c>
      <c r="B169" s="126">
        <v>638</v>
      </c>
      <c r="C169" s="77">
        <v>-1.9969278E-2</v>
      </c>
      <c r="D169" s="15">
        <v>625</v>
      </c>
      <c r="E169" s="32">
        <f t="shared" si="90"/>
        <v>-2.037617554858934E-2</v>
      </c>
      <c r="F169" s="18">
        <f>IF(ISNUMBER(D169), $B172 * E169, "")</f>
        <v>-2037.617554858934</v>
      </c>
      <c r="G169" s="31">
        <v>616</v>
      </c>
      <c r="H169" s="32">
        <f t="shared" si="91"/>
        <v>-3.4482758620689655E-2</v>
      </c>
      <c r="I169" s="101">
        <f>IF(ISNUMBER(G169), $B172 * H169, "")</f>
        <v>-3448.2758620689656</v>
      </c>
      <c r="J169" s="15">
        <v>612</v>
      </c>
      <c r="K169" s="32">
        <f t="shared" si="92"/>
        <v>-4.0752351097178681E-2</v>
      </c>
      <c r="L169" s="18">
        <f>IF(ISNUMBER(J169), $B172 * K169, "")</f>
        <v>-4075.235109717868</v>
      </c>
      <c r="M169" s="31">
        <v>612</v>
      </c>
      <c r="N169" s="32">
        <f t="shared" si="93"/>
        <v>-4.0752351097178681E-2</v>
      </c>
      <c r="O169" s="18">
        <f>IF(ISNUMBER(M169), $B172 * N169, "")</f>
        <v>-4075.235109717868</v>
      </c>
      <c r="Q169" s="251"/>
      <c r="R169" s="251"/>
      <c r="S169" s="251"/>
    </row>
    <row r="170" spans="1:19">
      <c r="A170" s="162" t="s">
        <v>214</v>
      </c>
      <c r="B170" s="126">
        <v>248</v>
      </c>
      <c r="C170" s="77">
        <v>-2.7450980400000002E-2</v>
      </c>
      <c r="D170" s="15">
        <v>247</v>
      </c>
      <c r="E170" s="32">
        <f t="shared" si="90"/>
        <v>-4.0322580645161289E-3</v>
      </c>
      <c r="F170" s="18">
        <f>IF(ISNUMBER(D170), $B172 * E170, "")</f>
        <v>-403.22580645161287</v>
      </c>
      <c r="G170" s="31">
        <v>247</v>
      </c>
      <c r="H170" s="32">
        <f t="shared" si="91"/>
        <v>-4.0322580645161289E-3</v>
      </c>
      <c r="I170" s="101">
        <f>IF(ISNUMBER(G170), $B172 * H170, "")</f>
        <v>-403.22580645161287</v>
      </c>
      <c r="J170" s="15">
        <v>246</v>
      </c>
      <c r="K170" s="32">
        <f t="shared" si="92"/>
        <v>-8.0645161290322578E-3</v>
      </c>
      <c r="L170" s="18">
        <f>IF(ISNUMBER(J170), $B172 * K170, "")</f>
        <v>-806.45161290322574</v>
      </c>
      <c r="M170" s="31">
        <v>244</v>
      </c>
      <c r="N170" s="32">
        <f t="shared" si="93"/>
        <v>-1.6129032258064516E-2</v>
      </c>
      <c r="O170" s="18">
        <f>IF(ISNUMBER(M170), $B172 * N170, "")</f>
        <v>-1612.9032258064515</v>
      </c>
      <c r="Q170" s="240"/>
      <c r="R170" s="241"/>
      <c r="S170" s="242"/>
    </row>
    <row r="171" spans="1:19" ht="17.25" thickBot="1">
      <c r="A171" s="130" t="s">
        <v>242</v>
      </c>
      <c r="B171" s="131">
        <v>262</v>
      </c>
      <c r="C171" s="79">
        <v>-2.9629629599999999E-2</v>
      </c>
      <c r="D171" s="24">
        <v>257</v>
      </c>
      <c r="E171" s="25">
        <f t="shared" si="90"/>
        <v>-1.9083969465648856E-2</v>
      </c>
      <c r="F171" s="104">
        <f>IF(ISNUMBER(D171), $B172 * E171, "")</f>
        <v>-1908.3969465648856</v>
      </c>
      <c r="G171" s="102">
        <v>259</v>
      </c>
      <c r="H171" s="25">
        <f t="shared" si="91"/>
        <v>-1.1450381679389313E-2</v>
      </c>
      <c r="I171" s="103">
        <f>IF(ISNUMBER(G171), $B172 * H171, "")</f>
        <v>-1145.0381679389313</v>
      </c>
      <c r="J171" s="24">
        <v>260</v>
      </c>
      <c r="K171" s="25">
        <f t="shared" si="92"/>
        <v>-7.6335877862595417E-3</v>
      </c>
      <c r="L171" s="104">
        <f>IF(ISNUMBER(J171), $B172 * K171, "")</f>
        <v>-763.35877862595419</v>
      </c>
      <c r="M171" s="102">
        <v>261</v>
      </c>
      <c r="N171" s="25">
        <f t="shared" si="93"/>
        <v>-3.8167938931297708E-3</v>
      </c>
      <c r="O171" s="104">
        <f>IF(ISNUMBER(M171), $B172 * N171, "")</f>
        <v>-381.67938931297709</v>
      </c>
      <c r="Q171" s="243"/>
      <c r="R171" s="244"/>
      <c r="S171" s="245"/>
    </row>
    <row r="172" spans="1:19" ht="17.25" thickBot="1">
      <c r="A172" s="132" t="s">
        <v>295</v>
      </c>
      <c r="B172" s="304">
        <f>$B$37</f>
        <v>100000</v>
      </c>
      <c r="C172" s="305"/>
      <c r="D172" s="26" t="s">
        <v>296</v>
      </c>
      <c r="E172" s="27">
        <f>IF(COUNT(E152:E171), SUM(E152:E171) / COUNT(E152:E171), 0)</f>
        <v>9.370571233771172E-3</v>
      </c>
      <c r="F172" s="28">
        <f>SUM(F152:F171)</f>
        <v>18741.142467542337</v>
      </c>
      <c r="G172" s="26" t="s">
        <v>296</v>
      </c>
      <c r="H172" s="27">
        <f>IF(COUNT(H152:H171), SUM(H152:H171) / COUNT(H152:H171), 0)</f>
        <v>-8.2830109936911952E-4</v>
      </c>
      <c r="I172" s="28">
        <f>SUM(I152:I171)</f>
        <v>-1656.6021987382369</v>
      </c>
      <c r="J172" s="26" t="s">
        <v>296</v>
      </c>
      <c r="K172" s="27">
        <f>IF(COUNT(K152:K171), SUM(K152:K171) / COUNT(K152:K171), 0)</f>
        <v>-1.7015577882869906E-3</v>
      </c>
      <c r="L172" s="28">
        <f>SUM(L152:L171)</f>
        <v>-3403.1155765739809</v>
      </c>
      <c r="M172" s="26" t="s">
        <v>296</v>
      </c>
      <c r="N172" s="27">
        <f>IF(COUNT(N152:N171), SUM(N152:N171) / COUNT(N152:N171), 0)</f>
        <v>-4.070619299355668E-3</v>
      </c>
      <c r="O172" s="28">
        <f>SUM(O152:O171)</f>
        <v>-8141.2385987113339</v>
      </c>
      <c r="Q172" s="246"/>
      <c r="R172" s="247"/>
      <c r="S172" s="248"/>
    </row>
    <row r="174" spans="1:19" ht="17.25" thickBot="1"/>
    <row r="175" spans="1:19" ht="17.25" thickBot="1">
      <c r="A175" s="262" t="s">
        <v>280</v>
      </c>
      <c r="B175" s="263"/>
      <c r="C175" s="263"/>
      <c r="D175" s="263"/>
      <c r="E175" s="263"/>
      <c r="F175" s="263"/>
      <c r="G175" s="263"/>
      <c r="H175" s="263"/>
      <c r="I175" s="263"/>
      <c r="J175" s="263"/>
      <c r="K175" s="263"/>
      <c r="L175" s="263"/>
      <c r="M175" s="263"/>
      <c r="N175" s="263"/>
      <c r="O175" s="264"/>
      <c r="Q175" s="261"/>
      <c r="R175" s="261"/>
      <c r="S175" s="261"/>
    </row>
    <row r="176" spans="1:19" ht="17.25" thickBot="1">
      <c r="A176" s="216" t="s">
        <v>292</v>
      </c>
      <c r="B176" s="262" t="s">
        <v>49</v>
      </c>
      <c r="C176" s="264"/>
      <c r="D176" s="262" t="s">
        <v>58</v>
      </c>
      <c r="E176" s="263"/>
      <c r="F176" s="264"/>
      <c r="G176" s="265">
        <f>_xlfn.IFNA(VLOOKUP(B176, 현재가테이블!$B$2:$D$200, 2, FALSE), "-")</f>
        <v>40538000</v>
      </c>
      <c r="H176" s="266"/>
      <c r="I176" s="267"/>
      <c r="J176" s="262" t="s">
        <v>59</v>
      </c>
      <c r="K176" s="263"/>
      <c r="L176" s="264"/>
      <c r="M176" s="268">
        <f>_xlfn.IFNA(VLOOKUP(B176, 현재가테이블!$B$2:$D$200, 3, FALSE), "-")</f>
        <v>-3.68275993E-2</v>
      </c>
      <c r="N176" s="269"/>
      <c r="O176" s="270"/>
      <c r="Q176" s="261"/>
      <c r="R176" s="261"/>
      <c r="S176" s="261"/>
    </row>
    <row r="177" spans="1:19" ht="17.25" thickBot="1">
      <c r="A177" s="306" t="s">
        <v>55</v>
      </c>
      <c r="B177" s="302" t="str">
        <f>TEXT($G$1, "[$-ko-KR]yyyy-mm-dd(ddd) ") &amp; "오전 00:00"</f>
        <v>2021-06-15(화) 오전 00:00</v>
      </c>
      <c r="C177" s="303"/>
      <c r="D177" s="275" t="str">
        <f>TEXT($G$1, "[$-ko-KR]yyyy-mm-dd(ddd) ") &amp; "오후 14:00"</f>
        <v>2021-06-15(화) 오후 14:00</v>
      </c>
      <c r="E177" s="276"/>
      <c r="F177" s="277"/>
      <c r="G177" s="275" t="str">
        <f>TEXT($G$1, "[$-ko-KR]yyyy-mm-dd(ddd) ") &amp; "오후 19:00"</f>
        <v>2021-06-15(화) 오후 19:00</v>
      </c>
      <c r="H177" s="276"/>
      <c r="I177" s="277"/>
      <c r="J177" s="275" t="str">
        <f>TEXT($G$1, "[$-ko-KR]yyyy-mm-dd(ddd) ") &amp; "오후 21:00"</f>
        <v>2021-06-15(화) 오후 21:00</v>
      </c>
      <c r="K177" s="276"/>
      <c r="L177" s="277"/>
      <c r="M177" s="275" t="str">
        <f>TEXT($G$1+1, "[$-ko-KR]yyyy-mm-dd(ddd) ") &amp; "오전 00:00"</f>
        <v>2021-06-16(수) 오전 00:00</v>
      </c>
      <c r="N177" s="276"/>
      <c r="O177" s="277"/>
      <c r="Q177" s="261"/>
      <c r="R177" s="261"/>
      <c r="S177" s="261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7" t="s">
        <v>58</v>
      </c>
      <c r="H178" s="218" t="s">
        <v>293</v>
      </c>
      <c r="I178" s="21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1"/>
      <c r="R178" s="251"/>
      <c r="S178" s="251"/>
    </row>
    <row r="179" spans="1:19" ht="17.25" thickBot="1">
      <c r="A179" s="161" t="s">
        <v>146</v>
      </c>
      <c r="B179" s="124">
        <v>9320</v>
      </c>
      <c r="C179" s="76">
        <v>-5.3619300000000002E-4</v>
      </c>
      <c r="D179" s="13">
        <v>9310</v>
      </c>
      <c r="E179" s="14">
        <f>IF(ISNUMBER(D179), (D179 - $B179) / $B179, "")</f>
        <v>-1.0729613733905579E-3</v>
      </c>
      <c r="F179" s="16">
        <f>IF(ISNUMBER(D179), $B199 * E179, "")</f>
        <v>-107.29613733905579</v>
      </c>
      <c r="G179" s="29">
        <v>9275</v>
      </c>
      <c r="H179" s="14">
        <f>IF(ISNUMBER(G179), (G179 - $B179) / $B179, "")</f>
        <v>-4.8283261802575111E-3</v>
      </c>
      <c r="I179" s="100">
        <f>IF(ISNUMBER(G179), $B199 * H179, "")</f>
        <v>-482.83261802575112</v>
      </c>
      <c r="J179" s="13">
        <v>9235</v>
      </c>
      <c r="K179" s="14">
        <f>IF(ISNUMBER(J179), (J179 - $B179) / $B179, "")</f>
        <v>-9.1201716738197429E-3</v>
      </c>
      <c r="L179" s="16">
        <f>IF(ISNUMBER(J179), $B199 * K179, "")</f>
        <v>-912.01716738197433</v>
      </c>
      <c r="M179" s="29">
        <v>9195</v>
      </c>
      <c r="N179" s="14">
        <f>IF(ISNUMBER(M179), (M179 - $B179) / $B179, "")</f>
        <v>-1.3412017167381975E-2</v>
      </c>
      <c r="O179" s="16">
        <f>IF(ISNUMBER(M179), $B199 * N179, "")</f>
        <v>-1341.2017167381975</v>
      </c>
      <c r="Q179" s="261"/>
      <c r="R179" s="261"/>
      <c r="S179" s="261"/>
    </row>
    <row r="180" spans="1:19" ht="17.25" thickBot="1">
      <c r="A180" s="162" t="s">
        <v>177</v>
      </c>
      <c r="B180" s="126">
        <v>22130</v>
      </c>
      <c r="C180" s="77">
        <v>-9.0293450000000005E-4</v>
      </c>
      <c r="D180" s="15">
        <v>22740</v>
      </c>
      <c r="E180" s="32">
        <f t="shared" ref="E180:E183" si="94">IF(ISNUMBER(D180), (D180 - $B180) / $B180, "")</f>
        <v>2.7564392227745142E-2</v>
      </c>
      <c r="F180" s="18">
        <f>IF(ISNUMBER(D180), $B199 * E180, "")</f>
        <v>2756.4392227745143</v>
      </c>
      <c r="G180" s="31">
        <v>22270</v>
      </c>
      <c r="H180" s="32">
        <f t="shared" ref="H180:H183" si="95">IF(ISNUMBER(G180), (G180 - $B180) / $B180, "")</f>
        <v>6.3262539539087215E-3</v>
      </c>
      <c r="I180" s="101">
        <f>IF(ISNUMBER(G180), $B199 * H180, "")</f>
        <v>632.6253953908722</v>
      </c>
      <c r="J180" s="15">
        <v>22150</v>
      </c>
      <c r="K180" s="32">
        <f t="shared" ref="K180:K183" si="96">IF(ISNUMBER(J180), (J180 - $B180) / $B180, "")</f>
        <v>9.0375056484410306E-4</v>
      </c>
      <c r="L180" s="18">
        <f>IF(ISNUMBER(J180), $B199 * K180, "")</f>
        <v>90.375056484410308</v>
      </c>
      <c r="M180" s="31">
        <v>22170</v>
      </c>
      <c r="N180" s="32">
        <f t="shared" ref="N180:N183" si="97">IF(ISNUMBER(M180), (M180 - $B180) / $B180, "")</f>
        <v>1.8075011296882061E-3</v>
      </c>
      <c r="O180" s="18">
        <f>IF(ISNUMBER(M180), $B199 * N180, "")</f>
        <v>180.75011296882062</v>
      </c>
      <c r="Q180" s="261"/>
      <c r="R180" s="261"/>
      <c r="S180" s="261"/>
    </row>
    <row r="181" spans="1:19" ht="17.25" thickBot="1">
      <c r="A181" s="162" t="s">
        <v>189</v>
      </c>
      <c r="B181" s="126">
        <v>52800</v>
      </c>
      <c r="C181" s="77">
        <v>-9.4607380000000002E-4</v>
      </c>
      <c r="D181" s="15">
        <v>52000</v>
      </c>
      <c r="E181" s="32">
        <f t="shared" si="94"/>
        <v>-1.5151515151515152E-2</v>
      </c>
      <c r="F181" s="18">
        <f>IF(ISNUMBER(D181), $B199 * E181, "")</f>
        <v>-1515.1515151515152</v>
      </c>
      <c r="G181" s="31">
        <v>51540</v>
      </c>
      <c r="H181" s="32">
        <f t="shared" si="95"/>
        <v>-2.3863636363636365E-2</v>
      </c>
      <c r="I181" s="101">
        <f>IF(ISNUMBER(G181), $B199 * H181, "")</f>
        <v>-2386.3636363636365</v>
      </c>
      <c r="J181" s="15">
        <v>51940</v>
      </c>
      <c r="K181" s="32">
        <f t="shared" si="96"/>
        <v>-1.6287878787878789E-2</v>
      </c>
      <c r="L181" s="18">
        <f>IF(ISNUMBER(J181), $B199 * K181, "")</f>
        <v>-1628.787878787879</v>
      </c>
      <c r="M181" s="31">
        <v>51540</v>
      </c>
      <c r="N181" s="32">
        <f t="shared" si="97"/>
        <v>-2.3863636363636365E-2</v>
      </c>
      <c r="O181" s="18">
        <f>IF(ISNUMBER(M181), $B199 * N181, "")</f>
        <v>-2386.3636363636365</v>
      </c>
      <c r="Q181" s="251"/>
      <c r="R181" s="251"/>
      <c r="S181" s="251"/>
    </row>
    <row r="182" spans="1:19" ht="17.25" thickBot="1">
      <c r="A182" s="162" t="s">
        <v>51</v>
      </c>
      <c r="B182" s="126">
        <v>394</v>
      </c>
      <c r="C182" s="77">
        <v>-2.5316456000000001E-3</v>
      </c>
      <c r="D182" s="15">
        <v>400</v>
      </c>
      <c r="E182" s="32">
        <f t="shared" si="94"/>
        <v>1.5228426395939087E-2</v>
      </c>
      <c r="F182" s="18">
        <f>IF(ISNUMBER(D182), $B199 * E182, "")</f>
        <v>1522.8426395939086</v>
      </c>
      <c r="G182" s="31">
        <v>392</v>
      </c>
      <c r="H182" s="32">
        <f t="shared" si="95"/>
        <v>-5.076142131979695E-3</v>
      </c>
      <c r="I182" s="101">
        <f>IF(ISNUMBER(G182), $B199 * H182, "")</f>
        <v>-507.61421319796949</v>
      </c>
      <c r="J182" s="15">
        <v>389</v>
      </c>
      <c r="K182" s="32">
        <f t="shared" si="96"/>
        <v>-1.2690355329949238E-2</v>
      </c>
      <c r="L182" s="18">
        <f>IF(ISNUMBER(J182), $B199 * K182, "")</f>
        <v>-1269.0355329949239</v>
      </c>
      <c r="M182" s="31">
        <v>383</v>
      </c>
      <c r="N182" s="32">
        <f t="shared" si="97"/>
        <v>-2.7918781725888325E-2</v>
      </c>
      <c r="O182" s="18">
        <f>IF(ISNUMBER(M182), $B199 * N182, "")</f>
        <v>-2791.8781725888325</v>
      </c>
      <c r="Q182" s="251"/>
      <c r="R182" s="251"/>
      <c r="S182" s="251"/>
    </row>
    <row r="183" spans="1:19" ht="17.25" thickBot="1">
      <c r="A183" s="163" t="s">
        <v>203</v>
      </c>
      <c r="B183" s="128">
        <v>3045</v>
      </c>
      <c r="C183" s="78">
        <v>-3.2733224000000001E-3</v>
      </c>
      <c r="D183" s="20">
        <v>3035</v>
      </c>
      <c r="E183" s="21">
        <f t="shared" si="94"/>
        <v>-3.2840722495894909E-3</v>
      </c>
      <c r="F183" s="22">
        <f>IF(ISNUMBER(D183), $B199 * E183, "")</f>
        <v>-328.40722495894909</v>
      </c>
      <c r="G183" s="30">
        <v>3035</v>
      </c>
      <c r="H183" s="21">
        <f t="shared" si="95"/>
        <v>-3.2840722495894909E-3</v>
      </c>
      <c r="I183" s="105">
        <f>IF(ISNUMBER(G183), $B199 * H183, "")</f>
        <v>-328.40722495894909</v>
      </c>
      <c r="J183" s="20">
        <v>3035</v>
      </c>
      <c r="K183" s="21">
        <f t="shared" si="96"/>
        <v>-3.2840722495894909E-3</v>
      </c>
      <c r="L183" s="22">
        <f>IF(ISNUMBER(J183), $B199 * K183, "")</f>
        <v>-328.40722495894909</v>
      </c>
      <c r="M183" s="30">
        <v>3025</v>
      </c>
      <c r="N183" s="21">
        <f t="shared" si="97"/>
        <v>-6.5681444991789817E-3</v>
      </c>
      <c r="O183" s="22">
        <f>IF(ISNUMBER(M183), $B199 * N183, "")</f>
        <v>-656.81444991789817</v>
      </c>
      <c r="Q183" s="251"/>
      <c r="R183" s="251"/>
      <c r="S183" s="251"/>
    </row>
    <row r="184" spans="1:19" ht="17.25" thickBot="1">
      <c r="A184" s="162" t="s">
        <v>261</v>
      </c>
      <c r="B184" s="129">
        <v>54.2</v>
      </c>
      <c r="C184" s="80">
        <v>-3.6764706E-3</v>
      </c>
      <c r="D184" s="106">
        <v>58.2</v>
      </c>
      <c r="E184" s="107">
        <f>IF(ISNUMBER(D184), (D184 - $B184) / $B184, "")</f>
        <v>7.3800738007380073E-2</v>
      </c>
      <c r="F184" s="108">
        <f>IF(ISNUMBER(D184), $B199 * E184, "")</f>
        <v>7380.0738007380078</v>
      </c>
      <c r="G184" s="109">
        <v>56.6</v>
      </c>
      <c r="H184" s="107">
        <f>IF(ISNUMBER(G184), (G184 - $B184) / $B184, "")</f>
        <v>4.4280442804428014E-2</v>
      </c>
      <c r="I184" s="110">
        <f>IF(ISNUMBER(G184), $B199 * H184, "")</f>
        <v>4428.0442804428012</v>
      </c>
      <c r="J184" s="106">
        <v>57.6</v>
      </c>
      <c r="K184" s="107">
        <f>IF(ISNUMBER(J184), (J184 - $B184) / $B184, "")</f>
        <v>6.2730627306273032E-2</v>
      </c>
      <c r="L184" s="108">
        <f>IF(ISNUMBER(J184), $B199 * K184, "")</f>
        <v>6273.0627306273036</v>
      </c>
      <c r="M184" s="109">
        <v>56.3</v>
      </c>
      <c r="N184" s="107">
        <f>IF(ISNUMBER(M184), (M184 - $B184) / $B184, "")</f>
        <v>3.874538745387443E-2</v>
      </c>
      <c r="O184" s="108">
        <f>IF(ISNUMBER(M184), $B199 * N184, "")</f>
        <v>3874.5387453874432</v>
      </c>
      <c r="Q184" s="251"/>
      <c r="R184" s="251"/>
      <c r="S184" s="251"/>
    </row>
    <row r="185" spans="1:19" ht="17.25" thickBot="1">
      <c r="A185" s="162" t="s">
        <v>169</v>
      </c>
      <c r="B185" s="126">
        <v>247</v>
      </c>
      <c r="C185" s="77">
        <v>-4.0322581E-3</v>
      </c>
      <c r="D185" s="15">
        <v>245</v>
      </c>
      <c r="E185" s="32">
        <f t="shared" ref="E185:E188" si="98">IF(ISNUMBER(D185), (D185 - $B185) / $B185, "")</f>
        <v>-8.0971659919028341E-3</v>
      </c>
      <c r="F185" s="18">
        <f>IF(ISNUMBER(D185), $B199 * E185, "")</f>
        <v>-809.71659919028343</v>
      </c>
      <c r="G185" s="31">
        <v>245</v>
      </c>
      <c r="H185" s="32">
        <f t="shared" ref="H185:H188" si="99">IF(ISNUMBER(G185), (G185 - $B185) / $B185, "")</f>
        <v>-8.0971659919028341E-3</v>
      </c>
      <c r="I185" s="101">
        <f>IF(ISNUMBER(G185), $B199 * H185, "")</f>
        <v>-809.71659919028343</v>
      </c>
      <c r="J185" s="15">
        <v>243</v>
      </c>
      <c r="K185" s="32">
        <f t="shared" ref="K185:K188" si="100">IF(ISNUMBER(J185), (J185 - $B185) / $B185, "")</f>
        <v>-1.6194331983805668E-2</v>
      </c>
      <c r="L185" s="18">
        <f>IF(ISNUMBER(J185), $B199 * K185, "")</f>
        <v>-1619.4331983805669</v>
      </c>
      <c r="M185" s="31">
        <v>247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51"/>
      <c r="R185" s="251"/>
      <c r="S185" s="251"/>
    </row>
    <row r="186" spans="1:19" ht="17.25" thickBot="1">
      <c r="A186" s="162" t="s">
        <v>175</v>
      </c>
      <c r="B186" s="126">
        <v>1020</v>
      </c>
      <c r="C186" s="77">
        <v>-4.8780487999999997E-3</v>
      </c>
      <c r="D186" s="15">
        <v>1025</v>
      </c>
      <c r="E186" s="32">
        <f t="shared" si="98"/>
        <v>4.9019607843137254E-3</v>
      </c>
      <c r="F186" s="18">
        <f>IF(ISNUMBER(D186), $B199 * E186, "")</f>
        <v>490.19607843137254</v>
      </c>
      <c r="G186" s="31">
        <v>1020</v>
      </c>
      <c r="H186" s="32">
        <f t="shared" si="99"/>
        <v>0</v>
      </c>
      <c r="I186" s="101">
        <f>IF(ISNUMBER(G186), $B199 * H186, "")</f>
        <v>0</v>
      </c>
      <c r="J186" s="15">
        <v>1020</v>
      </c>
      <c r="K186" s="32">
        <f t="shared" si="100"/>
        <v>0</v>
      </c>
      <c r="L186" s="18">
        <f>IF(ISNUMBER(J186), $B199 * K186, "")</f>
        <v>0</v>
      </c>
      <c r="M186" s="31">
        <v>1010</v>
      </c>
      <c r="N186" s="32">
        <f t="shared" si="101"/>
        <v>-9.8039215686274508E-3</v>
      </c>
      <c r="O186" s="18">
        <f>IF(ISNUMBER(M186), $B199 * N186, "")</f>
        <v>-980.39215686274508</v>
      </c>
      <c r="Q186" s="251"/>
      <c r="R186" s="251"/>
      <c r="S186" s="251"/>
    </row>
    <row r="187" spans="1:19" ht="17.25" thickBot="1">
      <c r="A187" s="162" t="s">
        <v>253</v>
      </c>
      <c r="B187" s="126">
        <v>419</v>
      </c>
      <c r="C187" s="77">
        <v>-7.1090047000000002E-3</v>
      </c>
      <c r="D187" s="15">
        <v>416</v>
      </c>
      <c r="E187" s="32">
        <f t="shared" si="98"/>
        <v>-7.1599045346062056E-3</v>
      </c>
      <c r="F187" s="18">
        <f>IF(ISNUMBER(D187), $B199 * E187, "")</f>
        <v>-715.99045346062053</v>
      </c>
      <c r="G187" s="31">
        <v>413</v>
      </c>
      <c r="H187" s="32">
        <f t="shared" si="99"/>
        <v>-1.4319809069212411E-2</v>
      </c>
      <c r="I187" s="101">
        <f>IF(ISNUMBER(G187), $B199 * H187, "")</f>
        <v>-1431.9809069212411</v>
      </c>
      <c r="J187" s="15">
        <v>412</v>
      </c>
      <c r="K187" s="32">
        <f t="shared" si="100"/>
        <v>-1.6706443914081145E-2</v>
      </c>
      <c r="L187" s="18">
        <f>IF(ISNUMBER(J187), $B199 * K187, "")</f>
        <v>-1670.6443914081146</v>
      </c>
      <c r="M187" s="31">
        <v>413</v>
      </c>
      <c r="N187" s="32">
        <f t="shared" si="101"/>
        <v>-1.4319809069212411E-2</v>
      </c>
      <c r="O187" s="18">
        <f>IF(ISNUMBER(M187), $B199 * N187, "")</f>
        <v>-1431.9809069212411</v>
      </c>
      <c r="Q187" s="33"/>
      <c r="R187" s="33"/>
    </row>
    <row r="188" spans="1:19" ht="17.25" thickBot="1">
      <c r="A188" s="130" t="s">
        <v>82</v>
      </c>
      <c r="B188" s="131">
        <v>822</v>
      </c>
      <c r="C188" s="79">
        <v>-7.2463768E-3</v>
      </c>
      <c r="D188" s="24">
        <v>886</v>
      </c>
      <c r="E188" s="25">
        <f t="shared" si="98"/>
        <v>7.785888077858881E-2</v>
      </c>
      <c r="F188" s="104">
        <f>IF(ISNUMBER(D188), $B199 * E188, "")</f>
        <v>7785.8880778588809</v>
      </c>
      <c r="G188" s="102">
        <v>827</v>
      </c>
      <c r="H188" s="25">
        <f t="shared" si="99"/>
        <v>6.082725060827251E-3</v>
      </c>
      <c r="I188" s="103">
        <f>IF(ISNUMBER(G188), $B199 * H188, "")</f>
        <v>608.27250608272504</v>
      </c>
      <c r="J188" s="24">
        <v>828</v>
      </c>
      <c r="K188" s="25">
        <f t="shared" si="100"/>
        <v>7.2992700729927005E-3</v>
      </c>
      <c r="L188" s="104">
        <f>IF(ISNUMBER(J188), $B199 * K188, "")</f>
        <v>729.92700729927003</v>
      </c>
      <c r="M188" s="102">
        <v>823</v>
      </c>
      <c r="N188" s="25">
        <f t="shared" si="101"/>
        <v>1.2165450121654502E-3</v>
      </c>
      <c r="O188" s="104">
        <f>IF(ISNUMBER(M188), $B199 * N188, "")</f>
        <v>121.65450121654501</v>
      </c>
      <c r="Q188" s="252"/>
      <c r="R188" s="253"/>
      <c r="S188" s="254"/>
    </row>
    <row r="189" spans="1:19">
      <c r="A189" s="161" t="s">
        <v>112</v>
      </c>
      <c r="B189" s="124">
        <v>132</v>
      </c>
      <c r="C189" s="76">
        <v>-7.5187969999999998E-3</v>
      </c>
      <c r="D189" s="13">
        <v>137</v>
      </c>
      <c r="E189" s="14">
        <f>IF(ISNUMBER(D189), (D189 - $B189) / $B189, "")</f>
        <v>3.787878787878788E-2</v>
      </c>
      <c r="F189" s="16">
        <f>IF(ISNUMBER(D189), $B199 * E189, "")</f>
        <v>3787.878787878788</v>
      </c>
      <c r="G189" s="29">
        <v>136</v>
      </c>
      <c r="H189" s="14">
        <f>IF(ISNUMBER(G189), (G189 - $B189) / $B189, "")</f>
        <v>3.0303030303030304E-2</v>
      </c>
      <c r="I189" s="100">
        <f>IF(ISNUMBER(G189), $B199 * H189, "")</f>
        <v>3030.3030303030305</v>
      </c>
      <c r="J189" s="13">
        <v>138</v>
      </c>
      <c r="K189" s="14">
        <f>IF(ISNUMBER(J189), (J189 - $B189) / $B189, "")</f>
        <v>4.5454545454545456E-2</v>
      </c>
      <c r="L189" s="16">
        <f>IF(ISNUMBER(J189), $B199 * K189, "")</f>
        <v>4545.454545454546</v>
      </c>
      <c r="M189" s="29">
        <v>137</v>
      </c>
      <c r="N189" s="14">
        <f>IF(ISNUMBER(M189), (M189 - $B189) / $B189, "")</f>
        <v>3.787878787878788E-2</v>
      </c>
      <c r="O189" s="16">
        <f>IF(ISNUMBER(M189), $B199 * N189, "")</f>
        <v>3787.878787878788</v>
      </c>
      <c r="Q189" s="255"/>
      <c r="R189" s="256"/>
      <c r="S189" s="257"/>
    </row>
    <row r="190" spans="1:19" ht="17.25" thickBot="1">
      <c r="A190" s="162" t="s">
        <v>72</v>
      </c>
      <c r="B190" s="126">
        <v>19</v>
      </c>
      <c r="C190" s="77">
        <v>-1.04166667E-2</v>
      </c>
      <c r="D190" s="15">
        <v>19.2</v>
      </c>
      <c r="E190" s="32">
        <f t="shared" ref="E190:E193" si="102">IF(ISNUMBER(D190), (D190 - $B190) / $B190, "")</f>
        <v>1.0526315789473648E-2</v>
      </c>
      <c r="F190" s="18">
        <f>IF(ISNUMBER(D190), $B199 * E190, "")</f>
        <v>1052.6315789473647</v>
      </c>
      <c r="G190" s="31">
        <v>19.2</v>
      </c>
      <c r="H190" s="32">
        <f t="shared" ref="H190:H193" si="103">IF(ISNUMBER(G190), (G190 - $B190) / $B190, "")</f>
        <v>1.0526315789473648E-2</v>
      </c>
      <c r="I190" s="101">
        <f>IF(ISNUMBER(G190), $B199 * H190, "")</f>
        <v>1052.6315789473647</v>
      </c>
      <c r="J190" s="15">
        <v>19.100000000000001</v>
      </c>
      <c r="K190" s="32">
        <f t="shared" ref="K190:K193" si="104">IF(ISNUMBER(J190), (J190 - $B190) / $B190, "")</f>
        <v>5.2631578947369166E-3</v>
      </c>
      <c r="L190" s="18">
        <f>IF(ISNUMBER(J190), $B199 * K190, "")</f>
        <v>526.31578947369167</v>
      </c>
      <c r="M190" s="31">
        <v>19.100000000000001</v>
      </c>
      <c r="N190" s="32">
        <f t="shared" ref="N190:N193" si="105">IF(ISNUMBER(M190), (M190 - $B190) / $B190, "")</f>
        <v>5.2631578947369166E-3</v>
      </c>
      <c r="O190" s="18">
        <f>IF(ISNUMBER(M190), $B199 * N190, "")</f>
        <v>526.31578947369167</v>
      </c>
      <c r="Q190" s="258"/>
      <c r="R190" s="259"/>
      <c r="S190" s="260"/>
    </row>
    <row r="191" spans="1:19" ht="17.25" thickBot="1">
      <c r="A191" s="162" t="s">
        <v>271</v>
      </c>
      <c r="B191" s="126">
        <v>2530</v>
      </c>
      <c r="C191" s="77">
        <v>-1.7475728199999999E-2</v>
      </c>
      <c r="D191" s="15">
        <v>2510</v>
      </c>
      <c r="E191" s="32">
        <f t="shared" si="102"/>
        <v>-7.9051383399209481E-3</v>
      </c>
      <c r="F191" s="18">
        <f>IF(ISNUMBER(D191), $B199 * E191, "")</f>
        <v>-790.51383399209476</v>
      </c>
      <c r="G191" s="31">
        <v>2505</v>
      </c>
      <c r="H191" s="32">
        <f t="shared" si="103"/>
        <v>-9.881422924901186E-3</v>
      </c>
      <c r="I191" s="101">
        <f>IF(ISNUMBER(G191), $B199 * H191, "")</f>
        <v>-988.14229249011862</v>
      </c>
      <c r="J191" s="15">
        <v>2505</v>
      </c>
      <c r="K191" s="32">
        <f t="shared" si="104"/>
        <v>-9.881422924901186E-3</v>
      </c>
      <c r="L191" s="18">
        <f>IF(ISNUMBER(J191), $B199 * K191, "")</f>
        <v>-988.14229249011862</v>
      </c>
      <c r="M191" s="31">
        <v>2500</v>
      </c>
      <c r="N191" s="32">
        <f t="shared" si="105"/>
        <v>-1.1857707509881422E-2</v>
      </c>
      <c r="O191" s="18">
        <f>IF(ISNUMBER(M191), $B199 * N191, "")</f>
        <v>-1185.7707509881423</v>
      </c>
      <c r="Q191" s="251"/>
      <c r="R191" s="251"/>
      <c r="S191" s="251"/>
    </row>
    <row r="192" spans="1:19" ht="17.25" thickBot="1">
      <c r="A192" s="162" t="s">
        <v>257</v>
      </c>
      <c r="B192" s="126">
        <v>501</v>
      </c>
      <c r="C192" s="77">
        <v>-1.9569471599999999E-2</v>
      </c>
      <c r="D192" s="15">
        <v>507</v>
      </c>
      <c r="E192" s="32">
        <f t="shared" si="102"/>
        <v>1.1976047904191617E-2</v>
      </c>
      <c r="F192" s="18">
        <f>IF(ISNUMBER(D192), $B199 * E192, "")</f>
        <v>1197.6047904191616</v>
      </c>
      <c r="G192" s="31">
        <v>496</v>
      </c>
      <c r="H192" s="32">
        <f t="shared" si="103"/>
        <v>-9.9800399201596807E-3</v>
      </c>
      <c r="I192" s="101">
        <f>IF(ISNUMBER(G192), $B199 * H192, "")</f>
        <v>-998.00399201596804</v>
      </c>
      <c r="J192" s="15">
        <v>495</v>
      </c>
      <c r="K192" s="32">
        <f t="shared" si="104"/>
        <v>-1.1976047904191617E-2</v>
      </c>
      <c r="L192" s="18">
        <f>IF(ISNUMBER(J192), $B199 * K192, "")</f>
        <v>-1197.6047904191616</v>
      </c>
      <c r="M192" s="31">
        <v>491</v>
      </c>
      <c r="N192" s="32">
        <f t="shared" si="105"/>
        <v>-1.9960079840319361E-2</v>
      </c>
      <c r="O192" s="18">
        <f>IF(ISNUMBER(M192), $B199 * N192, "")</f>
        <v>-1996.0079840319361</v>
      </c>
      <c r="Q192" s="261"/>
      <c r="R192" s="261"/>
      <c r="S192" s="261"/>
    </row>
    <row r="193" spans="1:19" ht="17.25" thickBot="1">
      <c r="A193" s="163" t="s">
        <v>142</v>
      </c>
      <c r="B193" s="128">
        <v>638</v>
      </c>
      <c r="C193" s="78">
        <v>-1.9969278E-2</v>
      </c>
      <c r="D193" s="20">
        <v>625</v>
      </c>
      <c r="E193" s="21">
        <f t="shared" si="102"/>
        <v>-2.037617554858934E-2</v>
      </c>
      <c r="F193" s="22">
        <f>IF(ISNUMBER(D193), $B199 * E193, "")</f>
        <v>-2037.617554858934</v>
      </c>
      <c r="G193" s="30">
        <v>616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612</v>
      </c>
      <c r="K193" s="21">
        <f t="shared" si="104"/>
        <v>-4.0752351097178681E-2</v>
      </c>
      <c r="L193" s="22">
        <f>IF(ISNUMBER(J193), $B199 * K193, "")</f>
        <v>-4075.235109717868</v>
      </c>
      <c r="M193" s="30">
        <v>612</v>
      </c>
      <c r="N193" s="21">
        <f t="shared" si="105"/>
        <v>-4.0752351097178681E-2</v>
      </c>
      <c r="O193" s="22">
        <f>IF(ISNUMBER(M193), $B199 * N193, "")</f>
        <v>-4075.235109717868</v>
      </c>
      <c r="Q193" s="261"/>
      <c r="R193" s="261"/>
      <c r="S193" s="261"/>
    </row>
    <row r="194" spans="1:19" ht="17.25" thickBot="1">
      <c r="A194" s="162" t="s">
        <v>267</v>
      </c>
      <c r="B194" s="129">
        <v>1255</v>
      </c>
      <c r="C194" s="80">
        <v>-2.3346303499999999E-2</v>
      </c>
      <c r="D194" s="106">
        <v>1255</v>
      </c>
      <c r="E194" s="107">
        <f>IF(ISNUMBER(D194), (D194 - $B194) / $B194, "")</f>
        <v>0</v>
      </c>
      <c r="F194" s="108">
        <f>IF(ISNUMBER(D194), $B199 * E194, "")</f>
        <v>0</v>
      </c>
      <c r="G194" s="109">
        <v>1250</v>
      </c>
      <c r="H194" s="107">
        <f>IF(ISNUMBER(G194), (G194 - $B194) / $B194, "")</f>
        <v>-3.9840637450199202E-3</v>
      </c>
      <c r="I194" s="110">
        <f>IF(ISNUMBER(G194), $B199 * H194, "")</f>
        <v>-398.40637450199205</v>
      </c>
      <c r="J194" s="106">
        <v>1250</v>
      </c>
      <c r="K194" s="107">
        <f>IF(ISNUMBER(J194), (J194 - $B194) / $B194, "")</f>
        <v>-3.9840637450199202E-3</v>
      </c>
      <c r="L194" s="108">
        <f>IF(ISNUMBER(J194), $B199 * K194, "")</f>
        <v>-398.40637450199205</v>
      </c>
      <c r="M194" s="109">
        <v>1245</v>
      </c>
      <c r="N194" s="107">
        <f>IF(ISNUMBER(M194), (M194 - $B194) / $B194, "")</f>
        <v>-7.9681274900398405E-3</v>
      </c>
      <c r="O194" s="108">
        <f>IF(ISNUMBER(M194), $B199 * N194, "")</f>
        <v>-796.81274900398409</v>
      </c>
      <c r="Q194" s="251"/>
      <c r="R194" s="251"/>
      <c r="S194" s="251"/>
    </row>
    <row r="195" spans="1:19" ht="17.25" thickBot="1">
      <c r="A195" s="162" t="s">
        <v>214</v>
      </c>
      <c r="B195" s="126">
        <v>248</v>
      </c>
      <c r="C195" s="77">
        <v>-2.7450980400000002E-2</v>
      </c>
      <c r="D195" s="15">
        <v>247</v>
      </c>
      <c r="E195" s="32">
        <f t="shared" ref="E195:E198" si="106">IF(ISNUMBER(D195), (D195 - $B195) / $B195, "")</f>
        <v>-4.0322580645161289E-3</v>
      </c>
      <c r="F195" s="18">
        <f>IF(ISNUMBER(D195), $B199 * E195, "")</f>
        <v>-403.22580645161287</v>
      </c>
      <c r="G195" s="31">
        <v>247</v>
      </c>
      <c r="H195" s="32">
        <f t="shared" ref="H195:H198" si="107">IF(ISNUMBER(G195), (G195 - $B195) / $B195, "")</f>
        <v>-4.0322580645161289E-3</v>
      </c>
      <c r="I195" s="101">
        <f>IF(ISNUMBER(G195), $B199 * H195, "")</f>
        <v>-403.22580645161287</v>
      </c>
      <c r="J195" s="15">
        <v>246</v>
      </c>
      <c r="K195" s="32">
        <f t="shared" ref="K195:K198" si="108">IF(ISNUMBER(J195), (J195 - $B195) / $B195, "")</f>
        <v>-8.0645161290322578E-3</v>
      </c>
      <c r="L195" s="18">
        <f>IF(ISNUMBER(J195), $B199 * K195, "")</f>
        <v>-806.45161290322574</v>
      </c>
      <c r="M195" s="31">
        <v>244</v>
      </c>
      <c r="N195" s="32">
        <f t="shared" ref="N195:N198" si="109">IF(ISNUMBER(M195), (M195 - $B195) / $B195, "")</f>
        <v>-1.6129032258064516E-2</v>
      </c>
      <c r="O195" s="18">
        <f>IF(ISNUMBER(M195), $B199 * N195, "")</f>
        <v>-1612.9032258064515</v>
      </c>
      <c r="Q195" s="251"/>
      <c r="R195" s="251"/>
      <c r="S195" s="251"/>
    </row>
    <row r="196" spans="1:19" ht="17.25" thickBot="1">
      <c r="A196" s="162" t="s">
        <v>255</v>
      </c>
      <c r="B196" s="126">
        <v>58.4</v>
      </c>
      <c r="C196" s="77">
        <v>-2.8286189699999999E-2</v>
      </c>
      <c r="D196" s="15">
        <v>59.3</v>
      </c>
      <c r="E196" s="32">
        <f t="shared" si="106"/>
        <v>1.5410958904109566E-2</v>
      </c>
      <c r="F196" s="18">
        <f>IF(ISNUMBER(D196), $B199 * E196, "")</f>
        <v>1541.0958904109566</v>
      </c>
      <c r="G196" s="31">
        <v>59.8</v>
      </c>
      <c r="H196" s="32">
        <f t="shared" si="107"/>
        <v>2.3972602739726005E-2</v>
      </c>
      <c r="I196" s="101">
        <f>IF(ISNUMBER(G196), $B199 * H196, "")</f>
        <v>2397.2602739726003</v>
      </c>
      <c r="J196" s="15">
        <v>59.6</v>
      </c>
      <c r="K196" s="32">
        <f t="shared" si="108"/>
        <v>2.0547945205479503E-2</v>
      </c>
      <c r="L196" s="18">
        <f>IF(ISNUMBER(J196), $B199 * K196, "")</f>
        <v>2054.7945205479505</v>
      </c>
      <c r="M196" s="31">
        <v>59.1</v>
      </c>
      <c r="N196" s="32">
        <f t="shared" si="109"/>
        <v>1.1986301369863063E-2</v>
      </c>
      <c r="O196" s="18">
        <f>IF(ISNUMBER(M196), $B199 * N196, "")</f>
        <v>1198.6301369863063</v>
      </c>
      <c r="Q196" s="251"/>
      <c r="R196" s="251"/>
      <c r="S196" s="251"/>
    </row>
    <row r="197" spans="1:19">
      <c r="A197" s="162" t="s">
        <v>242</v>
      </c>
      <c r="B197" s="126">
        <v>262</v>
      </c>
      <c r="C197" s="77">
        <v>-2.9629629599999999E-2</v>
      </c>
      <c r="D197" s="15">
        <v>257</v>
      </c>
      <c r="E197" s="32">
        <f t="shared" si="106"/>
        <v>-1.9083969465648856E-2</v>
      </c>
      <c r="F197" s="18">
        <f>IF(ISNUMBER(D197), $B199 * E197, "")</f>
        <v>-1908.3969465648856</v>
      </c>
      <c r="G197" s="31">
        <v>259</v>
      </c>
      <c r="H197" s="32">
        <f t="shared" si="107"/>
        <v>-1.1450381679389313E-2</v>
      </c>
      <c r="I197" s="101">
        <f>IF(ISNUMBER(G197), $B199 * H197, "")</f>
        <v>-1145.0381679389313</v>
      </c>
      <c r="J197" s="15">
        <v>260</v>
      </c>
      <c r="K197" s="32">
        <f t="shared" si="108"/>
        <v>-7.6335877862595417E-3</v>
      </c>
      <c r="L197" s="18">
        <f>IF(ISNUMBER(J197), $B199 * K197, "")</f>
        <v>-763.35877862595419</v>
      </c>
      <c r="M197" s="31">
        <v>261</v>
      </c>
      <c r="N197" s="32">
        <f t="shared" si="109"/>
        <v>-3.8167938931297708E-3</v>
      </c>
      <c r="O197" s="18">
        <f>IF(ISNUMBER(M197), $B199 * N197, "")</f>
        <v>-381.67938931297709</v>
      </c>
      <c r="Q197" s="240"/>
      <c r="R197" s="241"/>
      <c r="S197" s="242"/>
    </row>
    <row r="198" spans="1:19" ht="17.25" thickBot="1">
      <c r="A198" s="130" t="s">
        <v>259</v>
      </c>
      <c r="B198" s="131">
        <v>75.8</v>
      </c>
      <c r="C198" s="79">
        <v>-3.0690537100000002E-2</v>
      </c>
      <c r="D198" s="24">
        <v>75</v>
      </c>
      <c r="E198" s="25">
        <f t="shared" si="106"/>
        <v>-1.0554089709762496E-2</v>
      </c>
      <c r="F198" s="104">
        <f>IF(ISNUMBER(D198), $B199 * E198, "")</f>
        <v>-1055.4089709762495</v>
      </c>
      <c r="G198" s="102">
        <v>75</v>
      </c>
      <c r="H198" s="25">
        <f t="shared" si="107"/>
        <v>-1.0554089709762496E-2</v>
      </c>
      <c r="I198" s="103">
        <f>IF(ISNUMBER(G198), $B199 * H198, "")</f>
        <v>-1055.4089709762495</v>
      </c>
      <c r="J198" s="24">
        <v>75</v>
      </c>
      <c r="K198" s="25">
        <f t="shared" si="108"/>
        <v>-1.0554089709762496E-2</v>
      </c>
      <c r="L198" s="104">
        <f>IF(ISNUMBER(J198), $B199 * K198, "")</f>
        <v>-1055.4089709762495</v>
      </c>
      <c r="M198" s="102">
        <v>74.5</v>
      </c>
      <c r="N198" s="25">
        <f t="shared" si="109"/>
        <v>-1.715039577836408E-2</v>
      </c>
      <c r="O198" s="104">
        <f>IF(ISNUMBER(M198), $B199 * N198, "")</f>
        <v>-1715.0395778364079</v>
      </c>
      <c r="Q198" s="243"/>
      <c r="R198" s="244"/>
      <c r="S198" s="245"/>
    </row>
    <row r="199" spans="1:19" ht="17.25" thickBot="1">
      <c r="A199" s="132" t="s">
        <v>295</v>
      </c>
      <c r="B199" s="304">
        <f>$B$37</f>
        <v>100000</v>
      </c>
      <c r="C199" s="305"/>
      <c r="D199" s="26" t="s">
        <v>296</v>
      </c>
      <c r="E199" s="27">
        <f>IF(COUNT(E179:E198), SUM(E179:E198) / COUNT(E179:E198), 0)</f>
        <v>8.9214629120543763E-3</v>
      </c>
      <c r="F199" s="28">
        <f>SUM(F179:F198)</f>
        <v>17842.925824108752</v>
      </c>
      <c r="G199" s="26" t="s">
        <v>296</v>
      </c>
      <c r="H199" s="27">
        <f>IF(COUNT(H179:H198), SUM(H179:H198) / COUNT(H179:H198), 0)</f>
        <v>-1.1171397999811374E-3</v>
      </c>
      <c r="I199" s="28">
        <f>SUM(I179:I198)</f>
        <v>-2234.279599962274</v>
      </c>
      <c r="J199" s="26" t="s">
        <v>296</v>
      </c>
      <c r="K199" s="27">
        <f>IF(COUNT(K179:K198), SUM(K179:K198) / COUNT(K179:K198), 0)</f>
        <v>-1.2465018368299035E-3</v>
      </c>
      <c r="L199" s="28">
        <f>SUM(L179:L198)</f>
        <v>-2493.0036736598049</v>
      </c>
      <c r="M199" s="26" t="s">
        <v>296</v>
      </c>
      <c r="N199" s="27">
        <f>IF(COUNT(N179:N198), SUM(N179:N198) / COUNT(N179:N198), 0)</f>
        <v>-5.8311558760893618E-3</v>
      </c>
      <c r="O199" s="28">
        <f>SUM(O179:O198)</f>
        <v>-11662.311752178723</v>
      </c>
      <c r="Q199" s="246"/>
      <c r="R199" s="247"/>
      <c r="S199" s="24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78240-0E15-44BB-A71C-EE1B1768C735}">
  <sheetPr codeName="Sheet22"/>
  <dimension ref="A1:S199"/>
  <sheetViews>
    <sheetView topLeftCell="A171" zoomScaleNormal="100" workbookViewId="0">
      <selection activeCell="D198" sqref="D19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6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2" t="s">
        <v>0</v>
      </c>
      <c r="B1" s="263"/>
      <c r="C1" s="263"/>
      <c r="D1" s="263"/>
      <c r="E1" s="263"/>
      <c r="F1" s="264"/>
      <c r="G1" s="293">
        <v>44363</v>
      </c>
      <c r="H1" s="294"/>
      <c r="I1" s="295"/>
      <c r="J1" s="262" t="s">
        <v>1</v>
      </c>
      <c r="K1" s="263"/>
      <c r="L1" s="263"/>
      <c r="M1" s="263"/>
      <c r="N1" s="263"/>
      <c r="O1" s="264"/>
      <c r="Q1" s="262" t="s">
        <v>2</v>
      </c>
      <c r="R1" s="264"/>
    </row>
    <row r="2" spans="1:19" ht="17.25" customHeight="1">
      <c r="A2" s="117" t="s">
        <v>3</v>
      </c>
      <c r="B2" s="296" t="s">
        <v>8</v>
      </c>
      <c r="C2" s="297"/>
      <c r="D2" s="297"/>
      <c r="E2" s="297"/>
      <c r="F2" s="298"/>
      <c r="G2" s="290" t="s">
        <v>46</v>
      </c>
      <c r="H2" s="291"/>
      <c r="I2" s="292"/>
      <c r="J2" s="1" t="s">
        <v>3</v>
      </c>
      <c r="K2" s="296" t="s">
        <v>345</v>
      </c>
      <c r="L2" s="297"/>
      <c r="M2" s="297"/>
      <c r="N2" s="297"/>
      <c r="O2" s="298"/>
      <c r="Q2" s="2" t="s">
        <v>6</v>
      </c>
      <c r="R2" s="3">
        <v>0.375</v>
      </c>
    </row>
    <row r="3" spans="1:19" ht="17.25" customHeight="1" thickBot="1">
      <c r="A3" s="118" t="s">
        <v>7</v>
      </c>
      <c r="B3" s="287" t="s">
        <v>353</v>
      </c>
      <c r="C3" s="288"/>
      <c r="D3" s="288"/>
      <c r="E3" s="288"/>
      <c r="F3" s="289"/>
      <c r="G3" s="28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-120,709 KRW (-6.04%)</v>
      </c>
      <c r="H3" s="284"/>
      <c r="I3" s="285"/>
      <c r="J3" s="4" t="s">
        <v>7</v>
      </c>
      <c r="K3" s="287" t="s">
        <v>346</v>
      </c>
      <c r="L3" s="288"/>
      <c r="M3" s="288"/>
      <c r="N3" s="288"/>
      <c r="O3" s="28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7" t="s">
        <v>16</v>
      </c>
      <c r="C4" s="288"/>
      <c r="D4" s="288"/>
      <c r="E4" s="288"/>
      <c r="F4" s="289"/>
      <c r="G4" s="290" t="s">
        <v>44</v>
      </c>
      <c r="H4" s="291"/>
      <c r="I4" s="292"/>
      <c r="J4" s="4" t="s">
        <v>11</v>
      </c>
      <c r="K4" s="287" t="s">
        <v>347</v>
      </c>
      <c r="L4" s="288"/>
      <c r="M4" s="288"/>
      <c r="N4" s="288"/>
      <c r="O4" s="28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7" t="s">
        <v>344</v>
      </c>
      <c r="C5" s="288"/>
      <c r="D5" s="288"/>
      <c r="E5" s="288"/>
      <c r="F5" s="289"/>
      <c r="G5" s="28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-148,004 KRW (-7.40%)</v>
      </c>
      <c r="H5" s="284"/>
      <c r="I5" s="285"/>
      <c r="J5" s="4" t="s">
        <v>15</v>
      </c>
      <c r="K5" s="287" t="s">
        <v>348</v>
      </c>
      <c r="L5" s="288"/>
      <c r="M5" s="288"/>
      <c r="N5" s="288"/>
      <c r="O5" s="289"/>
    </row>
    <row r="6" spans="1:19">
      <c r="A6" s="118" t="s">
        <v>18</v>
      </c>
      <c r="B6" s="287"/>
      <c r="C6" s="288"/>
      <c r="D6" s="288"/>
      <c r="E6" s="288"/>
      <c r="F6" s="289"/>
      <c r="G6" s="290" t="s">
        <v>45</v>
      </c>
      <c r="H6" s="291"/>
      <c r="I6" s="292"/>
      <c r="J6" s="4" t="s">
        <v>18</v>
      </c>
      <c r="K6" s="287" t="s">
        <v>349</v>
      </c>
      <c r="L6" s="288"/>
      <c r="M6" s="288"/>
      <c r="N6" s="288"/>
      <c r="O6" s="289"/>
    </row>
    <row r="7" spans="1:19" ht="17.25" thickBot="1">
      <c r="A7" s="118" t="s">
        <v>21</v>
      </c>
      <c r="B7" s="287"/>
      <c r="C7" s="288"/>
      <c r="D7" s="288"/>
      <c r="E7" s="288"/>
      <c r="F7" s="289"/>
      <c r="G7" s="28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-33,877 KRW (-1.69%)</v>
      </c>
      <c r="H7" s="284"/>
      <c r="I7" s="285"/>
      <c r="J7" s="4" t="s">
        <v>21</v>
      </c>
      <c r="K7" s="287" t="s">
        <v>350</v>
      </c>
      <c r="L7" s="288"/>
      <c r="M7" s="288"/>
      <c r="N7" s="288"/>
      <c r="O7" s="289"/>
    </row>
    <row r="8" spans="1:19" ht="17.25" thickBot="1">
      <c r="A8" s="118" t="s">
        <v>24</v>
      </c>
      <c r="B8" s="287"/>
      <c r="C8" s="288"/>
      <c r="D8" s="288"/>
      <c r="E8" s="288"/>
      <c r="F8" s="289"/>
      <c r="G8" s="290" t="s">
        <v>280</v>
      </c>
      <c r="H8" s="291"/>
      <c r="I8" s="292"/>
      <c r="J8" s="4" t="s">
        <v>24</v>
      </c>
      <c r="K8" s="287"/>
      <c r="L8" s="288"/>
      <c r="M8" s="288"/>
      <c r="N8" s="288"/>
      <c r="O8" s="289"/>
      <c r="Q8" s="262" t="s">
        <v>27</v>
      </c>
      <c r="R8" s="264"/>
    </row>
    <row r="9" spans="1:19" ht="17.25" thickBot="1">
      <c r="A9" s="118" t="s">
        <v>28</v>
      </c>
      <c r="B9" s="287"/>
      <c r="C9" s="288"/>
      <c r="D9" s="288"/>
      <c r="E9" s="288"/>
      <c r="F9" s="289"/>
      <c r="G9" s="28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-41,364 KRW (-2.07%)</v>
      </c>
      <c r="H9" s="284"/>
      <c r="I9" s="285"/>
      <c r="J9" s="4" t="s">
        <v>28</v>
      </c>
      <c r="K9" s="287"/>
      <c r="L9" s="288"/>
      <c r="M9" s="288"/>
      <c r="N9" s="288"/>
      <c r="O9" s="289"/>
      <c r="Q9" s="2" t="s">
        <v>29</v>
      </c>
      <c r="R9" s="6">
        <v>10</v>
      </c>
    </row>
    <row r="10" spans="1:19">
      <c r="A10" s="118" t="s">
        <v>30</v>
      </c>
      <c r="B10" s="287"/>
      <c r="C10" s="288"/>
      <c r="D10" s="288"/>
      <c r="E10" s="288"/>
      <c r="F10" s="289"/>
      <c r="G10" s="290" t="s">
        <v>47</v>
      </c>
      <c r="H10" s="291"/>
      <c r="I10" s="292"/>
      <c r="J10" s="4" t="s">
        <v>30</v>
      </c>
      <c r="K10" s="287" t="s">
        <v>351</v>
      </c>
      <c r="L10" s="288"/>
      <c r="M10" s="288"/>
      <c r="N10" s="288"/>
      <c r="O10" s="289"/>
      <c r="Q10" s="2" t="s">
        <v>31</v>
      </c>
      <c r="R10" s="6">
        <v>100</v>
      </c>
    </row>
    <row r="11" spans="1:19" ht="17.25" thickBot="1">
      <c r="A11" s="119" t="s">
        <v>32</v>
      </c>
      <c r="B11" s="280" t="s">
        <v>352</v>
      </c>
      <c r="C11" s="281"/>
      <c r="D11" s="281"/>
      <c r="E11" s="281"/>
      <c r="F11" s="282"/>
      <c r="G11" s="28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-16,608 KRW (-4.15%)</v>
      </c>
      <c r="H11" s="284"/>
      <c r="I11" s="285"/>
      <c r="J11" s="7" t="s">
        <v>32</v>
      </c>
      <c r="K11" s="280" t="s">
        <v>343</v>
      </c>
      <c r="L11" s="281"/>
      <c r="M11" s="281"/>
      <c r="N11" s="281"/>
      <c r="O11" s="282"/>
      <c r="Q11" s="65" t="s">
        <v>33</v>
      </c>
      <c r="R11" s="8">
        <v>1000</v>
      </c>
    </row>
    <row r="12" spans="1:19" ht="17.25" thickBot="1"/>
    <row r="13" spans="1:19" ht="17.25" customHeight="1" thickBot="1">
      <c r="A13" s="262" t="s">
        <v>34</v>
      </c>
      <c r="B13" s="263"/>
      <c r="C13" s="263"/>
      <c r="D13" s="263"/>
      <c r="E13" s="263"/>
      <c r="F13" s="263"/>
      <c r="G13" s="263"/>
      <c r="H13" s="263"/>
      <c r="I13" s="263"/>
      <c r="J13" s="263"/>
      <c r="K13" s="263"/>
      <c r="L13" s="263"/>
      <c r="M13" s="263"/>
      <c r="N13" s="263"/>
      <c r="O13" s="264"/>
      <c r="Q13" s="261"/>
      <c r="R13" s="261"/>
      <c r="S13" s="261"/>
    </row>
    <row r="14" spans="1:19" ht="17.25" customHeight="1" thickBot="1">
      <c r="A14" s="220" t="s">
        <v>35</v>
      </c>
      <c r="B14" s="262" t="s">
        <v>36</v>
      </c>
      <c r="C14" s="264"/>
      <c r="D14" s="262" t="s">
        <v>37</v>
      </c>
      <c r="E14" s="263"/>
      <c r="F14" s="264"/>
      <c r="G14" s="265">
        <f>_xlfn.IFNA(VLOOKUP(B14, 현재가테이블!$B$2:$D$200, 2, FALSE), "-")</f>
        <v>40538000</v>
      </c>
      <c r="H14" s="266"/>
      <c r="I14" s="267"/>
      <c r="J14" s="262" t="s">
        <v>38</v>
      </c>
      <c r="K14" s="263"/>
      <c r="L14" s="264"/>
      <c r="M14" s="268">
        <f>_xlfn.IFNA(VLOOKUP(B14, 현재가테이블!$B$2:$D$200, 3, FALSE), "-")</f>
        <v>-3.68275993E-2</v>
      </c>
      <c r="N14" s="269"/>
      <c r="O14" s="270"/>
      <c r="Q14" s="261"/>
      <c r="R14" s="261"/>
      <c r="S14" s="261"/>
    </row>
    <row r="15" spans="1:19" ht="17.25" customHeight="1" thickBot="1">
      <c r="A15" s="299" t="s">
        <v>39</v>
      </c>
      <c r="B15" s="300" t="str">
        <f>TEXT($G$1, "[$-ko-KR]yyyy-mm-dd(ddd) ") &amp; "오전 00:00"</f>
        <v>2021-06-16(수) 오전 00:00</v>
      </c>
      <c r="C15" s="301"/>
      <c r="D15" s="275" t="str">
        <f>TEXT($G$1, "[$-ko-KR]yyyy-mm-dd(ddd) ") &amp; "오후 14:00"</f>
        <v>2021-06-16(수) 오후 14:00</v>
      </c>
      <c r="E15" s="276"/>
      <c r="F15" s="277"/>
      <c r="G15" s="275" t="str">
        <f>TEXT($G$1, "[$-ko-KR]yyyy-mm-dd(ddd) ") &amp; "오후 19:00"</f>
        <v>2021-06-16(수) 오후 19:00</v>
      </c>
      <c r="H15" s="276"/>
      <c r="I15" s="277"/>
      <c r="J15" s="275" t="str">
        <f>TEXT($G$1, "[$-ko-KR]yyyy-mm-dd(ddd) ") &amp; "오후 21:00"</f>
        <v>2021-06-16(수) 오후 21:00</v>
      </c>
      <c r="K15" s="276"/>
      <c r="L15" s="277"/>
      <c r="M15" s="275" t="str">
        <f>TEXT($G$1+1, "[$-ko-KR]yyyy-mm-dd(ddd) ") &amp; "오전 00:00"</f>
        <v>2021-06-17(목) 오전 00:00</v>
      </c>
      <c r="N15" s="276"/>
      <c r="O15" s="277"/>
      <c r="Q15" s="261"/>
      <c r="R15" s="261"/>
      <c r="S15" s="261"/>
    </row>
    <row r="16" spans="1:19" ht="17.25" customHeight="1" thickBot="1">
      <c r="A16" s="29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1" t="s">
        <v>37</v>
      </c>
      <c r="H16" s="222" t="s">
        <v>40</v>
      </c>
      <c r="I16" s="22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80.5</v>
      </c>
      <c r="C17" s="76">
        <f>IF(NOT(ISBLANK(_xlfn.IFNA(VLOOKUP($A17, $A$40:$O$199, 3, FALSE), ))), _xlfn.IFNA(VLOOKUP($A17, $A$40:$O$199, 3, FALSE), ), "")</f>
        <v>-9.8400984000000004E-3</v>
      </c>
      <c r="D17" s="13">
        <f>IF(NOT(ISBLANK(_xlfn.IFNA(VLOOKUP($A17, $A$40:$O$199, 4, FALSE), ))), _xlfn.IFNA(VLOOKUP($A17, $A$40:$O$199, 4, FALSE), ), "")</f>
        <v>81</v>
      </c>
      <c r="E17" s="14">
        <f>IF(NOT(ISBLANK(_xlfn.IFNA(VLOOKUP($A17, $A$40:$O$199, 5, FALSE), ))), _xlfn.IFNA(VLOOKUP($A17, $A$40:$O$199, 5, FALSE), ), "")</f>
        <v>6.2111801242236021E-3</v>
      </c>
      <c r="F17" s="16">
        <f>IF(NOT(ISBLANK(_xlfn.IFNA(VLOOKUP($A17, $A$40:$O$199, 6, FALSE), ))), _xlfn.IFNA(VLOOKUP($A17, $A$40:$O$199, 6, FALSE), ), "")</f>
        <v>621.11801242236015</v>
      </c>
      <c r="G17" s="29">
        <f>IF(NOT(ISBLANK(_xlfn.IFNA(VLOOKUP($A17, $A$40:$O$199, 7, FALSE), ))), _xlfn.IFNA(VLOOKUP($A17, $A$40:$O$199, 7, FALSE), ), "")</f>
        <v>80.5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77.900000000000006</v>
      </c>
      <c r="K17" s="14">
        <f>IF(NOT(ISBLANK(_xlfn.IFNA(VLOOKUP($A17, $A$40:$O$199, 11, FALSE), ))), _xlfn.IFNA(VLOOKUP($A17, $A$40:$O$199, 11, FALSE), ), "")</f>
        <v>-3.2298136645962663E-2</v>
      </c>
      <c r="L17" s="16">
        <f>IF(NOT(ISBLANK(_xlfn.IFNA(VLOOKUP($A17, $A$40:$O$199, 12, FALSE), ))), _xlfn.IFNA(VLOOKUP($A17, $A$40:$O$199, 12, FALSE), ), "")</f>
        <v>-3229.8136645962663</v>
      </c>
      <c r="M17" s="29">
        <f>IF(NOT(ISBLANK(_xlfn.IFNA(VLOOKUP($A17, $A$40:$O$199, 13, FALSE), ))), _xlfn.IFNA(VLOOKUP($A17, $A$40:$O$199, 13, FALSE), ), "")</f>
        <v>78.3</v>
      </c>
      <c r="N17" s="14">
        <f>IF(NOT(ISBLANK(_xlfn.IFNA(VLOOKUP($A17, $A$40:$O$199, 14, FALSE), ))), _xlfn.IFNA(VLOOKUP($A17, $A$40:$O$199, 14, FALSE), ), "")</f>
        <v>-2.7329192546583888E-2</v>
      </c>
      <c r="O17" s="16">
        <f>IF(NOT(ISBLANK(_xlfn.IFNA(VLOOKUP($A17, $A$40:$O$199, 15, FALSE), ))), _xlfn.IFNA(VLOOKUP($A17, $A$40:$O$199, 15, FALSE), ), "")</f>
        <v>-2732.9192546583886</v>
      </c>
      <c r="Q17" s="261"/>
      <c r="R17" s="261"/>
      <c r="S17" s="26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58.2</v>
      </c>
      <c r="C18" s="77">
        <f t="shared" ref="C18:C36" si="1">IF(NOT(ISBLANK(_xlfn.IFNA(VLOOKUP($A18, $A$40:$O$199, 3, FALSE), ))), _xlfn.IFNA(VLOOKUP($A18, $A$40:$O$199, 3, FALSE), ), "")</f>
        <v>2.10526316E-2</v>
      </c>
      <c r="D18" s="15">
        <f t="shared" ref="D18:D36" si="2">IF(NOT(ISBLANK(_xlfn.IFNA(VLOOKUP($A18, $A$40:$O$199, 4, FALSE), ))), _xlfn.IFNA(VLOOKUP($A18, $A$40:$O$199, 4, FALSE), ), "")</f>
        <v>58.6</v>
      </c>
      <c r="E18" s="32">
        <f t="shared" ref="E18:E36" si="3">IF(NOT(ISBLANK(_xlfn.IFNA(VLOOKUP($A18, $A$40:$O$199, 5, FALSE), ))), _xlfn.IFNA(VLOOKUP($A18, $A$40:$O$199, 5, FALSE), ), "")</f>
        <v>6.8728522336769515E-3</v>
      </c>
      <c r="F18" s="18">
        <f t="shared" ref="F18:F36" si="4">IF(NOT(ISBLANK(_xlfn.IFNA(VLOOKUP($A18, $A$40:$O$199, 6, FALSE), ))), _xlfn.IFNA(VLOOKUP($A18, $A$40:$O$199, 6, FALSE), ), "")</f>
        <v>687.28522336769515</v>
      </c>
      <c r="G18" s="31">
        <f t="shared" ref="G18:G36" si="5">IF(NOT(ISBLANK(_xlfn.IFNA(VLOOKUP($A18, $A$40:$O$199, 7, FALSE), ))), _xlfn.IFNA(VLOOKUP($A18, $A$40:$O$199, 7, FALSE), ), "")</f>
        <v>55.6</v>
      </c>
      <c r="H18" s="32">
        <f t="shared" ref="H18:H36" si="6">IF(NOT(ISBLANK(_xlfn.IFNA(VLOOKUP($A18, $A$40:$O$199, 8, FALSE), ))), _xlfn.IFNA(VLOOKUP($A18, $A$40:$O$199, 8, FALSE), ), "")</f>
        <v>-4.4673539518900365E-2</v>
      </c>
      <c r="I18" s="101">
        <f t="shared" ref="I18:I36" si="7">IF(NOT(ISBLANK(_xlfn.IFNA(VLOOKUP($A18, $A$40:$O$199, 9, FALSE), ))), _xlfn.IFNA(VLOOKUP($A18, $A$40:$O$199, 9, FALSE), ), "")</f>
        <v>-4467.3539518900361</v>
      </c>
      <c r="J18" s="15">
        <f t="shared" ref="J18:J36" si="8">IF(NOT(ISBLANK(_xlfn.IFNA(VLOOKUP($A18, $A$40:$O$199, 10, FALSE), ))), _xlfn.IFNA(VLOOKUP($A18, $A$40:$O$199, 10, FALSE), ), "")</f>
        <v>54.8</v>
      </c>
      <c r="K18" s="32">
        <f t="shared" ref="K18:K36" si="9">IF(NOT(ISBLANK(_xlfn.IFNA(VLOOKUP($A18, $A$40:$O$199, 11, FALSE), ))), _xlfn.IFNA(VLOOKUP($A18, $A$40:$O$199, 11, FALSE), ), "")</f>
        <v>-5.8419243986254393E-2</v>
      </c>
      <c r="L18" s="18">
        <f t="shared" ref="L18:L36" si="10">IF(NOT(ISBLANK(_xlfn.IFNA(VLOOKUP($A18, $A$40:$O$199, 12, FALSE), ))), _xlfn.IFNA(VLOOKUP($A18, $A$40:$O$199, 12, FALSE), ), "")</f>
        <v>-5841.9243986254396</v>
      </c>
      <c r="M18" s="31">
        <f t="shared" ref="M18:M36" si="11">IF(NOT(ISBLANK(_xlfn.IFNA(VLOOKUP($A18, $A$40:$O$199, 13, FALSE), ))), _xlfn.IFNA(VLOOKUP($A18, $A$40:$O$199, 13, FALSE), ), "")</f>
        <v>54</v>
      </c>
      <c r="N18" s="32">
        <f t="shared" ref="N18:N36" si="12">IF(NOT(ISBLANK(_xlfn.IFNA(VLOOKUP($A18, $A$40:$O$199, 14, FALSE), ))), _xlfn.IFNA(VLOOKUP($A18, $A$40:$O$199, 14, FALSE), ), "")</f>
        <v>-7.2164948453608296E-2</v>
      </c>
      <c r="O18" s="18">
        <f t="shared" ref="O18:O36" si="13">IF(NOT(ISBLANK(_xlfn.IFNA(VLOOKUP($A18, $A$40:$O$199, 15, FALSE), ))), _xlfn.IFNA(VLOOKUP($A18, $A$40:$O$199, 15, FALSE), ), "")</f>
        <v>-7216.4948453608295</v>
      </c>
      <c r="Q18" s="261"/>
      <c r="R18" s="261"/>
      <c r="S18" s="261"/>
    </row>
    <row r="19" spans="1:19" ht="17.25" customHeight="1" thickBot="1">
      <c r="A19" s="162" t="s">
        <v>201</v>
      </c>
      <c r="B19" s="126">
        <f t="shared" si="0"/>
        <v>90</v>
      </c>
      <c r="C19" s="77">
        <f t="shared" si="1"/>
        <v>-2.1739130400000001E-2</v>
      </c>
      <c r="D19" s="15">
        <f t="shared" si="2"/>
        <v>93.1</v>
      </c>
      <c r="E19" s="32">
        <f t="shared" si="3"/>
        <v>3.4444444444444382E-2</v>
      </c>
      <c r="F19" s="18">
        <f t="shared" si="4"/>
        <v>3444.444444444438</v>
      </c>
      <c r="G19" s="31">
        <f t="shared" si="5"/>
        <v>90.1</v>
      </c>
      <c r="H19" s="32">
        <f t="shared" si="6"/>
        <v>1.111111111111048E-3</v>
      </c>
      <c r="I19" s="101">
        <f t="shared" si="7"/>
        <v>111.1111111111048</v>
      </c>
      <c r="J19" s="15">
        <f t="shared" si="8"/>
        <v>87.8</v>
      </c>
      <c r="K19" s="32">
        <f t="shared" si="9"/>
        <v>-2.4444444444444477E-2</v>
      </c>
      <c r="L19" s="18">
        <f t="shared" si="10"/>
        <v>-2444.4444444444475</v>
      </c>
      <c r="M19" s="31">
        <f t="shared" si="11"/>
        <v>87.8</v>
      </c>
      <c r="N19" s="32">
        <f t="shared" si="12"/>
        <v>-2.4444444444444477E-2</v>
      </c>
      <c r="O19" s="18">
        <f t="shared" si="13"/>
        <v>-2444.4444444444475</v>
      </c>
      <c r="Q19" s="251"/>
      <c r="R19" s="251"/>
      <c r="S19" s="251"/>
    </row>
    <row r="20" spans="1:19" ht="17.25" customHeight="1" thickBot="1">
      <c r="A20" s="162" t="s">
        <v>356</v>
      </c>
      <c r="B20" s="126">
        <f t="shared" si="0"/>
        <v>261</v>
      </c>
      <c r="C20" s="77">
        <f t="shared" si="1"/>
        <v>-1.8796992500000002E-2</v>
      </c>
      <c r="D20" s="15">
        <f t="shared" si="2"/>
        <v>262</v>
      </c>
      <c r="E20" s="32">
        <f t="shared" si="3"/>
        <v>3.8314176245210726E-3</v>
      </c>
      <c r="F20" s="18">
        <f t="shared" si="4"/>
        <v>383.14176245210729</v>
      </c>
      <c r="G20" s="31">
        <f t="shared" si="5"/>
        <v>258</v>
      </c>
      <c r="H20" s="32">
        <f t="shared" si="6"/>
        <v>-1.1494252873563218E-2</v>
      </c>
      <c r="I20" s="101">
        <f t="shared" si="7"/>
        <v>-1149.4252873563219</v>
      </c>
      <c r="J20" s="15">
        <f t="shared" si="8"/>
        <v>250</v>
      </c>
      <c r="K20" s="32">
        <f t="shared" si="9"/>
        <v>-4.2145593869731802E-2</v>
      </c>
      <c r="L20" s="18">
        <f t="shared" si="10"/>
        <v>-4214.5593869731802</v>
      </c>
      <c r="M20" s="31">
        <f t="shared" si="11"/>
        <v>250</v>
      </c>
      <c r="N20" s="32">
        <f t="shared" si="12"/>
        <v>-4.2145593869731802E-2</v>
      </c>
      <c r="O20" s="18">
        <f t="shared" si="13"/>
        <v>-4214.5593869731802</v>
      </c>
      <c r="Q20" s="251"/>
      <c r="R20" s="251"/>
      <c r="S20" s="251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304">
        <v>100000</v>
      </c>
      <c r="C37" s="305"/>
      <c r="D37" s="26" t="s">
        <v>43</v>
      </c>
      <c r="E37" s="27">
        <f>IF(COUNT(E17:E36), SUM(E17:E36) / COUNT(E17:E36), 0)</f>
        <v>1.2839973606716501E-2</v>
      </c>
      <c r="F37" s="28">
        <f>SUM(F17:F36)</f>
        <v>5135.9894426866003</v>
      </c>
      <c r="G37" s="26" t="s">
        <v>43</v>
      </c>
      <c r="H37" s="27">
        <f>IF(COUNT(H17:H36), SUM(H17:H36) / COUNT(H17:H36), 0)</f>
        <v>-1.3764170320338134E-2</v>
      </c>
      <c r="I37" s="28">
        <f>SUM(I17:I36)</f>
        <v>-5505.668128135253</v>
      </c>
      <c r="J37" s="26" t="s">
        <v>43</v>
      </c>
      <c r="K37" s="27">
        <f>IF(COUNT(K17:K36), SUM(K17:K36) / COUNT(K17:K36), 0)</f>
        <v>-3.9326854736598332E-2</v>
      </c>
      <c r="L37" s="28">
        <f>SUM(L17:L36)</f>
        <v>-15730.741894639334</v>
      </c>
      <c r="M37" s="26" t="s">
        <v>43</v>
      </c>
      <c r="N37" s="27">
        <f>IF(COUNT(N17:N36), SUM(N17:N36) / COUNT(N17:N36), 0)</f>
        <v>-4.1521044828592119E-2</v>
      </c>
      <c r="O37" s="28">
        <f>SUM(O17:O36)</f>
        <v>-16608.417931436845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262" t="s">
        <v>44</v>
      </c>
      <c r="B40" s="263"/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4"/>
      <c r="Q40" s="261"/>
      <c r="R40" s="261"/>
      <c r="S40" s="261"/>
    </row>
    <row r="41" spans="1:19" ht="17.25" customHeight="1" thickBot="1">
      <c r="A41" s="220" t="s">
        <v>292</v>
      </c>
      <c r="B41" s="262" t="s">
        <v>49</v>
      </c>
      <c r="C41" s="264"/>
      <c r="D41" s="262" t="s">
        <v>58</v>
      </c>
      <c r="E41" s="263"/>
      <c r="F41" s="264"/>
      <c r="G41" s="265">
        <f>_xlfn.IFNA(VLOOKUP(B41, 현재가테이블!$B$2:$D$200, 2, FALSE), "-")</f>
        <v>40538000</v>
      </c>
      <c r="H41" s="266"/>
      <c r="I41" s="267"/>
      <c r="J41" s="262" t="s">
        <v>59</v>
      </c>
      <c r="K41" s="263"/>
      <c r="L41" s="264"/>
      <c r="M41" s="268">
        <f>_xlfn.IFNA(VLOOKUP(B41, 현재가테이블!$B$2:$D$200, 3, FALSE), "-")</f>
        <v>-3.68275993E-2</v>
      </c>
      <c r="N41" s="269"/>
      <c r="O41" s="270"/>
      <c r="Q41" s="261"/>
      <c r="R41" s="261"/>
      <c r="S41" s="261"/>
    </row>
    <row r="42" spans="1:19" ht="17.25" customHeight="1" thickBot="1">
      <c r="A42" s="306" t="s">
        <v>55</v>
      </c>
      <c r="B42" s="302" t="str">
        <f>TEXT($G$1, "[$-ko-KR]yyyy-mm-dd(ddd) ") &amp; "오전 00:00"</f>
        <v>2021-06-16(수) 오전 00:00</v>
      </c>
      <c r="C42" s="303"/>
      <c r="D42" s="275" t="str">
        <f>TEXT($G$1, "[$-ko-KR]yyyy-mm-dd(ddd) ") &amp; "오후 14:00"</f>
        <v>2021-06-16(수) 오후 14:00</v>
      </c>
      <c r="E42" s="276"/>
      <c r="F42" s="277"/>
      <c r="G42" s="275" t="str">
        <f>TEXT($G$1, "[$-ko-KR]yyyy-mm-dd(ddd) ") &amp; "오후 19:00"</f>
        <v>2021-06-16(수) 오후 19:00</v>
      </c>
      <c r="H42" s="276"/>
      <c r="I42" s="277"/>
      <c r="J42" s="275" t="str">
        <f>TEXT($G$1, "[$-ko-KR]yyyy-mm-dd(ddd) ") &amp; "오후 21:00"</f>
        <v>2021-06-16(수) 오후 21:00</v>
      </c>
      <c r="K42" s="276"/>
      <c r="L42" s="277"/>
      <c r="M42" s="275" t="str">
        <f>TEXT($G$1+1, "[$-ko-KR]yyyy-mm-dd(ddd) ") &amp; "오전 00:00"</f>
        <v>2021-06-17(목) 오전 00:00</v>
      </c>
      <c r="N42" s="276"/>
      <c r="O42" s="277"/>
      <c r="Q42" s="261"/>
      <c r="R42" s="261"/>
      <c r="S42" s="261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1" t="s">
        <v>58</v>
      </c>
      <c r="H43" s="222" t="s">
        <v>293</v>
      </c>
      <c r="I43" s="22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1"/>
      <c r="R43" s="251"/>
      <c r="S43" s="251"/>
    </row>
    <row r="44" spans="1:19" ht="17.25" customHeight="1" thickBot="1">
      <c r="A44" s="161" t="s">
        <v>246</v>
      </c>
      <c r="B44" s="124">
        <v>79.400000000000006</v>
      </c>
      <c r="C44" s="76">
        <v>0.31239669419999999</v>
      </c>
      <c r="D44" s="13">
        <v>63.9</v>
      </c>
      <c r="E44" s="14">
        <f>IF(ISNUMBER(D44), (D44 - $B44) / $B44, "")</f>
        <v>-0.19521410579345097</v>
      </c>
      <c r="F44" s="16">
        <f>IF(ISNUMBER(D44), $B64 * E44, "")</f>
        <v>-19521.410579345098</v>
      </c>
      <c r="G44" s="29">
        <v>61.7</v>
      </c>
      <c r="H44" s="14">
        <f>IF(ISNUMBER(G44), (G44 - $B44) / $B44, "")</f>
        <v>-0.22292191435768263</v>
      </c>
      <c r="I44" s="100">
        <f>IF(ISNUMBER(G44), $B64 * H44, "")</f>
        <v>-22292.191435768262</v>
      </c>
      <c r="J44" s="13">
        <v>59.7</v>
      </c>
      <c r="K44" s="14">
        <f>IF(ISNUMBER(J44), (J44 - $B44) / $B44, "")</f>
        <v>-0.24811083123425695</v>
      </c>
      <c r="L44" s="16">
        <f>IF(ISNUMBER(J44), $B64 * K44, "")</f>
        <v>-24811.083123425695</v>
      </c>
      <c r="M44" s="29">
        <v>61.9</v>
      </c>
      <c r="N44" s="14">
        <f>IF(ISNUMBER(M44), (M44 - $B44) / $B44, "")</f>
        <v>-0.22040302267002526</v>
      </c>
      <c r="O44" s="16">
        <f>IF(ISNUMBER(M44), $B64 * N44, "")</f>
        <v>-22040.302267002528</v>
      </c>
      <c r="Q44" s="261"/>
      <c r="R44" s="261"/>
      <c r="S44" s="261"/>
    </row>
    <row r="45" spans="1:19" ht="17.25" customHeight="1" thickBot="1">
      <c r="A45" s="162" t="s">
        <v>197</v>
      </c>
      <c r="B45" s="126">
        <v>15.3</v>
      </c>
      <c r="C45" s="77">
        <v>0.2047244094</v>
      </c>
      <c r="D45" s="15">
        <v>16.2</v>
      </c>
      <c r="E45" s="32">
        <f t="shared" ref="E45:E48" si="14">IF(ISNUMBER(D45), (D45 - $B45) / $B45, "")</f>
        <v>5.8823529411764608E-2</v>
      </c>
      <c r="F45" s="18">
        <f>IF(ISNUMBER(D45), $B64 * E45, "")</f>
        <v>5882.3529411764612</v>
      </c>
      <c r="G45" s="31">
        <v>15.4</v>
      </c>
      <c r="H45" s="32">
        <f t="shared" ref="H45:H48" si="15">IF(ISNUMBER(G45), (G45 - $B45) / $B45, "")</f>
        <v>6.5359477124182774E-3</v>
      </c>
      <c r="I45" s="101">
        <f>IF(ISNUMBER(G45), $B64 * H45, "")</f>
        <v>653.59477124182774</v>
      </c>
      <c r="J45" s="15">
        <v>15</v>
      </c>
      <c r="K45" s="32">
        <f t="shared" ref="K45:K48" si="16">IF(ISNUMBER(J45), (J45 - $B45) / $B45, "")</f>
        <v>-1.9607843137254947E-2</v>
      </c>
      <c r="L45" s="18">
        <f>IF(ISNUMBER(J45), $B64 * K45, "")</f>
        <v>-1960.7843137254947</v>
      </c>
      <c r="M45" s="31">
        <v>14.7</v>
      </c>
      <c r="N45" s="32">
        <f t="shared" ref="N45:N48" si="17">IF(ISNUMBER(M45), (M45 - $B45) / $B45, "")</f>
        <v>-3.9215686274509894E-2</v>
      </c>
      <c r="O45" s="18">
        <f>IF(ISNUMBER(M45), $B64 * N45, "")</f>
        <v>-3921.5686274509894</v>
      </c>
      <c r="Q45" s="261"/>
      <c r="R45" s="261"/>
      <c r="S45" s="261"/>
    </row>
    <row r="46" spans="1:19" ht="17.25" customHeight="1" thickBot="1">
      <c r="A46" s="162" t="s">
        <v>212</v>
      </c>
      <c r="B46" s="126">
        <v>10.5</v>
      </c>
      <c r="C46" s="77">
        <v>8.9211618300000003E-2</v>
      </c>
      <c r="D46" s="15">
        <v>10.5</v>
      </c>
      <c r="E46" s="32">
        <f t="shared" si="14"/>
        <v>0</v>
      </c>
      <c r="F46" s="18">
        <f>IF(ISNUMBER(D46), $B64 * E46, "")</f>
        <v>0</v>
      </c>
      <c r="G46" s="31">
        <v>10.1</v>
      </c>
      <c r="H46" s="32">
        <f t="shared" si="15"/>
        <v>-3.8095238095238126E-2</v>
      </c>
      <c r="I46" s="101">
        <f>IF(ISNUMBER(G46), $B64 * H46, "")</f>
        <v>-3809.5238095238128</v>
      </c>
      <c r="J46" s="15">
        <v>9.56</v>
      </c>
      <c r="K46" s="32">
        <f t="shared" si="16"/>
        <v>-8.9523809523809478E-2</v>
      </c>
      <c r="L46" s="18">
        <f>IF(ISNUMBER(J46), $B64 * K46, "")</f>
        <v>-8952.3809523809487</v>
      </c>
      <c r="M46" s="31">
        <v>9.64</v>
      </c>
      <c r="N46" s="32">
        <f t="shared" si="17"/>
        <v>-8.1904761904761855E-2</v>
      </c>
      <c r="O46" s="18">
        <f>IF(ISNUMBER(M46), $B64 * N46, "")</f>
        <v>-8190.4761904761854</v>
      </c>
      <c r="Q46" s="251"/>
      <c r="R46" s="251"/>
      <c r="S46" s="251"/>
    </row>
    <row r="47" spans="1:19" ht="17.25" customHeight="1" thickBot="1">
      <c r="A47" s="162" t="s">
        <v>225</v>
      </c>
      <c r="B47" s="126">
        <v>8.6300000000000008</v>
      </c>
      <c r="C47" s="77">
        <v>8.2810539500000002E-2</v>
      </c>
      <c r="D47" s="15">
        <v>8.83</v>
      </c>
      <c r="E47" s="32">
        <f t="shared" si="14"/>
        <v>2.3174971031286126E-2</v>
      </c>
      <c r="F47" s="18">
        <f>IF(ISNUMBER(D47), $B64 * E47, "")</f>
        <v>2317.4971031286127</v>
      </c>
      <c r="G47" s="31">
        <v>8.49</v>
      </c>
      <c r="H47" s="32">
        <f t="shared" si="15"/>
        <v>-1.6222479721900412E-2</v>
      </c>
      <c r="I47" s="101">
        <f>IF(ISNUMBER(G47), $B64 * H47, "")</f>
        <v>-1622.2479721900413</v>
      </c>
      <c r="J47" s="15">
        <v>8.19</v>
      </c>
      <c r="K47" s="32">
        <f t="shared" si="16"/>
        <v>-5.0984936268829807E-2</v>
      </c>
      <c r="L47" s="18">
        <f>IF(ISNUMBER(J47), $B64 * K47, "")</f>
        <v>-5098.4936268829806</v>
      </c>
      <c r="M47" s="31">
        <v>8.14</v>
      </c>
      <c r="N47" s="32">
        <f t="shared" si="17"/>
        <v>-5.6778679026651235E-2</v>
      </c>
      <c r="O47" s="18">
        <f>IF(ISNUMBER(M47), $B64 * N47, "")</f>
        <v>-5677.8679026651234</v>
      </c>
      <c r="Q47" s="251"/>
      <c r="R47" s="251"/>
      <c r="S47" s="251"/>
    </row>
    <row r="48" spans="1:19" ht="17.25" customHeight="1" thickBot="1">
      <c r="A48" s="163" t="s">
        <v>219</v>
      </c>
      <c r="B48" s="128">
        <v>9.0299999999999994</v>
      </c>
      <c r="C48" s="78">
        <v>6.9905213300000005E-2</v>
      </c>
      <c r="D48" s="20">
        <v>8.8800000000000008</v>
      </c>
      <c r="E48" s="21">
        <f t="shared" si="14"/>
        <v>-1.6611295681062968E-2</v>
      </c>
      <c r="F48" s="22">
        <f>IF(ISNUMBER(D48), $B64 * E48, "")</f>
        <v>-1661.1295681062968</v>
      </c>
      <c r="G48" s="30">
        <v>8.5</v>
      </c>
      <c r="H48" s="21">
        <f t="shared" si="15"/>
        <v>-5.8693244739756303E-2</v>
      </c>
      <c r="I48" s="105">
        <f>IF(ISNUMBER(G48), $B64 * H48, "")</f>
        <v>-5869.3244739756301</v>
      </c>
      <c r="J48" s="20">
        <v>8.49</v>
      </c>
      <c r="K48" s="21">
        <f t="shared" si="16"/>
        <v>-5.9800664451827155E-2</v>
      </c>
      <c r="L48" s="22">
        <f>IF(ISNUMBER(J48), $B64 * K48, "")</f>
        <v>-5980.0664451827151</v>
      </c>
      <c r="M48" s="30">
        <v>8.35</v>
      </c>
      <c r="N48" s="21">
        <f t="shared" si="17"/>
        <v>-7.5304540420819466E-2</v>
      </c>
      <c r="O48" s="22">
        <f>IF(ISNUMBER(M48), $B64 * N48, "")</f>
        <v>-7530.4540420819467</v>
      </c>
      <c r="Q48" s="251"/>
      <c r="R48" s="251"/>
      <c r="S48" s="251"/>
    </row>
    <row r="49" spans="1:19" ht="17.25" customHeight="1" thickBot="1">
      <c r="A49" s="162" t="s">
        <v>195</v>
      </c>
      <c r="B49" s="129">
        <v>9.16</v>
      </c>
      <c r="C49" s="80">
        <v>6.3879210199999995E-2</v>
      </c>
      <c r="D49" s="106">
        <v>9.42</v>
      </c>
      <c r="E49" s="107">
        <f>IF(ISNUMBER(D49), (D49 - $B49) / $B49, "")</f>
        <v>2.8384279475982509E-2</v>
      </c>
      <c r="F49" s="108">
        <f>IF(ISNUMBER(D49), $B64 * E49, "")</f>
        <v>2838.4279475982507</v>
      </c>
      <c r="G49" s="109">
        <v>8.9499999999999993</v>
      </c>
      <c r="H49" s="107">
        <f>IF(ISNUMBER(G49), (G49 - $B49) / $B49, "")</f>
        <v>-2.292576419213983E-2</v>
      </c>
      <c r="I49" s="110">
        <f>IF(ISNUMBER(G49), $B64 * H49, "")</f>
        <v>-2292.5764192139832</v>
      </c>
      <c r="J49" s="106">
        <v>8.69</v>
      </c>
      <c r="K49" s="107">
        <f>IF(ISNUMBER(J49), (J49 - $B49) / $B49, "")</f>
        <v>-5.1310043668122342E-2</v>
      </c>
      <c r="L49" s="108">
        <f>IF(ISNUMBER(J49), $B64 * K49, "")</f>
        <v>-5131.0043668122344</v>
      </c>
      <c r="M49" s="109">
        <v>8.61</v>
      </c>
      <c r="N49" s="107">
        <f>IF(ISNUMBER(M49), (M49 - $B49) / $B49, "")</f>
        <v>-6.004366812227082E-2</v>
      </c>
      <c r="O49" s="108">
        <f>IF(ISNUMBER(M49), $B64 * N49, "")</f>
        <v>-6004.3668122270819</v>
      </c>
      <c r="Q49" s="251"/>
      <c r="R49" s="251"/>
      <c r="S49" s="251"/>
    </row>
    <row r="50" spans="1:19" ht="17.25" customHeight="1" thickBot="1">
      <c r="A50" s="162" t="s">
        <v>277</v>
      </c>
      <c r="B50" s="126">
        <v>63.2</v>
      </c>
      <c r="C50" s="77">
        <v>6.0402684599999999E-2</v>
      </c>
      <c r="D50" s="15">
        <v>57.7</v>
      </c>
      <c r="E50" s="32">
        <f t="shared" ref="E50:E53" si="18">IF(ISNUMBER(D50), (D50 - $B50) / $B50, "")</f>
        <v>-8.7025316455696194E-2</v>
      </c>
      <c r="F50" s="18">
        <f>IF(ISNUMBER(D50), $B64 * E50, "")</f>
        <v>-8702.5316455696193</v>
      </c>
      <c r="G50" s="31">
        <v>55.9</v>
      </c>
      <c r="H50" s="32">
        <f t="shared" ref="H50:H53" si="19">IF(ISNUMBER(G50), (G50 - $B50) / $B50, "")</f>
        <v>-0.11550632911392411</v>
      </c>
      <c r="I50" s="101">
        <f>IF(ISNUMBER(G50), $B64 * H50, "")</f>
        <v>-11550.632911392411</v>
      </c>
      <c r="J50" s="15">
        <v>54.3</v>
      </c>
      <c r="K50" s="32">
        <f t="shared" ref="K50:K53" si="20">IF(ISNUMBER(J50), (J50 - $B50) / $B50, "")</f>
        <v>-0.14082278481012667</v>
      </c>
      <c r="L50" s="18">
        <f>IF(ISNUMBER(J50), $B64 * K50, "")</f>
        <v>-14082.278481012667</v>
      </c>
      <c r="M50" s="31">
        <v>55.2</v>
      </c>
      <c r="N50" s="32">
        <f t="shared" ref="N50:N53" si="21">IF(ISNUMBER(M50), (M50 - $B50) / $B50, "")</f>
        <v>-0.12658227848101264</v>
      </c>
      <c r="O50" s="18">
        <f>IF(ISNUMBER(M50), $B64 * N50, "")</f>
        <v>-12658.227848101264</v>
      </c>
      <c r="Q50" s="251"/>
      <c r="R50" s="251"/>
      <c r="S50" s="251"/>
    </row>
    <row r="51" spans="1:19" ht="17.25" customHeight="1" thickBot="1">
      <c r="A51" s="162" t="s">
        <v>154</v>
      </c>
      <c r="B51" s="126">
        <v>9.09</v>
      </c>
      <c r="C51" s="77">
        <v>4.4827586199999998E-2</v>
      </c>
      <c r="D51" s="15">
        <v>9.2200000000000006</v>
      </c>
      <c r="E51" s="32">
        <f t="shared" si="18"/>
        <v>1.4301430143014387E-2</v>
      </c>
      <c r="F51" s="18">
        <f>IF(ISNUMBER(D51), $B64 * E51, "")</f>
        <v>1430.1430143014388</v>
      </c>
      <c r="G51" s="31">
        <v>8.93</v>
      </c>
      <c r="H51" s="32">
        <f t="shared" si="19"/>
        <v>-1.7601760176017618E-2</v>
      </c>
      <c r="I51" s="101">
        <f>IF(ISNUMBER(G51), $B64 * H51, "")</f>
        <v>-1760.1760176017617</v>
      </c>
      <c r="J51" s="15">
        <v>8.6199999999999992</v>
      </c>
      <c r="K51" s="32">
        <f t="shared" si="20"/>
        <v>-5.1705170517051778E-2</v>
      </c>
      <c r="L51" s="18">
        <f>IF(ISNUMBER(J51), $B64 * K51, "")</f>
        <v>-5170.5170517051774</v>
      </c>
      <c r="M51" s="31">
        <v>8.67</v>
      </c>
      <c r="N51" s="32">
        <f t="shared" si="21"/>
        <v>-4.6204620462046195E-2</v>
      </c>
      <c r="O51" s="18">
        <f>IF(ISNUMBER(M51), $B64 * N51, "")</f>
        <v>-4620.4620462046196</v>
      </c>
      <c r="Q51" s="251"/>
      <c r="R51" s="251"/>
      <c r="S51" s="251"/>
    </row>
    <row r="52" spans="1:19" ht="17.25" customHeight="1" thickBot="1">
      <c r="A52" s="162" t="s">
        <v>261</v>
      </c>
      <c r="B52" s="126">
        <v>56.3</v>
      </c>
      <c r="C52" s="77">
        <v>4.0665434399999999E-2</v>
      </c>
      <c r="D52" s="15">
        <v>55.1</v>
      </c>
      <c r="E52" s="32">
        <f t="shared" si="18"/>
        <v>-2.1314387211367598E-2</v>
      </c>
      <c r="F52" s="18">
        <f>IF(ISNUMBER(D52), $B64 * E52, "")</f>
        <v>-2131.4387211367598</v>
      </c>
      <c r="G52" s="31">
        <v>54.5</v>
      </c>
      <c r="H52" s="32">
        <f t="shared" si="19"/>
        <v>-3.1971580817051461E-2</v>
      </c>
      <c r="I52" s="101">
        <f>IF(ISNUMBER(G52), $B64 * H52, "")</f>
        <v>-3197.1580817051463</v>
      </c>
      <c r="J52" s="15">
        <v>53.2</v>
      </c>
      <c r="K52" s="32">
        <f t="shared" si="20"/>
        <v>-5.5062166962699721E-2</v>
      </c>
      <c r="L52" s="18">
        <f>IF(ISNUMBER(J52), $B64 * K52, "")</f>
        <v>-5506.2166962699721</v>
      </c>
      <c r="M52" s="31">
        <v>53</v>
      </c>
      <c r="N52" s="32">
        <f t="shared" si="21"/>
        <v>-5.8614564831261054E-2</v>
      </c>
      <c r="O52" s="18">
        <f>IF(ISNUMBER(M52), $B64 * N52, "")</f>
        <v>-5861.456483126105</v>
      </c>
      <c r="Q52" s="33"/>
      <c r="R52" s="33"/>
    </row>
    <row r="53" spans="1:19" ht="17.25" customHeight="1" thickBot="1">
      <c r="A53" s="130" t="s">
        <v>171</v>
      </c>
      <c r="B53" s="131">
        <v>5.19</v>
      </c>
      <c r="C53" s="79">
        <v>3.5928143699999998E-2</v>
      </c>
      <c r="D53" s="24">
        <v>5.0599999999999996</v>
      </c>
      <c r="E53" s="25">
        <f t="shared" si="18"/>
        <v>-2.5048169556840225E-2</v>
      </c>
      <c r="F53" s="104">
        <f>IF(ISNUMBER(D53), $B64 * E53, "")</f>
        <v>-2504.8169556840226</v>
      </c>
      <c r="G53" s="102">
        <v>4.8600000000000003</v>
      </c>
      <c r="H53" s="25">
        <f t="shared" si="19"/>
        <v>-6.3583815028901744E-2</v>
      </c>
      <c r="I53" s="103">
        <f>IF(ISNUMBER(G53), $B64 * H53, "")</f>
        <v>-6358.3815028901745</v>
      </c>
      <c r="J53" s="24">
        <v>4.7300000000000004</v>
      </c>
      <c r="K53" s="25">
        <f t="shared" si="20"/>
        <v>-8.8631984585741799E-2</v>
      </c>
      <c r="L53" s="104">
        <f>IF(ISNUMBER(J53), $B64 * K53, "")</f>
        <v>-8863.1984585741793</v>
      </c>
      <c r="M53" s="102">
        <v>4.82</v>
      </c>
      <c r="N53" s="25">
        <f t="shared" si="21"/>
        <v>-7.1290944123314076E-2</v>
      </c>
      <c r="O53" s="104">
        <f>IF(ISNUMBER(M53), $B64 * N53, "")</f>
        <v>-7129.0944123314075</v>
      </c>
      <c r="Q53" s="252"/>
      <c r="R53" s="253"/>
      <c r="S53" s="254"/>
    </row>
    <row r="54" spans="1:19" ht="17.25" customHeight="1">
      <c r="A54" s="161" t="s">
        <v>122</v>
      </c>
      <c r="B54" s="124">
        <v>24.2</v>
      </c>
      <c r="C54" s="76">
        <v>3.4188034200000002E-2</v>
      </c>
      <c r="D54" s="13">
        <v>25</v>
      </c>
      <c r="E54" s="14">
        <f>IF(ISNUMBER(D54), (D54 - $B54) / $B54, "")</f>
        <v>3.305785123966945E-2</v>
      </c>
      <c r="F54" s="16">
        <f>IF(ISNUMBER(D54), $B64 * E54, "")</f>
        <v>3305.7851239669449</v>
      </c>
      <c r="G54" s="29">
        <v>24.6</v>
      </c>
      <c r="H54" s="14">
        <f>IF(ISNUMBER(G54), (G54 - $B54) / $B54, "")</f>
        <v>1.6528925619834798E-2</v>
      </c>
      <c r="I54" s="100">
        <f>IF(ISNUMBER(G54), $B64 * H54, "")</f>
        <v>1652.8925619834797</v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>
        <v>23.6</v>
      </c>
      <c r="N54" s="14">
        <f>IF(ISNUMBER(M54), (M54 - $B54) / $B54, "")</f>
        <v>-2.479338842975198E-2</v>
      </c>
      <c r="O54" s="16">
        <f>IF(ISNUMBER(M54), $B64 * N54, "")</f>
        <v>-2479.3388429751981</v>
      </c>
      <c r="Q54" s="255"/>
      <c r="R54" s="256"/>
      <c r="S54" s="257"/>
    </row>
    <row r="55" spans="1:19" ht="17.25" customHeight="1" thickBot="1">
      <c r="A55" s="162" t="s">
        <v>263</v>
      </c>
      <c r="B55" s="126">
        <v>30.2</v>
      </c>
      <c r="C55" s="77">
        <v>2.3728813599999999E-2</v>
      </c>
      <c r="D55" s="15">
        <v>28</v>
      </c>
      <c r="E55" s="32">
        <f t="shared" ref="E55:E58" si="22">IF(ISNUMBER(D55), (D55 - $B55) / $B55, "")</f>
        <v>-7.2847682119205281E-2</v>
      </c>
      <c r="F55" s="18">
        <f>IF(ISNUMBER(D55), $B64 * E55, "")</f>
        <v>-7284.7682119205283</v>
      </c>
      <c r="G55" s="31">
        <v>26.7</v>
      </c>
      <c r="H55" s="32">
        <f t="shared" ref="H55:H58" si="23">IF(ISNUMBER(G55), (G55 - $B55) / $B55, "")</f>
        <v>-0.11589403973509935</v>
      </c>
      <c r="I55" s="101">
        <f>IF(ISNUMBER(G55), $B64 * H55, "")</f>
        <v>-11589.403973509934</v>
      </c>
      <c r="J55" s="15">
        <v>26.4</v>
      </c>
      <c r="K55" s="32">
        <f t="shared" ref="K55:K58" si="24">IF(ISNUMBER(J55), (J55 - $B55) / $B55, "")</f>
        <v>-0.12582781456953646</v>
      </c>
      <c r="L55" s="18">
        <f>IF(ISNUMBER(J55), $B64 * K55, "")</f>
        <v>-12582.781456953646</v>
      </c>
      <c r="M55" s="31">
        <v>26.7</v>
      </c>
      <c r="N55" s="32">
        <f t="shared" ref="N55:N58" si="25">IF(ISNUMBER(M55), (M55 - $B55) / $B55, "")</f>
        <v>-0.11589403973509935</v>
      </c>
      <c r="O55" s="18">
        <f>IF(ISNUMBER(M55), $B64 * N55, "")</f>
        <v>-11589.403973509934</v>
      </c>
      <c r="Q55" s="258"/>
      <c r="R55" s="259"/>
      <c r="S55" s="260"/>
    </row>
    <row r="56" spans="1:19" ht="17.25" customHeight="1" thickBot="1">
      <c r="A56" s="162" t="s">
        <v>210</v>
      </c>
      <c r="B56" s="126">
        <v>58.2</v>
      </c>
      <c r="C56" s="77">
        <v>2.10526316E-2</v>
      </c>
      <c r="D56" s="15">
        <v>58.6</v>
      </c>
      <c r="E56" s="32">
        <f t="shared" si="22"/>
        <v>6.8728522336769515E-3</v>
      </c>
      <c r="F56" s="18">
        <f>IF(ISNUMBER(D56), $B64 * E56, "")</f>
        <v>687.28522336769515</v>
      </c>
      <c r="G56" s="31">
        <v>55.6</v>
      </c>
      <c r="H56" s="32">
        <f t="shared" si="23"/>
        <v>-4.4673539518900365E-2</v>
      </c>
      <c r="I56" s="101">
        <f>IF(ISNUMBER(G56), $B64 * H56, "")</f>
        <v>-4467.3539518900361</v>
      </c>
      <c r="J56" s="15">
        <v>54.8</v>
      </c>
      <c r="K56" s="32">
        <f t="shared" si="24"/>
        <v>-5.8419243986254393E-2</v>
      </c>
      <c r="L56" s="18">
        <f>IF(ISNUMBER(J56), $B64 * K56, "")</f>
        <v>-5841.9243986254396</v>
      </c>
      <c r="M56" s="31">
        <v>54</v>
      </c>
      <c r="N56" s="32">
        <f t="shared" si="25"/>
        <v>-7.2164948453608296E-2</v>
      </c>
      <c r="O56" s="18">
        <f>IF(ISNUMBER(M56), $B64 * N56, "")</f>
        <v>-7216.4948453608295</v>
      </c>
      <c r="Q56" s="251"/>
      <c r="R56" s="251"/>
      <c r="S56" s="251"/>
    </row>
    <row r="57" spans="1:19" ht="17.25" customHeight="1" thickBot="1">
      <c r="A57" s="162" t="s">
        <v>249</v>
      </c>
      <c r="B57" s="126">
        <v>21.8</v>
      </c>
      <c r="C57" s="77">
        <v>1.8691588799999999E-2</v>
      </c>
      <c r="D57" s="15">
        <v>20.7</v>
      </c>
      <c r="E57" s="32">
        <f t="shared" si="22"/>
        <v>-5.045871559633034E-2</v>
      </c>
      <c r="F57" s="18">
        <f>IF(ISNUMBER(D57), $B64 * E57, "")</f>
        <v>-5045.8715596330339</v>
      </c>
      <c r="G57" s="31">
        <v>20</v>
      </c>
      <c r="H57" s="32">
        <f t="shared" si="23"/>
        <v>-8.2568807339449574E-2</v>
      </c>
      <c r="I57" s="101">
        <f>IF(ISNUMBER(G57), $B64 * H57, "")</f>
        <v>-8256.8807339449577</v>
      </c>
      <c r="J57" s="15">
        <v>19.600000000000001</v>
      </c>
      <c r="K57" s="32">
        <f t="shared" si="24"/>
        <v>-0.10091743119266051</v>
      </c>
      <c r="L57" s="18">
        <f>IF(ISNUMBER(J57), $B64 * K57, "")</f>
        <v>-10091.743119266052</v>
      </c>
      <c r="M57" s="31">
        <v>19.600000000000001</v>
      </c>
      <c r="N57" s="32">
        <f t="shared" si="25"/>
        <v>-0.10091743119266051</v>
      </c>
      <c r="O57" s="18">
        <f>IF(ISNUMBER(M57), $B64 * N57, "")</f>
        <v>-10091.743119266052</v>
      </c>
      <c r="Q57" s="261"/>
      <c r="R57" s="261"/>
      <c r="S57" s="261"/>
    </row>
    <row r="58" spans="1:19" ht="17.25" customHeight="1" thickBot="1">
      <c r="A58" s="163" t="s">
        <v>208</v>
      </c>
      <c r="B58" s="128">
        <v>89.1</v>
      </c>
      <c r="C58" s="78">
        <v>1.5963511999999999E-2</v>
      </c>
      <c r="D58" s="20">
        <v>95.9</v>
      </c>
      <c r="E58" s="21">
        <f t="shared" si="22"/>
        <v>7.631874298540979E-2</v>
      </c>
      <c r="F58" s="22">
        <f>IF(ISNUMBER(D58), $B64 * E58, "")</f>
        <v>7631.874298540979</v>
      </c>
      <c r="G58" s="30">
        <v>93.2</v>
      </c>
      <c r="H58" s="21">
        <f t="shared" si="23"/>
        <v>4.6015712682379445E-2</v>
      </c>
      <c r="I58" s="105">
        <f>IF(ISNUMBER(G58), $B64 * H58, "")</f>
        <v>4601.5712682379444</v>
      </c>
      <c r="J58" s="20">
        <v>88</v>
      </c>
      <c r="K58" s="21">
        <f t="shared" si="24"/>
        <v>-1.2345679012345616E-2</v>
      </c>
      <c r="L58" s="22">
        <f>IF(ISNUMBER(J58), $B64 * K58, "")</f>
        <v>-1234.5679012345615</v>
      </c>
      <c r="M58" s="30">
        <v>84.8</v>
      </c>
      <c r="N58" s="21">
        <f t="shared" si="25"/>
        <v>-4.8260381593714902E-2</v>
      </c>
      <c r="O58" s="22">
        <f>IF(ISNUMBER(M58), $B64 * N58, "")</f>
        <v>-4826.0381593714901</v>
      </c>
      <c r="Q58" s="261"/>
      <c r="R58" s="261"/>
      <c r="S58" s="261"/>
    </row>
    <row r="59" spans="1:19" ht="17.25" customHeight="1" thickBot="1">
      <c r="A59" s="162" t="s">
        <v>233</v>
      </c>
      <c r="B59" s="129">
        <v>19.3</v>
      </c>
      <c r="C59" s="80">
        <v>5.2083333000000004E-3</v>
      </c>
      <c r="D59" s="106">
        <v>18.8</v>
      </c>
      <c r="E59" s="107">
        <f>IF(ISNUMBER(D59), (D59 - $B59) / $B59, "")</f>
        <v>-2.5906735751295335E-2</v>
      </c>
      <c r="F59" s="108">
        <f>IF(ISNUMBER(D59), $B64 * E59, "")</f>
        <v>-2590.6735751295337</v>
      </c>
      <c r="G59" s="109">
        <v>17.899999999999999</v>
      </c>
      <c r="H59" s="107">
        <f>IF(ISNUMBER(G59), (G59 - $B59) / $B59, "")</f>
        <v>-7.2538860103627048E-2</v>
      </c>
      <c r="I59" s="110">
        <f>IF(ISNUMBER(G59), $B64 * H59, "")</f>
        <v>-7253.8860103627048</v>
      </c>
      <c r="J59" s="106">
        <v>17.5</v>
      </c>
      <c r="K59" s="107">
        <f>IF(ISNUMBER(J59), (J59 - $B59) / $B59, "")</f>
        <v>-9.3264248704663252E-2</v>
      </c>
      <c r="L59" s="108">
        <f>IF(ISNUMBER(J59), $B64 * K59, "")</f>
        <v>-9326.424870466326</v>
      </c>
      <c r="M59" s="109">
        <v>17.7</v>
      </c>
      <c r="N59" s="107">
        <f>IF(ISNUMBER(M59), (M59 - $B59) / $B59, "")</f>
        <v>-8.290155440414515E-2</v>
      </c>
      <c r="O59" s="108">
        <f>IF(ISNUMBER(M59), $B64 * N59, "")</f>
        <v>-8290.1554404145154</v>
      </c>
      <c r="Q59" s="251"/>
      <c r="R59" s="251"/>
      <c r="S59" s="251"/>
    </row>
    <row r="60" spans="1:19" ht="17.25" customHeight="1" thickBot="1">
      <c r="A60" s="162" t="s">
        <v>234</v>
      </c>
      <c r="B60" s="126">
        <v>93.4</v>
      </c>
      <c r="C60" s="77">
        <v>0</v>
      </c>
      <c r="D60" s="15">
        <v>90</v>
      </c>
      <c r="E60" s="32">
        <f t="shared" ref="E60:E63" si="26">IF(ISNUMBER(D60), (D60 - $B60) / $B60, "")</f>
        <v>-3.6402569593147811E-2</v>
      </c>
      <c r="F60" s="18">
        <f>IF(ISNUMBER(D60), $B64 * E60, "")</f>
        <v>-3640.2569593147809</v>
      </c>
      <c r="G60" s="31">
        <v>89.1</v>
      </c>
      <c r="H60" s="32">
        <f t="shared" ref="H60:H63" si="27">IF(ISNUMBER(G60), (G60 - $B60) / $B60, "")</f>
        <v>-4.6038543897216393E-2</v>
      </c>
      <c r="I60" s="101">
        <f>IF(ISNUMBER(G60), $B64 * H60, "")</f>
        <v>-4603.8543897216396</v>
      </c>
      <c r="J60" s="15">
        <v>87.8</v>
      </c>
      <c r="K60" s="32">
        <f t="shared" ref="K60:K63" si="28">IF(ISNUMBER(J60), (J60 - $B60) / $B60, "")</f>
        <v>-5.9957173447537558E-2</v>
      </c>
      <c r="L60" s="18">
        <f>IF(ISNUMBER(J60), $B64 * K60, "")</f>
        <v>-5995.7173447537562</v>
      </c>
      <c r="M60" s="31">
        <v>87.2</v>
      </c>
      <c r="N60" s="32">
        <f t="shared" ref="N60:N63" si="29">IF(ISNUMBER(M60), (M60 - $B60) / $B60, "")</f>
        <v>-6.6381156316916518E-2</v>
      </c>
      <c r="O60" s="18">
        <f>IF(ISNUMBER(M60), $B64 * N60, "")</f>
        <v>-6638.1156316916522</v>
      </c>
      <c r="Q60" s="251"/>
      <c r="R60" s="251"/>
      <c r="S60" s="251"/>
    </row>
    <row r="61" spans="1:19" ht="17.25" customHeight="1" thickBot="1">
      <c r="A61" s="162" t="s">
        <v>215</v>
      </c>
      <c r="B61" s="126">
        <v>6.12</v>
      </c>
      <c r="C61" s="77">
        <v>0</v>
      </c>
      <c r="D61" s="15">
        <v>5.94</v>
      </c>
      <c r="E61" s="32">
        <f t="shared" si="26"/>
        <v>-2.9411764705882307E-2</v>
      </c>
      <c r="F61" s="18">
        <f>IF(ISNUMBER(D61), $B64 * E61, "")</f>
        <v>-2941.1764705882306</v>
      </c>
      <c r="G61" s="31">
        <v>5.62</v>
      </c>
      <c r="H61" s="32">
        <f t="shared" si="27"/>
        <v>-8.1699346405228759E-2</v>
      </c>
      <c r="I61" s="101">
        <f>IF(ISNUMBER(G61), $B64 * H61, "")</f>
        <v>-8169.9346405228762</v>
      </c>
      <c r="J61" s="15">
        <v>5.46</v>
      </c>
      <c r="K61" s="32">
        <f t="shared" si="28"/>
        <v>-0.10784313725490198</v>
      </c>
      <c r="L61" s="18">
        <f>IF(ISNUMBER(J61), $B64 * K61, "")</f>
        <v>-10784.313725490198</v>
      </c>
      <c r="M61" s="31">
        <v>5.55</v>
      </c>
      <c r="N61" s="32">
        <f t="shared" si="29"/>
        <v>-9.3137254901960828E-2</v>
      </c>
      <c r="O61" s="18">
        <f>IF(ISNUMBER(M61), $B64 * N61, "")</f>
        <v>-9313.7254901960823</v>
      </c>
      <c r="Q61" s="251"/>
      <c r="R61" s="251"/>
      <c r="S61" s="251"/>
    </row>
    <row r="62" spans="1:19" ht="17.25" customHeight="1">
      <c r="A62" s="162" t="s">
        <v>156</v>
      </c>
      <c r="B62" s="126">
        <v>82.3</v>
      </c>
      <c r="C62" s="77">
        <v>-6.0386473E-3</v>
      </c>
      <c r="D62" s="15">
        <v>83.3</v>
      </c>
      <c r="E62" s="32">
        <f t="shared" si="26"/>
        <v>1.2150668286755772E-2</v>
      </c>
      <c r="F62" s="18">
        <f>IF(ISNUMBER(D62), $B64 * E62, "")</f>
        <v>1215.0668286755772</v>
      </c>
      <c r="G62" s="31">
        <v>82.3</v>
      </c>
      <c r="H62" s="32">
        <f t="shared" si="27"/>
        <v>0</v>
      </c>
      <c r="I62" s="101">
        <f>IF(ISNUMBER(G62), $B64 * H62, "")</f>
        <v>0</v>
      </c>
      <c r="J62" s="15">
        <v>81.2</v>
      </c>
      <c r="K62" s="32">
        <f t="shared" si="28"/>
        <v>-1.3365735115431281E-2</v>
      </c>
      <c r="L62" s="18">
        <f>IF(ISNUMBER(J62), $B64 * K62, "")</f>
        <v>-1336.573511543128</v>
      </c>
      <c r="M62" s="31">
        <v>80.7</v>
      </c>
      <c r="N62" s="32">
        <f t="shared" si="29"/>
        <v>-1.9441069258809167E-2</v>
      </c>
      <c r="O62" s="18">
        <f>IF(ISNUMBER(M62), $B64 * N62, "")</f>
        <v>-1944.1069258809166</v>
      </c>
      <c r="Q62" s="240"/>
      <c r="R62" s="241"/>
      <c r="S62" s="242"/>
    </row>
    <row r="63" spans="1:19" ht="17.25" customHeight="1" thickBot="1">
      <c r="A63" s="130" t="s">
        <v>273</v>
      </c>
      <c r="B63" s="131">
        <v>70.7</v>
      </c>
      <c r="C63" s="79">
        <v>-8.4151473000000001E-3</v>
      </c>
      <c r="D63" s="24">
        <v>72</v>
      </c>
      <c r="E63" s="25">
        <f t="shared" si="26"/>
        <v>1.8387553041018346E-2</v>
      </c>
      <c r="F63" s="104">
        <f>IF(ISNUMBER(D63), $B64 * E63, "")</f>
        <v>1838.7553041018346</v>
      </c>
      <c r="G63" s="102">
        <v>70.8</v>
      </c>
      <c r="H63" s="25">
        <f t="shared" si="27"/>
        <v>1.414427157001334E-3</v>
      </c>
      <c r="I63" s="103">
        <f>IF(ISNUMBER(G63), $B64 * H63, "")</f>
        <v>141.44271570013339</v>
      </c>
      <c r="J63" s="24">
        <v>69.900000000000006</v>
      </c>
      <c r="K63" s="25">
        <f t="shared" si="28"/>
        <v>-1.1315417256011274E-2</v>
      </c>
      <c r="L63" s="104">
        <f>IF(ISNUMBER(J63), $B64 * K63, "")</f>
        <v>-1131.5417256011274</v>
      </c>
      <c r="M63" s="102">
        <v>69.3</v>
      </c>
      <c r="N63" s="25">
        <f t="shared" si="29"/>
        <v>-1.9801980198019882E-2</v>
      </c>
      <c r="O63" s="104">
        <f>IF(ISNUMBER(M63), $B64 * N63, "")</f>
        <v>-1980.1980198019883</v>
      </c>
      <c r="Q63" s="243"/>
      <c r="R63" s="244"/>
      <c r="S63" s="245"/>
    </row>
    <row r="64" spans="1:19" ht="17.25" customHeight="1" thickBot="1">
      <c r="A64" s="132" t="s">
        <v>295</v>
      </c>
      <c r="B64" s="304">
        <f>$B$37</f>
        <v>100000</v>
      </c>
      <c r="C64" s="305"/>
      <c r="D64" s="26" t="s">
        <v>296</v>
      </c>
      <c r="E64" s="27">
        <f>IF(COUNT(E44:E63), SUM(E44:E63) / COUNT(E44:E63), 0)</f>
        <v>-1.4438443230785053E-2</v>
      </c>
      <c r="F64" s="28">
        <f>SUM(F44:F63)</f>
        <v>-28876.88646157011</v>
      </c>
      <c r="G64" s="26" t="s">
        <v>296</v>
      </c>
      <c r="H64" s="27">
        <f>IF(COUNT(H44:H63), SUM(H44:H63) / COUNT(H44:H63), 0)</f>
        <v>-4.8022012503525002E-2</v>
      </c>
      <c r="I64" s="28">
        <f>SUM(I44:I63)</f>
        <v>-96044.02500704999</v>
      </c>
      <c r="J64" s="26" t="s">
        <v>296</v>
      </c>
      <c r="K64" s="27">
        <f>IF(COUNT(K44:K63), SUM(K44:K63) / COUNT(K44:K63), 0)</f>
        <v>-7.2767252065944893E-2</v>
      </c>
      <c r="L64" s="28">
        <f>SUM(L44:L63)</f>
        <v>-145534.50413188979</v>
      </c>
      <c r="M64" s="26" t="s">
        <v>296</v>
      </c>
      <c r="N64" s="27">
        <f>IF(COUNT(N44:N63), SUM(N44:N63) / COUNT(N44:N63), 0)</f>
        <v>-7.4001798540067956E-2</v>
      </c>
      <c r="O64" s="28">
        <f>SUM(O44:O63)</f>
        <v>-148003.59708013589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262" t="s">
        <v>45</v>
      </c>
      <c r="B67" s="263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4"/>
      <c r="Q67" s="261"/>
      <c r="R67" s="261"/>
      <c r="S67" s="261"/>
    </row>
    <row r="68" spans="1:19" ht="17.25" thickBot="1">
      <c r="A68" s="220" t="s">
        <v>292</v>
      </c>
      <c r="B68" s="262" t="s">
        <v>49</v>
      </c>
      <c r="C68" s="264"/>
      <c r="D68" s="262" t="s">
        <v>58</v>
      </c>
      <c r="E68" s="263"/>
      <c r="F68" s="264"/>
      <c r="G68" s="265">
        <f>_xlfn.IFNA(VLOOKUP(B68, 현재가테이블!$B$2:$D$200, 2, FALSE), "-")</f>
        <v>40538000</v>
      </c>
      <c r="H68" s="266"/>
      <c r="I68" s="267"/>
      <c r="J68" s="262" t="s">
        <v>59</v>
      </c>
      <c r="K68" s="263"/>
      <c r="L68" s="264"/>
      <c r="M68" s="268">
        <f>_xlfn.IFNA(VLOOKUP(B68, 현재가테이블!$B$2:$D$200, 3, FALSE), "-")</f>
        <v>-3.68275993E-2</v>
      </c>
      <c r="N68" s="269"/>
      <c r="O68" s="270"/>
      <c r="Q68" s="261"/>
      <c r="R68" s="261"/>
      <c r="S68" s="261"/>
    </row>
    <row r="69" spans="1:19" ht="17.25" thickBot="1">
      <c r="A69" s="306" t="s">
        <v>55</v>
      </c>
      <c r="B69" s="302" t="str">
        <f>TEXT($G$1, "[$-ko-KR]yyyy-mm-dd(ddd) ") &amp; "오전 00:00"</f>
        <v>2021-06-16(수) 오전 00:00</v>
      </c>
      <c r="C69" s="303"/>
      <c r="D69" s="275" t="str">
        <f>TEXT($G$1, "[$-ko-KR]yyyy-mm-dd(ddd) ") &amp; "오후 14:00"</f>
        <v>2021-06-16(수) 오후 14:00</v>
      </c>
      <c r="E69" s="276"/>
      <c r="F69" s="277"/>
      <c r="G69" s="275" t="str">
        <f>TEXT($G$1, "[$-ko-KR]yyyy-mm-dd(ddd) ") &amp; "오후 19:00"</f>
        <v>2021-06-16(수) 오후 19:00</v>
      </c>
      <c r="H69" s="276"/>
      <c r="I69" s="277"/>
      <c r="J69" s="275" t="str">
        <f>TEXT($G$1, "[$-ko-KR]yyyy-mm-dd(ddd) ") &amp; "오후 21:00"</f>
        <v>2021-06-16(수) 오후 21:00</v>
      </c>
      <c r="K69" s="276"/>
      <c r="L69" s="277"/>
      <c r="M69" s="275" t="str">
        <f>TEXT($G$1+1, "[$-ko-KR]yyyy-mm-dd(ddd) ") &amp; "오전 00:00"</f>
        <v>2021-06-17(목) 오전 00:00</v>
      </c>
      <c r="N69" s="276"/>
      <c r="O69" s="277"/>
      <c r="Q69" s="261"/>
      <c r="R69" s="261"/>
      <c r="S69" s="261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1" t="s">
        <v>58</v>
      </c>
      <c r="H70" s="222" t="s">
        <v>293</v>
      </c>
      <c r="I70" s="22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1"/>
      <c r="R70" s="251"/>
      <c r="S70" s="251"/>
    </row>
    <row r="71" spans="1:19" ht="17.25" thickBot="1">
      <c r="A71" s="161" t="s">
        <v>173</v>
      </c>
      <c r="B71" s="124">
        <v>128</v>
      </c>
      <c r="C71" s="76">
        <v>6.6666666700000002E-2</v>
      </c>
      <c r="D71" s="13">
        <v>132</v>
      </c>
      <c r="E71" s="14">
        <f>IF(ISNUMBER(D71), (D71 - $B71) / $B71, "")</f>
        <v>3.125E-2</v>
      </c>
      <c r="F71" s="16">
        <f>IF(ISNUMBER(D71), $B91 * E71, "")</f>
        <v>3125</v>
      </c>
      <c r="G71" s="29">
        <v>126</v>
      </c>
      <c r="H71" s="14">
        <f>IF(ISNUMBER(G71), (G71 - $B71) / $B71, "")</f>
        <v>-1.5625E-2</v>
      </c>
      <c r="I71" s="100">
        <f>IF(ISNUMBER(G71), $B91 * H71, "")</f>
        <v>-1562.5</v>
      </c>
      <c r="J71" s="13">
        <v>122</v>
      </c>
      <c r="K71" s="14">
        <f>IF(ISNUMBER(J71), (J71 - $B71) / $B71, "")</f>
        <v>-4.6875E-2</v>
      </c>
      <c r="L71" s="16">
        <f>IF(ISNUMBER(J71), $B91 * K71, "")</f>
        <v>-4687.5</v>
      </c>
      <c r="M71" s="29">
        <v>121</v>
      </c>
      <c r="N71" s="14">
        <f>IF(ISNUMBER(M71), (M71 - $B71) / $B71, "")</f>
        <v>-5.46875E-2</v>
      </c>
      <c r="O71" s="16">
        <f>IF(ISNUMBER(M71), $B91 * N71, "")</f>
        <v>-5468.75</v>
      </c>
      <c r="Q71" s="261"/>
      <c r="R71" s="261"/>
      <c r="S71" s="261"/>
    </row>
    <row r="72" spans="1:19" ht="17.25" thickBot="1">
      <c r="A72" s="162" t="s">
        <v>54</v>
      </c>
      <c r="B72" s="126">
        <v>246</v>
      </c>
      <c r="C72" s="77">
        <v>4.6808510599999999E-2</v>
      </c>
      <c r="D72" s="15">
        <v>241</v>
      </c>
      <c r="E72" s="32">
        <f t="shared" ref="E72:E75" si="30">IF(ISNUMBER(D72), (D72 - $B72) / $B72, "")</f>
        <v>-2.032520325203252E-2</v>
      </c>
      <c r="F72" s="18">
        <f>IF(ISNUMBER(D72), $B91 * E72, "")</f>
        <v>-2032.520325203252</v>
      </c>
      <c r="G72" s="31">
        <v>237</v>
      </c>
      <c r="H72" s="32">
        <f t="shared" ref="H72:H75" si="31">IF(ISNUMBER(G72), (G72 - $B72) / $B72, "")</f>
        <v>-3.6585365853658534E-2</v>
      </c>
      <c r="I72" s="101">
        <f>IF(ISNUMBER(G72), $B91 * H72, "")</f>
        <v>-3658.5365853658536</v>
      </c>
      <c r="J72" s="15">
        <v>231</v>
      </c>
      <c r="K72" s="32">
        <f t="shared" ref="K72:K75" si="32">IF(ISNUMBER(J72), (J72 - $B72) / $B72, "")</f>
        <v>-6.097560975609756E-2</v>
      </c>
      <c r="L72" s="18">
        <f>IF(ISNUMBER(J72), $B91 * K72, "")</f>
        <v>-6097.5609756097556</v>
      </c>
      <c r="M72" s="31">
        <v>229</v>
      </c>
      <c r="N72" s="32">
        <f t="shared" ref="N72:N75" si="33">IF(ISNUMBER(M72), (M72 - $B72) / $B72, "")</f>
        <v>-6.910569105691057E-2</v>
      </c>
      <c r="O72" s="18">
        <f>IF(ISNUMBER(M72), $B91 * N72, "")</f>
        <v>-6910.5691056910573</v>
      </c>
      <c r="Q72" s="261"/>
      <c r="R72" s="261"/>
      <c r="S72" s="261"/>
    </row>
    <row r="73" spans="1:19" ht="17.25" thickBot="1">
      <c r="A73" s="162" t="s">
        <v>199</v>
      </c>
      <c r="B73" s="126">
        <v>168</v>
      </c>
      <c r="C73" s="77">
        <v>3.7037037000000002E-2</v>
      </c>
      <c r="D73" s="15">
        <v>176</v>
      </c>
      <c r="E73" s="32">
        <f t="shared" si="30"/>
        <v>4.7619047619047616E-2</v>
      </c>
      <c r="F73" s="18">
        <f>IF(ISNUMBER(D73), $B91 * E73, "")</f>
        <v>4761.9047619047615</v>
      </c>
      <c r="G73" s="31">
        <v>175</v>
      </c>
      <c r="H73" s="32">
        <f t="shared" si="31"/>
        <v>4.1666666666666664E-2</v>
      </c>
      <c r="I73" s="101">
        <f>IF(ISNUMBER(G73), $B91 * H73, "")</f>
        <v>4166.6666666666661</v>
      </c>
      <c r="J73" s="15">
        <v>170</v>
      </c>
      <c r="K73" s="32">
        <f t="shared" si="32"/>
        <v>1.1904761904761904E-2</v>
      </c>
      <c r="L73" s="18">
        <f>IF(ISNUMBER(J73), $B91 * K73, "")</f>
        <v>1190.4761904761904</v>
      </c>
      <c r="M73" s="31">
        <v>171</v>
      </c>
      <c r="N73" s="32">
        <f t="shared" si="33"/>
        <v>1.7857142857142856E-2</v>
      </c>
      <c r="O73" s="18">
        <f>IF(ISNUMBER(M73), $B91 * N73, "")</f>
        <v>1785.7142857142856</v>
      </c>
      <c r="Q73" s="251"/>
      <c r="R73" s="251"/>
      <c r="S73" s="251"/>
    </row>
    <row r="74" spans="1:19" ht="17.25" thickBot="1">
      <c r="A74" s="162" t="s">
        <v>251</v>
      </c>
      <c r="B74" s="126">
        <v>150</v>
      </c>
      <c r="C74" s="77">
        <v>2.73972603E-2</v>
      </c>
      <c r="D74" s="15">
        <v>148</v>
      </c>
      <c r="E74" s="32">
        <f t="shared" si="30"/>
        <v>-1.3333333333333334E-2</v>
      </c>
      <c r="F74" s="18">
        <f>IF(ISNUMBER(D74), $B91 * E74, "")</f>
        <v>-1333.3333333333335</v>
      </c>
      <c r="G74" s="31">
        <v>148</v>
      </c>
      <c r="H74" s="32">
        <f t="shared" si="31"/>
        <v>-1.3333333333333334E-2</v>
      </c>
      <c r="I74" s="101">
        <f>IF(ISNUMBER(G74), $B91 * H74, "")</f>
        <v>-1333.3333333333335</v>
      </c>
      <c r="J74" s="15">
        <v>143</v>
      </c>
      <c r="K74" s="32">
        <f t="shared" si="32"/>
        <v>-4.6666666666666669E-2</v>
      </c>
      <c r="L74" s="18">
        <f>IF(ISNUMBER(J74), $B91 * K74, "")</f>
        <v>-4666.666666666667</v>
      </c>
      <c r="M74" s="31">
        <v>144</v>
      </c>
      <c r="N74" s="32">
        <f t="shared" si="33"/>
        <v>-0.04</v>
      </c>
      <c r="O74" s="18">
        <f>IF(ISNUMBER(M74), $B91 * N74, "")</f>
        <v>-4000</v>
      </c>
      <c r="Q74" s="251"/>
      <c r="R74" s="251"/>
      <c r="S74" s="251"/>
    </row>
    <row r="75" spans="1:19" ht="17.25" thickBot="1">
      <c r="A75" s="163" t="s">
        <v>80</v>
      </c>
      <c r="B75" s="128">
        <v>793</v>
      </c>
      <c r="C75" s="78">
        <v>2.72020725E-2</v>
      </c>
      <c r="D75" s="20">
        <v>785</v>
      </c>
      <c r="E75" s="21">
        <f t="shared" si="30"/>
        <v>-1.0088272383354351E-2</v>
      </c>
      <c r="F75" s="22">
        <f>IF(ISNUMBER(D75), $B91 * E75, "")</f>
        <v>-1008.827238335435</v>
      </c>
      <c r="G75" s="30">
        <v>782</v>
      </c>
      <c r="H75" s="21">
        <f t="shared" si="31"/>
        <v>-1.3871374527112233E-2</v>
      </c>
      <c r="I75" s="105">
        <f>IF(ISNUMBER(G75), $B91 * H75, "")</f>
        <v>-1387.1374527112232</v>
      </c>
      <c r="J75" s="20">
        <v>770</v>
      </c>
      <c r="K75" s="21">
        <f t="shared" si="32"/>
        <v>-2.9003783102143757E-2</v>
      </c>
      <c r="L75" s="22">
        <f>IF(ISNUMBER(J75), $B91 * K75, "")</f>
        <v>-2900.3783102143757</v>
      </c>
      <c r="M75" s="30">
        <v>769</v>
      </c>
      <c r="N75" s="21">
        <f t="shared" si="33"/>
        <v>-3.0264817150063052E-2</v>
      </c>
      <c r="O75" s="22">
        <f>IF(ISNUMBER(M75), $B91 * N75, "")</f>
        <v>-3026.481715006305</v>
      </c>
      <c r="Q75" s="251"/>
      <c r="R75" s="251"/>
      <c r="S75" s="251"/>
    </row>
    <row r="76" spans="1:19" ht="17.25" thickBot="1">
      <c r="A76" s="162" t="s">
        <v>112</v>
      </c>
      <c r="B76" s="129">
        <v>137</v>
      </c>
      <c r="C76" s="80">
        <v>1.4814814799999999E-2</v>
      </c>
      <c r="D76" s="106">
        <v>142</v>
      </c>
      <c r="E76" s="107">
        <f>IF(ISNUMBER(D76), (D76 - $B76) / $B76, "")</f>
        <v>3.6496350364963501E-2</v>
      </c>
      <c r="F76" s="108">
        <f>IF(ISNUMBER(D76), $B91 * E76, "")</f>
        <v>3649.63503649635</v>
      </c>
      <c r="G76" s="109">
        <v>135</v>
      </c>
      <c r="H76" s="107">
        <f>IF(ISNUMBER(G76), (G76 - $B76) / $B76, "")</f>
        <v>-1.4598540145985401E-2</v>
      </c>
      <c r="I76" s="110">
        <f>IF(ISNUMBER(G76), $B91 * H76, "")</f>
        <v>-1459.8540145985401</v>
      </c>
      <c r="J76" s="106">
        <v>131</v>
      </c>
      <c r="K76" s="107">
        <f>IF(ISNUMBER(J76), (J76 - $B76) / $B76, "")</f>
        <v>-4.3795620437956206E-2</v>
      </c>
      <c r="L76" s="108">
        <f>IF(ISNUMBER(J76), $B91 * K76, "")</f>
        <v>-4379.5620437956204</v>
      </c>
      <c r="M76" s="109">
        <v>131</v>
      </c>
      <c r="N76" s="107">
        <f>IF(ISNUMBER(M76), (M76 - $B76) / $B76, "")</f>
        <v>-4.3795620437956206E-2</v>
      </c>
      <c r="O76" s="108">
        <f>IF(ISNUMBER(M76), $B91 * N76, "")</f>
        <v>-4379.5620437956204</v>
      </c>
      <c r="Q76" s="251"/>
      <c r="R76" s="251"/>
      <c r="S76" s="251"/>
    </row>
    <row r="77" spans="1:19" ht="17.25" thickBot="1">
      <c r="A77" s="162" t="s">
        <v>248</v>
      </c>
      <c r="B77" s="126">
        <v>110</v>
      </c>
      <c r="C77" s="77">
        <v>9.1743119000000008E-3</v>
      </c>
      <c r="D77" s="15">
        <v>108</v>
      </c>
      <c r="E77" s="32">
        <f t="shared" ref="E77:E80" si="34">IF(ISNUMBER(D77), (D77 - $B77) / $B77, "")</f>
        <v>-1.8181818181818181E-2</v>
      </c>
      <c r="F77" s="18">
        <f>IF(ISNUMBER(D77), $B91 * E77, "")</f>
        <v>-1818.181818181818</v>
      </c>
      <c r="G77" s="31">
        <v>101</v>
      </c>
      <c r="H77" s="32">
        <f t="shared" ref="H77:H80" si="35">IF(ISNUMBER(G77), (G77 - $B77) / $B77, "")</f>
        <v>-8.1818181818181818E-2</v>
      </c>
      <c r="I77" s="101">
        <f>IF(ISNUMBER(G77), $B91 * H77, "")</f>
        <v>-8181.818181818182</v>
      </c>
      <c r="J77" s="15">
        <v>98.4</v>
      </c>
      <c r="K77" s="32">
        <f t="shared" ref="K77:K80" si="36">IF(ISNUMBER(J77), (J77 - $B77) / $B77, "")</f>
        <v>-0.1054545454545454</v>
      </c>
      <c r="L77" s="18">
        <f>IF(ISNUMBER(J77), $B91 * K77, "")</f>
        <v>-10545.45454545454</v>
      </c>
      <c r="M77" s="31">
        <v>100</v>
      </c>
      <c r="N77" s="32">
        <f t="shared" ref="N77:N80" si="37">IF(ISNUMBER(M77), (M77 - $B77) / $B77, "")</f>
        <v>-9.0909090909090912E-2</v>
      </c>
      <c r="O77" s="18">
        <f>IF(ISNUMBER(M77), $B91 * N77, "")</f>
        <v>-9090.9090909090919</v>
      </c>
      <c r="Q77" s="251"/>
      <c r="R77" s="251"/>
      <c r="S77" s="251"/>
    </row>
    <row r="78" spans="1:19" ht="17.25" thickBot="1">
      <c r="A78" s="162" t="s">
        <v>88</v>
      </c>
      <c r="B78" s="126">
        <v>322</v>
      </c>
      <c r="C78" s="77">
        <v>-6.1728395E-3</v>
      </c>
      <c r="D78" s="15">
        <v>378</v>
      </c>
      <c r="E78" s="32">
        <f t="shared" si="34"/>
        <v>0.17391304347826086</v>
      </c>
      <c r="F78" s="18">
        <f>IF(ISNUMBER(D78), $B91 * E78, "")</f>
        <v>17391.304347826088</v>
      </c>
      <c r="G78" s="31">
        <v>402</v>
      </c>
      <c r="H78" s="32">
        <f t="shared" si="35"/>
        <v>0.2484472049689441</v>
      </c>
      <c r="I78" s="101">
        <f>IF(ISNUMBER(G78), $B91 * H78, "")</f>
        <v>24844.72049689441</v>
      </c>
      <c r="J78" s="15">
        <v>394</v>
      </c>
      <c r="K78" s="32">
        <f t="shared" si="36"/>
        <v>0.2236024844720497</v>
      </c>
      <c r="L78" s="18">
        <f>IF(ISNUMBER(J78), $B91 * K78, "")</f>
        <v>22360.248447204969</v>
      </c>
      <c r="M78" s="31">
        <v>388</v>
      </c>
      <c r="N78" s="32">
        <f t="shared" si="37"/>
        <v>0.20496894409937888</v>
      </c>
      <c r="O78" s="18">
        <f>IF(ISNUMBER(M78), $B91 * N78, "")</f>
        <v>20496.89440993789</v>
      </c>
      <c r="Q78" s="251"/>
      <c r="R78" s="251"/>
      <c r="S78" s="251"/>
    </row>
    <row r="79" spans="1:19" ht="17.25" thickBot="1">
      <c r="A79" s="162" t="s">
        <v>132</v>
      </c>
      <c r="B79" s="126">
        <v>129</v>
      </c>
      <c r="C79" s="77">
        <v>-7.6923076999999996E-3</v>
      </c>
      <c r="D79" s="15">
        <v>129</v>
      </c>
      <c r="E79" s="32">
        <f t="shared" si="34"/>
        <v>0</v>
      </c>
      <c r="F79" s="18">
        <f>IF(ISNUMBER(D79), $B91 * E79, "")</f>
        <v>0</v>
      </c>
      <c r="G79" s="31">
        <v>127</v>
      </c>
      <c r="H79" s="32">
        <f t="shared" si="35"/>
        <v>-1.5503875968992248E-2</v>
      </c>
      <c r="I79" s="101">
        <f>IF(ISNUMBER(G79), $B91 * H79, "")</f>
        <v>-1550.3875968992247</v>
      </c>
      <c r="J79" s="15">
        <v>125</v>
      </c>
      <c r="K79" s="32">
        <f t="shared" si="36"/>
        <v>-3.1007751937984496E-2</v>
      </c>
      <c r="L79" s="18">
        <f>IF(ISNUMBER(J79), $B91 * K79, "")</f>
        <v>-3100.7751937984494</v>
      </c>
      <c r="M79" s="31">
        <v>125</v>
      </c>
      <c r="N79" s="32">
        <f t="shared" si="37"/>
        <v>-3.1007751937984496E-2</v>
      </c>
      <c r="O79" s="18">
        <f>IF(ISNUMBER(M79), $B91 * N79, "")</f>
        <v>-3100.7751937984494</v>
      </c>
      <c r="Q79" s="33"/>
      <c r="R79" s="33"/>
    </row>
    <row r="80" spans="1:19" ht="17.25" thickBot="1">
      <c r="A80" s="130" t="s">
        <v>136</v>
      </c>
      <c r="B80" s="131">
        <v>126</v>
      </c>
      <c r="C80" s="79">
        <v>-7.8740157000000005E-3</v>
      </c>
      <c r="D80" s="24">
        <v>124</v>
      </c>
      <c r="E80" s="25">
        <f t="shared" si="34"/>
        <v>-1.5873015873015872E-2</v>
      </c>
      <c r="F80" s="104">
        <f>IF(ISNUMBER(D80), $B91 * E80, "")</f>
        <v>-1587.3015873015872</v>
      </c>
      <c r="G80" s="102">
        <v>125</v>
      </c>
      <c r="H80" s="25">
        <f t="shared" si="35"/>
        <v>-7.9365079365079361E-3</v>
      </c>
      <c r="I80" s="103">
        <f>IF(ISNUMBER(G80), $B91 * H80, "")</f>
        <v>-793.65079365079362</v>
      </c>
      <c r="J80" s="24">
        <v>123</v>
      </c>
      <c r="K80" s="25">
        <f t="shared" si="36"/>
        <v>-2.3809523809523808E-2</v>
      </c>
      <c r="L80" s="104">
        <f>IF(ISNUMBER(J80), $B91 * K80, "")</f>
        <v>-2380.9523809523807</v>
      </c>
      <c r="M80" s="102">
        <v>122</v>
      </c>
      <c r="N80" s="25">
        <f t="shared" si="37"/>
        <v>-3.1746031746031744E-2</v>
      </c>
      <c r="O80" s="104">
        <f>IF(ISNUMBER(M80), $B91 * N80, "")</f>
        <v>-3174.6031746031745</v>
      </c>
      <c r="Q80" s="252"/>
      <c r="R80" s="253"/>
      <c r="S80" s="254"/>
    </row>
    <row r="81" spans="1:19">
      <c r="A81" s="161" t="s">
        <v>265</v>
      </c>
      <c r="B81" s="124">
        <v>335</v>
      </c>
      <c r="C81" s="76">
        <v>-1.47058824E-2</v>
      </c>
      <c r="D81" s="13">
        <v>334</v>
      </c>
      <c r="E81" s="14">
        <f>IF(ISNUMBER(D81), (D81 - $B81) / $B81, "")</f>
        <v>-2.9850746268656717E-3</v>
      </c>
      <c r="F81" s="16">
        <f>IF(ISNUMBER(D81), $B91 * E81, "")</f>
        <v>-298.50746268656718</v>
      </c>
      <c r="G81" s="29">
        <v>335</v>
      </c>
      <c r="H81" s="14">
        <f>IF(ISNUMBER(G81), (G81 - $B81) / $B81, "")</f>
        <v>0</v>
      </c>
      <c r="I81" s="100">
        <f>IF(ISNUMBER(G81), $B91 * H81, "")</f>
        <v>0</v>
      </c>
      <c r="J81" s="13">
        <v>329</v>
      </c>
      <c r="K81" s="14">
        <f>IF(ISNUMBER(J81), (J81 - $B81) / $B81, "")</f>
        <v>-1.7910447761194031E-2</v>
      </c>
      <c r="L81" s="16">
        <f>IF(ISNUMBER(J81), $B91 * K81, "")</f>
        <v>-1791.0447761194032</v>
      </c>
      <c r="M81" s="29">
        <v>329</v>
      </c>
      <c r="N81" s="14">
        <f>IF(ISNUMBER(M81), (M81 - $B81) / $B81, "")</f>
        <v>-1.7910447761194031E-2</v>
      </c>
      <c r="O81" s="16">
        <f>IF(ISNUMBER(M81), $B91 * N81, "")</f>
        <v>-1791.0447761194032</v>
      </c>
      <c r="Q81" s="255"/>
      <c r="R81" s="256"/>
      <c r="S81" s="257"/>
    </row>
    <row r="82" spans="1:19" ht="17.25" thickBot="1">
      <c r="A82" s="162" t="s">
        <v>57</v>
      </c>
      <c r="B82" s="126">
        <v>197</v>
      </c>
      <c r="C82" s="77">
        <v>-1.4999999999999999E-2</v>
      </c>
      <c r="D82" s="15">
        <v>199</v>
      </c>
      <c r="E82" s="32">
        <f t="shared" ref="E82:E85" si="38">IF(ISNUMBER(D82), (D82 - $B82) / $B82, "")</f>
        <v>1.015228426395939E-2</v>
      </c>
      <c r="F82" s="18">
        <f>IF(ISNUMBER(D82), $B91 * E82, "")</f>
        <v>1015.228426395939</v>
      </c>
      <c r="G82" s="31">
        <v>198</v>
      </c>
      <c r="H82" s="32">
        <f t="shared" ref="H82:H85" si="39">IF(ISNUMBER(G82), (G82 - $B82) / $B82, "")</f>
        <v>5.076142131979695E-3</v>
      </c>
      <c r="I82" s="101">
        <f>IF(ISNUMBER(G82), $B91 * H82, "")</f>
        <v>507.61421319796949</v>
      </c>
      <c r="J82" s="15">
        <v>194</v>
      </c>
      <c r="K82" s="32">
        <f t="shared" ref="K82:K85" si="40">IF(ISNUMBER(J82), (J82 - $B82) / $B82, "")</f>
        <v>-1.5228426395939087E-2</v>
      </c>
      <c r="L82" s="18">
        <f>IF(ISNUMBER(J82), $B91 * K82, "")</f>
        <v>-1522.8426395939086</v>
      </c>
      <c r="M82" s="31">
        <v>194</v>
      </c>
      <c r="N82" s="32">
        <f t="shared" ref="N82:N85" si="41">IF(ISNUMBER(M82), (M82 - $B82) / $B82, "")</f>
        <v>-1.5228426395939087E-2</v>
      </c>
      <c r="O82" s="18">
        <f>IF(ISNUMBER(M82), $B91 * N82, "")</f>
        <v>-1522.8426395939086</v>
      </c>
      <c r="Q82" s="258"/>
      <c r="R82" s="259"/>
      <c r="S82" s="260"/>
    </row>
    <row r="83" spans="1:19" ht="17.25" thickBot="1">
      <c r="A83" s="162" t="s">
        <v>169</v>
      </c>
      <c r="B83" s="126">
        <v>247</v>
      </c>
      <c r="C83" s="77">
        <v>-1.5936255E-2</v>
      </c>
      <c r="D83" s="15">
        <v>247</v>
      </c>
      <c r="E83" s="32">
        <f t="shared" si="38"/>
        <v>0</v>
      </c>
      <c r="F83" s="18">
        <f>IF(ISNUMBER(D83), $B91 * E83, "")</f>
        <v>0</v>
      </c>
      <c r="G83" s="31">
        <v>245</v>
      </c>
      <c r="H83" s="32">
        <f t="shared" si="39"/>
        <v>-8.0971659919028341E-3</v>
      </c>
      <c r="I83" s="101">
        <f>IF(ISNUMBER(G83), $B91 * H83, "")</f>
        <v>-809.71659919028343</v>
      </c>
      <c r="J83" s="15">
        <v>241</v>
      </c>
      <c r="K83" s="32">
        <f t="shared" si="40"/>
        <v>-2.4291497975708502E-2</v>
      </c>
      <c r="L83" s="18">
        <f>IF(ISNUMBER(J83), $B91 * K83, "")</f>
        <v>-2429.1497975708503</v>
      </c>
      <c r="M83" s="31">
        <v>244</v>
      </c>
      <c r="N83" s="32">
        <f t="shared" si="41"/>
        <v>-1.2145748987854251E-2</v>
      </c>
      <c r="O83" s="18">
        <f>IF(ISNUMBER(M83), $B91 * N83, "")</f>
        <v>-1214.5748987854251</v>
      </c>
      <c r="Q83" s="251"/>
      <c r="R83" s="251"/>
      <c r="S83" s="251"/>
    </row>
    <row r="84" spans="1:19" ht="17.25" thickBot="1">
      <c r="A84" s="162" t="s">
        <v>181</v>
      </c>
      <c r="B84" s="126">
        <v>234</v>
      </c>
      <c r="C84" s="77">
        <v>-1.6806722699999999E-2</v>
      </c>
      <c r="D84" s="15">
        <v>234</v>
      </c>
      <c r="E84" s="32">
        <f t="shared" si="38"/>
        <v>0</v>
      </c>
      <c r="F84" s="18">
        <f>IF(ISNUMBER(D84), $B91 * E84, "")</f>
        <v>0</v>
      </c>
      <c r="G84" s="31">
        <v>232</v>
      </c>
      <c r="H84" s="32">
        <f t="shared" si="39"/>
        <v>-8.5470085470085479E-3</v>
      </c>
      <c r="I84" s="101">
        <f>IF(ISNUMBER(G84), $B91 * H84, "")</f>
        <v>-854.70085470085473</v>
      </c>
      <c r="J84" s="15">
        <v>227</v>
      </c>
      <c r="K84" s="32">
        <f t="shared" si="40"/>
        <v>-2.9914529914529916E-2</v>
      </c>
      <c r="L84" s="18">
        <f>IF(ISNUMBER(J84), $B91 * K84, "")</f>
        <v>-2991.4529914529917</v>
      </c>
      <c r="M84" s="31">
        <v>228</v>
      </c>
      <c r="N84" s="32">
        <f t="shared" si="41"/>
        <v>-2.564102564102564E-2</v>
      </c>
      <c r="O84" s="18">
        <f>IF(ISNUMBER(M84), $B91 * N84, "")</f>
        <v>-2564.102564102564</v>
      </c>
      <c r="Q84" s="261"/>
      <c r="R84" s="261"/>
      <c r="S84" s="261"/>
    </row>
    <row r="85" spans="1:19" ht="17.25" thickBot="1">
      <c r="A85" s="163" t="s">
        <v>61</v>
      </c>
      <c r="B85" s="128">
        <v>802</v>
      </c>
      <c r="C85" s="78">
        <v>-1.7156862700000001E-2</v>
      </c>
      <c r="D85" s="20">
        <v>816</v>
      </c>
      <c r="E85" s="21">
        <f t="shared" si="38"/>
        <v>1.7456359102244388E-2</v>
      </c>
      <c r="F85" s="22">
        <f>IF(ISNUMBER(D85), $B91 * E85, "")</f>
        <v>1745.6359102244387</v>
      </c>
      <c r="G85" s="30">
        <v>837</v>
      </c>
      <c r="H85" s="21">
        <f t="shared" si="39"/>
        <v>4.3640897755610975E-2</v>
      </c>
      <c r="I85" s="105">
        <f>IF(ISNUMBER(G85), $B91 * H85, "")</f>
        <v>4364.0897755610977</v>
      </c>
      <c r="J85" s="20">
        <v>807</v>
      </c>
      <c r="K85" s="21">
        <f t="shared" si="40"/>
        <v>6.2344139650872821E-3</v>
      </c>
      <c r="L85" s="22">
        <f>IF(ISNUMBER(J85), $B91 * K85, "")</f>
        <v>623.44139650872819</v>
      </c>
      <c r="M85" s="30">
        <v>812</v>
      </c>
      <c r="N85" s="21">
        <f t="shared" si="41"/>
        <v>1.2468827930174564E-2</v>
      </c>
      <c r="O85" s="22">
        <f>IF(ISNUMBER(M85), $B91 * N85, "")</f>
        <v>1246.8827930174564</v>
      </c>
      <c r="Q85" s="261"/>
      <c r="R85" s="261"/>
      <c r="S85" s="261"/>
    </row>
    <row r="86" spans="1:19" ht="17.25" thickBot="1">
      <c r="A86" s="162" t="s">
        <v>291</v>
      </c>
      <c r="B86" s="129">
        <v>369</v>
      </c>
      <c r="C86" s="80">
        <v>-1.8617021300000001E-2</v>
      </c>
      <c r="D86" s="106">
        <v>366</v>
      </c>
      <c r="E86" s="107">
        <f>IF(ISNUMBER(D86), (D86 - $B86) / $B86, "")</f>
        <v>-8.130081300813009E-3</v>
      </c>
      <c r="F86" s="108">
        <f>IF(ISNUMBER(D86), $B91 * E86, "")</f>
        <v>-813.00813008130092</v>
      </c>
      <c r="G86" s="109">
        <v>364</v>
      </c>
      <c r="H86" s="107">
        <f>IF(ISNUMBER(G86), (G86 - $B86) / $B86, "")</f>
        <v>-1.3550135501355014E-2</v>
      </c>
      <c r="I86" s="110">
        <f>IF(ISNUMBER(G86), $B91 * H86, "")</f>
        <v>-1355.0135501355014</v>
      </c>
      <c r="J86" s="106">
        <v>360</v>
      </c>
      <c r="K86" s="107">
        <f>IF(ISNUMBER(J86), (J86 - $B86) / $B86, "")</f>
        <v>-2.4390243902439025E-2</v>
      </c>
      <c r="L86" s="108">
        <f>IF(ISNUMBER(J86), $B91 * K86, "")</f>
        <v>-2439.0243902439024</v>
      </c>
      <c r="M86" s="109">
        <v>359</v>
      </c>
      <c r="N86" s="107">
        <f>IF(ISNUMBER(M86), (M86 - $B86) / $B86, "")</f>
        <v>-2.7100271002710029E-2</v>
      </c>
      <c r="O86" s="108">
        <f>IF(ISNUMBER(M86), $B91 * N86, "")</f>
        <v>-2710.0271002710028</v>
      </c>
      <c r="Q86" s="251"/>
      <c r="R86" s="251"/>
      <c r="S86" s="251"/>
    </row>
    <row r="87" spans="1:19" ht="17.25" thickBot="1">
      <c r="A87" s="162" t="s">
        <v>242</v>
      </c>
      <c r="B87" s="126">
        <v>261</v>
      </c>
      <c r="C87" s="77">
        <v>-1.8796992500000002E-2</v>
      </c>
      <c r="D87" s="15">
        <v>262</v>
      </c>
      <c r="E87" s="32">
        <f t="shared" ref="E87:E90" si="42">IF(ISNUMBER(D87), (D87 - $B87) / $B87, "")</f>
        <v>3.8314176245210726E-3</v>
      </c>
      <c r="F87" s="18">
        <f>IF(ISNUMBER(D87), $B91 * E87, "")</f>
        <v>383.14176245210729</v>
      </c>
      <c r="G87" s="31">
        <v>258</v>
      </c>
      <c r="H87" s="32">
        <f t="shared" ref="H87:H90" si="43">IF(ISNUMBER(G87), (G87 - $B87) / $B87, "")</f>
        <v>-1.1494252873563218E-2</v>
      </c>
      <c r="I87" s="101">
        <f>IF(ISNUMBER(G87), $B91 * H87, "")</f>
        <v>-1149.4252873563219</v>
      </c>
      <c r="J87" s="15">
        <v>250</v>
      </c>
      <c r="K87" s="32">
        <f t="shared" ref="K87:K90" si="44">IF(ISNUMBER(J87), (J87 - $B87) / $B87, "")</f>
        <v>-4.2145593869731802E-2</v>
      </c>
      <c r="L87" s="18">
        <f>IF(ISNUMBER(J87), $B91 * K87, "")</f>
        <v>-4214.5593869731802</v>
      </c>
      <c r="M87" s="31">
        <v>250</v>
      </c>
      <c r="N87" s="32">
        <f t="shared" ref="N87:N90" si="45">IF(ISNUMBER(M87), (M87 - $B87) / $B87, "")</f>
        <v>-4.2145593869731802E-2</v>
      </c>
      <c r="O87" s="18">
        <f>IF(ISNUMBER(M87), $B91 * N87, "")</f>
        <v>-4214.5593869731802</v>
      </c>
      <c r="Q87" s="251"/>
      <c r="R87" s="251"/>
      <c r="S87" s="251"/>
    </row>
    <row r="88" spans="1:19" ht="17.25" thickBot="1">
      <c r="A88" s="162" t="s">
        <v>253</v>
      </c>
      <c r="B88" s="126">
        <v>413</v>
      </c>
      <c r="C88" s="77">
        <v>-1.9002375299999999E-2</v>
      </c>
      <c r="D88" s="15">
        <v>411</v>
      </c>
      <c r="E88" s="32">
        <f t="shared" si="42"/>
        <v>-4.8426150121065378E-3</v>
      </c>
      <c r="F88" s="18">
        <f>IF(ISNUMBER(D88), $B91 * E88, "")</f>
        <v>-484.26150121065376</v>
      </c>
      <c r="G88" s="31">
        <v>407</v>
      </c>
      <c r="H88" s="32">
        <f t="shared" si="43"/>
        <v>-1.4527845036319613E-2</v>
      </c>
      <c r="I88" s="101">
        <f>IF(ISNUMBER(G88), $B91 * H88, "")</f>
        <v>-1452.7845036319613</v>
      </c>
      <c r="J88" s="15">
        <v>399</v>
      </c>
      <c r="K88" s="32">
        <f t="shared" si="44"/>
        <v>-3.3898305084745763E-2</v>
      </c>
      <c r="L88" s="18">
        <f>IF(ISNUMBER(J88), $B91 * K88, "")</f>
        <v>-3389.8305084745762</v>
      </c>
      <c r="M88" s="31">
        <v>402</v>
      </c>
      <c r="N88" s="32">
        <f t="shared" si="45"/>
        <v>-2.6634382566585957E-2</v>
      </c>
      <c r="O88" s="18">
        <f>IF(ISNUMBER(M88), $B91 * N88, "")</f>
        <v>-2663.4382566585955</v>
      </c>
      <c r="Q88" s="251"/>
      <c r="R88" s="251"/>
      <c r="S88" s="251"/>
    </row>
    <row r="89" spans="1:19">
      <c r="A89" s="162" t="s">
        <v>120</v>
      </c>
      <c r="B89" s="126">
        <v>135</v>
      </c>
      <c r="C89" s="77">
        <v>-2.1739130400000001E-2</v>
      </c>
      <c r="D89" s="15">
        <v>137</v>
      </c>
      <c r="E89" s="32">
        <f t="shared" si="42"/>
        <v>1.4814814814814815E-2</v>
      </c>
      <c r="F89" s="18">
        <f>IF(ISNUMBER(D89), $B91 * E89, "")</f>
        <v>1481.4814814814815</v>
      </c>
      <c r="G89" s="31">
        <v>140</v>
      </c>
      <c r="H89" s="32">
        <f t="shared" si="43"/>
        <v>3.7037037037037035E-2</v>
      </c>
      <c r="I89" s="101">
        <f>IF(ISNUMBER(G89), $B91 * H89, "")</f>
        <v>3703.7037037037035</v>
      </c>
      <c r="J89" s="15">
        <v>137</v>
      </c>
      <c r="K89" s="32">
        <f t="shared" si="44"/>
        <v>1.4814814814814815E-2</v>
      </c>
      <c r="L89" s="18">
        <f>IF(ISNUMBER(J89), $B91 * K89, "")</f>
        <v>1481.4814814814815</v>
      </c>
      <c r="M89" s="31">
        <v>136</v>
      </c>
      <c r="N89" s="32">
        <f t="shared" si="45"/>
        <v>7.4074074074074077E-3</v>
      </c>
      <c r="O89" s="18">
        <f>IF(ISNUMBER(M89), $B91 * N89, "")</f>
        <v>740.74074074074076</v>
      </c>
      <c r="Q89" s="240"/>
      <c r="R89" s="241"/>
      <c r="S89" s="242"/>
    </row>
    <row r="90" spans="1:19" ht="17.25" thickBot="1">
      <c r="A90" s="130" t="s">
        <v>223</v>
      </c>
      <c r="B90" s="131">
        <v>216</v>
      </c>
      <c r="C90" s="79">
        <v>-2.2624434400000001E-2</v>
      </c>
      <c r="D90" s="24">
        <v>225</v>
      </c>
      <c r="E90" s="25">
        <f t="shared" si="42"/>
        <v>4.1666666666666664E-2</v>
      </c>
      <c r="F90" s="104">
        <f>IF(ISNUMBER(D90), $B91 * E90, "")</f>
        <v>4166.6666666666661</v>
      </c>
      <c r="G90" s="102">
        <v>220</v>
      </c>
      <c r="H90" s="25">
        <f t="shared" si="43"/>
        <v>1.8518518518518517E-2</v>
      </c>
      <c r="I90" s="103">
        <f>IF(ISNUMBER(G90), $B91 * H90, "")</f>
        <v>1851.8518518518517</v>
      </c>
      <c r="J90" s="24">
        <v>210</v>
      </c>
      <c r="K90" s="25">
        <f t="shared" si="44"/>
        <v>-2.7777777777777776E-2</v>
      </c>
      <c r="L90" s="104">
        <f>IF(ISNUMBER(J90), $B91 * K90, "")</f>
        <v>-2777.7777777777778</v>
      </c>
      <c r="M90" s="102">
        <v>211</v>
      </c>
      <c r="N90" s="25">
        <f t="shared" si="45"/>
        <v>-2.3148148148148147E-2</v>
      </c>
      <c r="O90" s="104">
        <f>IF(ISNUMBER(M90), $B91 * N90, "")</f>
        <v>-2314.8148148148148</v>
      </c>
      <c r="Q90" s="243"/>
      <c r="R90" s="244"/>
      <c r="S90" s="245"/>
    </row>
    <row r="91" spans="1:19" ht="17.25" thickBot="1">
      <c r="A91" s="132" t="s">
        <v>295</v>
      </c>
      <c r="B91" s="304">
        <f>$B$37</f>
        <v>100000</v>
      </c>
      <c r="C91" s="305"/>
      <c r="D91" s="26" t="s">
        <v>296</v>
      </c>
      <c r="E91" s="27">
        <f>IF(COUNT(E71:E90), SUM(E71:E90) / COUNT(E71:E90), 0)</f>
        <v>1.4172028498556944E-2</v>
      </c>
      <c r="F91" s="28">
        <f>SUM(F71:F90)</f>
        <v>28344.056997113883</v>
      </c>
      <c r="G91" s="26" t="s">
        <v>296</v>
      </c>
      <c r="H91" s="27">
        <f>IF(COUNT(H71:H90), SUM(H71:H90) / COUNT(H71:H90), 0)</f>
        <v>6.9448939772418115E-3</v>
      </c>
      <c r="I91" s="28">
        <f>SUM(I71:I90)</f>
        <v>13889.787954483623</v>
      </c>
      <c r="J91" s="26" t="s">
        <v>296</v>
      </c>
      <c r="K91" s="27">
        <f>IF(COUNT(K71:K90), SUM(K71:K90) / COUNT(K71:K90), 0)</f>
        <v>-1.7329442434513505E-2</v>
      </c>
      <c r="L91" s="28">
        <f>SUM(L71:L90)</f>
        <v>-34658.884869027017</v>
      </c>
      <c r="M91" s="26" t="s">
        <v>296</v>
      </c>
      <c r="N91" s="27">
        <f>IF(COUNT(N71:N90), SUM(N71:N90) / COUNT(N71:N90), 0)</f>
        <v>-1.6938411265856108E-2</v>
      </c>
      <c r="O91" s="28">
        <f>SUM(O71:O90)</f>
        <v>-33876.822531712227</v>
      </c>
      <c r="Q91" s="246"/>
      <c r="R91" s="247"/>
      <c r="S91" s="248"/>
    </row>
    <row r="93" spans="1:19" ht="17.25" thickBot="1"/>
    <row r="94" spans="1:19" ht="17.25" thickBot="1">
      <c r="A94" s="262" t="s">
        <v>46</v>
      </c>
      <c r="B94" s="263"/>
      <c r="C94" s="263"/>
      <c r="D94" s="263"/>
      <c r="E94" s="263"/>
      <c r="F94" s="263"/>
      <c r="G94" s="263"/>
      <c r="H94" s="263"/>
      <c r="I94" s="263"/>
      <c r="J94" s="263"/>
      <c r="K94" s="263"/>
      <c r="L94" s="263"/>
      <c r="M94" s="263"/>
      <c r="N94" s="263"/>
      <c r="O94" s="264"/>
      <c r="Q94" s="261"/>
      <c r="R94" s="261"/>
      <c r="S94" s="261"/>
    </row>
    <row r="95" spans="1:19" ht="17.25" thickBot="1">
      <c r="A95" s="220" t="s">
        <v>292</v>
      </c>
      <c r="B95" s="262" t="s">
        <v>49</v>
      </c>
      <c r="C95" s="264"/>
      <c r="D95" s="262" t="s">
        <v>58</v>
      </c>
      <c r="E95" s="263"/>
      <c r="F95" s="264"/>
      <c r="G95" s="265">
        <f>_xlfn.IFNA(VLOOKUP(B95, 현재가테이블!$B$2:$D$200, 2, FALSE), "-")</f>
        <v>40538000</v>
      </c>
      <c r="H95" s="266"/>
      <c r="I95" s="267"/>
      <c r="J95" s="262" t="s">
        <v>59</v>
      </c>
      <c r="K95" s="263"/>
      <c r="L95" s="264"/>
      <c r="M95" s="268">
        <f>_xlfn.IFNA(VLOOKUP(B95, 현재가테이블!$B$2:$D$200, 3, FALSE), "-")</f>
        <v>-3.68275993E-2</v>
      </c>
      <c r="N95" s="269"/>
      <c r="O95" s="270"/>
      <c r="Q95" s="261"/>
      <c r="R95" s="261"/>
      <c r="S95" s="261"/>
    </row>
    <row r="96" spans="1:19" ht="17.25" thickBot="1">
      <c r="A96" s="306" t="s">
        <v>55</v>
      </c>
      <c r="B96" s="302" t="str">
        <f>TEXT($G$1, "[$-ko-KR]yyyy-mm-dd(ddd) ") &amp; "오전 00:00"</f>
        <v>2021-06-16(수) 오전 00:00</v>
      </c>
      <c r="C96" s="303"/>
      <c r="D96" s="275" t="str">
        <f>TEXT($G$1, "[$-ko-KR]yyyy-mm-dd(ddd) ") &amp; "오후 14:00"</f>
        <v>2021-06-16(수) 오후 14:00</v>
      </c>
      <c r="E96" s="276"/>
      <c r="F96" s="277"/>
      <c r="G96" s="275" t="str">
        <f>TEXT($G$1, "[$-ko-KR]yyyy-mm-dd(ddd) ") &amp; "오후 19:00"</f>
        <v>2021-06-16(수) 오후 19:00</v>
      </c>
      <c r="H96" s="276"/>
      <c r="I96" s="277"/>
      <c r="J96" s="275" t="str">
        <f>TEXT($G$1, "[$-ko-KR]yyyy-mm-dd(ddd) ") &amp; "오후 21:00"</f>
        <v>2021-06-16(수) 오후 21:00</v>
      </c>
      <c r="K96" s="276"/>
      <c r="L96" s="277"/>
      <c r="M96" s="275" t="str">
        <f>TEXT($G$1+1, "[$-ko-KR]yyyy-mm-dd(ddd) ") &amp; "오전 00:00"</f>
        <v>2021-06-17(목) 오전 00:00</v>
      </c>
      <c r="N96" s="276"/>
      <c r="O96" s="277"/>
      <c r="Q96" s="261"/>
      <c r="R96" s="261"/>
      <c r="S96" s="261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1" t="s">
        <v>58</v>
      </c>
      <c r="H97" s="222" t="s">
        <v>293</v>
      </c>
      <c r="I97" s="22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1"/>
      <c r="R97" s="251"/>
      <c r="S97" s="251"/>
    </row>
    <row r="98" spans="1:19" ht="17.25" thickBot="1">
      <c r="A98" s="161" t="s">
        <v>246</v>
      </c>
      <c r="B98" s="124">
        <v>79.400000000000006</v>
      </c>
      <c r="C98" s="76">
        <v>0.31239669419999999</v>
      </c>
      <c r="D98" s="13">
        <v>63.9</v>
      </c>
      <c r="E98" s="14">
        <f>IF(ISNUMBER(D98), (D98 - $B98) / $B98, "")</f>
        <v>-0.19521410579345097</v>
      </c>
      <c r="F98" s="16">
        <f>IF(ISNUMBER(D98), $B118 * E98, "")</f>
        <v>-19521.410579345098</v>
      </c>
      <c r="G98" s="29">
        <v>61.7</v>
      </c>
      <c r="H98" s="14">
        <f>IF(ISNUMBER(G98), (G98 - $B98) / $B98, "")</f>
        <v>-0.22292191435768263</v>
      </c>
      <c r="I98" s="100">
        <f>IF(ISNUMBER(G98), $B118 * H98, "")</f>
        <v>-22292.191435768262</v>
      </c>
      <c r="J98" s="13">
        <v>59.7</v>
      </c>
      <c r="K98" s="14">
        <f>IF(ISNUMBER(J98), (J98 - $B98) / $B98, "")</f>
        <v>-0.24811083123425695</v>
      </c>
      <c r="L98" s="16">
        <f>IF(ISNUMBER(J98), $B118 * K98, "")</f>
        <v>-24811.083123425695</v>
      </c>
      <c r="M98" s="29">
        <v>61.9</v>
      </c>
      <c r="N98" s="14">
        <f>IF(ISNUMBER(M98), (M98 - $B98) / $B98, "")</f>
        <v>-0.22040302267002526</v>
      </c>
      <c r="O98" s="16">
        <f>IF(ISNUMBER(M98), $B118 * N98, "")</f>
        <v>-22040.302267002528</v>
      </c>
      <c r="Q98" s="261"/>
      <c r="R98" s="261"/>
      <c r="S98" s="261"/>
    </row>
    <row r="99" spans="1:19" ht="17.25" thickBot="1">
      <c r="A99" s="162" t="s">
        <v>197</v>
      </c>
      <c r="B99" s="126">
        <v>15.3</v>
      </c>
      <c r="C99" s="77">
        <v>0.2047244094</v>
      </c>
      <c r="D99" s="15">
        <v>16.2</v>
      </c>
      <c r="E99" s="32">
        <f t="shared" ref="E99:E102" si="46">IF(ISNUMBER(D99), (D99 - $B99) / $B99, "")</f>
        <v>5.8823529411764608E-2</v>
      </c>
      <c r="F99" s="18">
        <f>IF(ISNUMBER(D99), $B118 * E99, "")</f>
        <v>5882.3529411764612</v>
      </c>
      <c r="G99" s="31">
        <v>15.4</v>
      </c>
      <c r="H99" s="32">
        <f t="shared" ref="H99:H102" si="47">IF(ISNUMBER(G99), (G99 - $B99) / $B99, "")</f>
        <v>6.5359477124182774E-3</v>
      </c>
      <c r="I99" s="101">
        <f>IF(ISNUMBER(G99), $B118 * H99, "")</f>
        <v>653.59477124182774</v>
      </c>
      <c r="J99" s="15">
        <v>15</v>
      </c>
      <c r="K99" s="32">
        <f t="shared" ref="K99:K102" si="48">IF(ISNUMBER(J99), (J99 - $B99) / $B99, "")</f>
        <v>-1.9607843137254947E-2</v>
      </c>
      <c r="L99" s="18">
        <f>IF(ISNUMBER(J99), $B118 * K99, "")</f>
        <v>-1960.7843137254947</v>
      </c>
      <c r="M99" s="31">
        <v>14.7</v>
      </c>
      <c r="N99" s="32">
        <f t="shared" ref="N99:N102" si="49">IF(ISNUMBER(M99), (M99 - $B99) / $B99, "")</f>
        <v>-3.9215686274509894E-2</v>
      </c>
      <c r="O99" s="18">
        <f>IF(ISNUMBER(M99), $B118 * N99, "")</f>
        <v>-3921.5686274509894</v>
      </c>
      <c r="Q99" s="261"/>
      <c r="R99" s="261"/>
      <c r="S99" s="261"/>
    </row>
    <row r="100" spans="1:19" ht="17.25" thickBot="1">
      <c r="A100" s="162" t="s">
        <v>110</v>
      </c>
      <c r="B100" s="126">
        <v>1245</v>
      </c>
      <c r="C100" s="77">
        <v>9.2105263199999995E-2</v>
      </c>
      <c r="D100" s="15">
        <v>1245</v>
      </c>
      <c r="E100" s="32">
        <f t="shared" si="46"/>
        <v>0</v>
      </c>
      <c r="F100" s="18">
        <f>IF(ISNUMBER(D100), $B118 * E100, "")</f>
        <v>0</v>
      </c>
      <c r="G100" s="31">
        <v>1205</v>
      </c>
      <c r="H100" s="32">
        <f t="shared" si="47"/>
        <v>-3.2128514056224897E-2</v>
      </c>
      <c r="I100" s="101">
        <f>IF(ISNUMBER(G100), $B118 * H100, "")</f>
        <v>-3212.8514056224894</v>
      </c>
      <c r="J100" s="15">
        <v>1185</v>
      </c>
      <c r="K100" s="32">
        <f t="shared" si="48"/>
        <v>-4.8192771084337352E-2</v>
      </c>
      <c r="L100" s="18">
        <f>IF(ISNUMBER(J100), $B118 * K100, "")</f>
        <v>-4819.2771084337355</v>
      </c>
      <c r="M100" s="31">
        <v>1170</v>
      </c>
      <c r="N100" s="32">
        <f t="shared" si="49"/>
        <v>-6.0240963855421686E-2</v>
      </c>
      <c r="O100" s="18">
        <f>IF(ISNUMBER(M100), $B118 * N100, "")</f>
        <v>-6024.0963855421687</v>
      </c>
      <c r="Q100" s="251"/>
      <c r="R100" s="251"/>
      <c r="S100" s="251"/>
    </row>
    <row r="101" spans="1:19" ht="17.25" thickBot="1">
      <c r="A101" s="162" t="s">
        <v>212</v>
      </c>
      <c r="B101" s="126">
        <v>10.5</v>
      </c>
      <c r="C101" s="77">
        <v>8.9211618300000003E-2</v>
      </c>
      <c r="D101" s="15">
        <v>10.5</v>
      </c>
      <c r="E101" s="32">
        <f t="shared" si="46"/>
        <v>0</v>
      </c>
      <c r="F101" s="18">
        <f>IF(ISNUMBER(D101), $B118 * E101, "")</f>
        <v>0</v>
      </c>
      <c r="G101" s="31">
        <v>10.1</v>
      </c>
      <c r="H101" s="32">
        <f t="shared" si="47"/>
        <v>-3.8095238095238126E-2</v>
      </c>
      <c r="I101" s="101">
        <f>IF(ISNUMBER(G101), $B118 * H101, "")</f>
        <v>-3809.5238095238128</v>
      </c>
      <c r="J101" s="15">
        <v>9.56</v>
      </c>
      <c r="K101" s="32">
        <f t="shared" si="48"/>
        <v>-8.9523809523809478E-2</v>
      </c>
      <c r="L101" s="18">
        <f>IF(ISNUMBER(J101), $B118 * K101, "")</f>
        <v>-8952.3809523809487</v>
      </c>
      <c r="M101" s="31">
        <v>9.64</v>
      </c>
      <c r="N101" s="32">
        <f t="shared" si="49"/>
        <v>-8.1904761904761855E-2</v>
      </c>
      <c r="O101" s="18">
        <f>IF(ISNUMBER(M101), $B118 * N101, "")</f>
        <v>-8190.4761904761854</v>
      </c>
      <c r="Q101" s="251"/>
      <c r="R101" s="251"/>
      <c r="S101" s="251"/>
    </row>
    <row r="102" spans="1:19" ht="17.25" thickBot="1">
      <c r="A102" s="163" t="s">
        <v>225</v>
      </c>
      <c r="B102" s="128">
        <v>8.6300000000000008</v>
      </c>
      <c r="C102" s="78">
        <v>8.2810539500000002E-2</v>
      </c>
      <c r="D102" s="20">
        <v>8.83</v>
      </c>
      <c r="E102" s="21">
        <f t="shared" si="46"/>
        <v>2.3174971031286126E-2</v>
      </c>
      <c r="F102" s="22">
        <f>IF(ISNUMBER(D102), $B118 * E102, "")</f>
        <v>2317.4971031286127</v>
      </c>
      <c r="G102" s="30">
        <v>8.49</v>
      </c>
      <c r="H102" s="21">
        <f t="shared" si="47"/>
        <v>-1.6222479721900412E-2</v>
      </c>
      <c r="I102" s="105">
        <f>IF(ISNUMBER(G102), $B118 * H102, "")</f>
        <v>-1622.2479721900413</v>
      </c>
      <c r="J102" s="20">
        <v>8.19</v>
      </c>
      <c r="K102" s="21">
        <f t="shared" si="48"/>
        <v>-5.0984936268829807E-2</v>
      </c>
      <c r="L102" s="22">
        <f>IF(ISNUMBER(J102), $B118 * K102, "")</f>
        <v>-5098.4936268829806</v>
      </c>
      <c r="M102" s="30">
        <v>8.14</v>
      </c>
      <c r="N102" s="21">
        <f t="shared" si="49"/>
        <v>-5.6778679026651235E-2</v>
      </c>
      <c r="O102" s="22">
        <f>IF(ISNUMBER(M102), $B118 * N102, "")</f>
        <v>-5677.8679026651234</v>
      </c>
      <c r="Q102" s="251"/>
      <c r="R102" s="251"/>
      <c r="S102" s="251"/>
    </row>
    <row r="103" spans="1:19" ht="17.25" thickBot="1">
      <c r="A103" s="162" t="s">
        <v>219</v>
      </c>
      <c r="B103" s="129">
        <v>9.0299999999999994</v>
      </c>
      <c r="C103" s="80">
        <v>6.9905213300000005E-2</v>
      </c>
      <c r="D103" s="106">
        <v>8.8800000000000008</v>
      </c>
      <c r="E103" s="107">
        <f>IF(ISNUMBER(D103), (D103 - $B103) / $B103, "")</f>
        <v>-1.6611295681062968E-2</v>
      </c>
      <c r="F103" s="108">
        <f>IF(ISNUMBER(D103), $B118 * E103, "")</f>
        <v>-1661.1295681062968</v>
      </c>
      <c r="G103" s="109">
        <v>8.5</v>
      </c>
      <c r="H103" s="107">
        <f>IF(ISNUMBER(G103), (G103 - $B103) / $B103, "")</f>
        <v>-5.8693244739756303E-2</v>
      </c>
      <c r="I103" s="110">
        <f>IF(ISNUMBER(G103), $B118 * H103, "")</f>
        <v>-5869.3244739756301</v>
      </c>
      <c r="J103" s="106">
        <v>8.49</v>
      </c>
      <c r="K103" s="107">
        <f>IF(ISNUMBER(J103), (J103 - $B103) / $B103, "")</f>
        <v>-5.9800664451827155E-2</v>
      </c>
      <c r="L103" s="108">
        <f>IF(ISNUMBER(J103), $B118 * K103, "")</f>
        <v>-5980.0664451827151</v>
      </c>
      <c r="M103" s="109">
        <v>8.35</v>
      </c>
      <c r="N103" s="107">
        <f>IF(ISNUMBER(M103), (M103 - $B103) / $B103, "")</f>
        <v>-7.5304540420819466E-2</v>
      </c>
      <c r="O103" s="108">
        <f>IF(ISNUMBER(M103), $B118 * N103, "")</f>
        <v>-7530.4540420819467</v>
      </c>
      <c r="Q103" s="251"/>
      <c r="R103" s="251"/>
      <c r="S103" s="251"/>
    </row>
    <row r="104" spans="1:19" ht="17.25" thickBot="1">
      <c r="A104" s="162" t="s">
        <v>173</v>
      </c>
      <c r="B104" s="126">
        <v>128</v>
      </c>
      <c r="C104" s="77">
        <v>6.6666666700000002E-2</v>
      </c>
      <c r="D104" s="15">
        <v>132</v>
      </c>
      <c r="E104" s="32">
        <f t="shared" ref="E104:E107" si="50">IF(ISNUMBER(D104), (D104 - $B104) / $B104, "")</f>
        <v>3.125E-2</v>
      </c>
      <c r="F104" s="18">
        <f>IF(ISNUMBER(D104), $B118 * E104, "")</f>
        <v>3125</v>
      </c>
      <c r="G104" s="31">
        <v>126</v>
      </c>
      <c r="H104" s="32">
        <f t="shared" ref="H104:H107" si="51">IF(ISNUMBER(G104), (G104 - $B104) / $B104, "")</f>
        <v>-1.5625E-2</v>
      </c>
      <c r="I104" s="101">
        <f>IF(ISNUMBER(G104), $B118 * H104, "")</f>
        <v>-1562.5</v>
      </c>
      <c r="J104" s="15">
        <v>122</v>
      </c>
      <c r="K104" s="32">
        <f t="shared" ref="K104:K107" si="52">IF(ISNUMBER(J104), (J104 - $B104) / $B104, "")</f>
        <v>-4.6875E-2</v>
      </c>
      <c r="L104" s="18">
        <f>IF(ISNUMBER(J104), $B118 * K104, "")</f>
        <v>-4687.5</v>
      </c>
      <c r="M104" s="31">
        <v>121</v>
      </c>
      <c r="N104" s="32">
        <f t="shared" ref="N104:N107" si="53">IF(ISNUMBER(M104), (M104 - $B104) / $B104, "")</f>
        <v>-5.46875E-2</v>
      </c>
      <c r="O104" s="18">
        <f>IF(ISNUMBER(M104), $B118 * N104, "")</f>
        <v>-5468.75</v>
      </c>
      <c r="Q104" s="251"/>
      <c r="R104" s="251"/>
      <c r="S104" s="251"/>
    </row>
    <row r="105" spans="1:19" ht="17.25" thickBot="1">
      <c r="A105" s="162" t="s">
        <v>195</v>
      </c>
      <c r="B105" s="126">
        <v>9.16</v>
      </c>
      <c r="C105" s="77">
        <v>6.3879210199999995E-2</v>
      </c>
      <c r="D105" s="15">
        <v>9.42</v>
      </c>
      <c r="E105" s="32">
        <f t="shared" si="50"/>
        <v>2.8384279475982509E-2</v>
      </c>
      <c r="F105" s="18">
        <f>IF(ISNUMBER(D105), $B118 * E105, "")</f>
        <v>2838.4279475982507</v>
      </c>
      <c r="G105" s="31">
        <v>8.9499999999999993</v>
      </c>
      <c r="H105" s="32">
        <f t="shared" si="51"/>
        <v>-2.292576419213983E-2</v>
      </c>
      <c r="I105" s="101">
        <f>IF(ISNUMBER(G105), $B118 * H105, "")</f>
        <v>-2292.5764192139832</v>
      </c>
      <c r="J105" s="15">
        <v>8.69</v>
      </c>
      <c r="K105" s="32">
        <f t="shared" si="52"/>
        <v>-5.1310043668122342E-2</v>
      </c>
      <c r="L105" s="18">
        <f>IF(ISNUMBER(J105), $B118 * K105, "")</f>
        <v>-5131.0043668122344</v>
      </c>
      <c r="M105" s="31">
        <v>8.61</v>
      </c>
      <c r="N105" s="32">
        <f t="shared" si="53"/>
        <v>-6.004366812227082E-2</v>
      </c>
      <c r="O105" s="18">
        <f>IF(ISNUMBER(M105), $B118 * N105, "")</f>
        <v>-6004.3668122270819</v>
      </c>
      <c r="Q105" s="251"/>
      <c r="R105" s="251"/>
      <c r="S105" s="251"/>
    </row>
    <row r="106" spans="1:19" ht="17.25" thickBot="1">
      <c r="A106" s="162" t="s">
        <v>277</v>
      </c>
      <c r="B106" s="126">
        <v>63.2</v>
      </c>
      <c r="C106" s="77">
        <v>6.0402684599999999E-2</v>
      </c>
      <c r="D106" s="15">
        <v>57.7</v>
      </c>
      <c r="E106" s="32">
        <f t="shared" si="50"/>
        <v>-8.7025316455696194E-2</v>
      </c>
      <c r="F106" s="18">
        <f>IF(ISNUMBER(D106), $B118 * E106, "")</f>
        <v>-8702.5316455696193</v>
      </c>
      <c r="G106" s="31">
        <v>55.9</v>
      </c>
      <c r="H106" s="32">
        <f t="shared" si="51"/>
        <v>-0.11550632911392411</v>
      </c>
      <c r="I106" s="101">
        <f>IF(ISNUMBER(G106), $B118 * H106, "")</f>
        <v>-11550.632911392411</v>
      </c>
      <c r="J106" s="15">
        <v>54.3</v>
      </c>
      <c r="K106" s="32">
        <f t="shared" si="52"/>
        <v>-0.14082278481012667</v>
      </c>
      <c r="L106" s="18">
        <f>IF(ISNUMBER(J106), $B118 * K106, "")</f>
        <v>-14082.278481012667</v>
      </c>
      <c r="M106" s="31">
        <v>55.2</v>
      </c>
      <c r="N106" s="32">
        <f t="shared" si="53"/>
        <v>-0.12658227848101264</v>
      </c>
      <c r="O106" s="18">
        <f>IF(ISNUMBER(M106), $B118 * N106, "")</f>
        <v>-12658.227848101264</v>
      </c>
      <c r="Q106" s="33"/>
      <c r="R106" s="33"/>
    </row>
    <row r="107" spans="1:19" ht="17.25" thickBot="1">
      <c r="A107" s="130" t="s">
        <v>54</v>
      </c>
      <c r="B107" s="131">
        <v>246</v>
      </c>
      <c r="C107" s="79">
        <v>4.6808510599999999E-2</v>
      </c>
      <c r="D107" s="24">
        <v>241</v>
      </c>
      <c r="E107" s="25">
        <f t="shared" si="50"/>
        <v>-2.032520325203252E-2</v>
      </c>
      <c r="F107" s="104">
        <f>IF(ISNUMBER(D107), $B118 * E107, "")</f>
        <v>-2032.520325203252</v>
      </c>
      <c r="G107" s="102">
        <v>237</v>
      </c>
      <c r="H107" s="25">
        <f t="shared" si="51"/>
        <v>-3.6585365853658534E-2</v>
      </c>
      <c r="I107" s="103">
        <f>IF(ISNUMBER(G107), $B118 * H107, "")</f>
        <v>-3658.5365853658536</v>
      </c>
      <c r="J107" s="24">
        <v>231</v>
      </c>
      <c r="K107" s="25">
        <f t="shared" si="52"/>
        <v>-6.097560975609756E-2</v>
      </c>
      <c r="L107" s="104">
        <f>IF(ISNUMBER(J107), $B118 * K107, "")</f>
        <v>-6097.5609756097556</v>
      </c>
      <c r="M107" s="102">
        <v>229</v>
      </c>
      <c r="N107" s="25">
        <f t="shared" si="53"/>
        <v>-6.910569105691057E-2</v>
      </c>
      <c r="O107" s="104">
        <f>IF(ISNUMBER(M107), $B118 * N107, "")</f>
        <v>-6910.5691056910573</v>
      </c>
      <c r="Q107" s="252"/>
      <c r="R107" s="253"/>
      <c r="S107" s="254"/>
    </row>
    <row r="108" spans="1:19">
      <c r="A108" s="161" t="s">
        <v>154</v>
      </c>
      <c r="B108" s="124">
        <v>9.09</v>
      </c>
      <c r="C108" s="76">
        <v>4.4827586199999998E-2</v>
      </c>
      <c r="D108" s="13">
        <v>9.2200000000000006</v>
      </c>
      <c r="E108" s="14">
        <f>IF(ISNUMBER(D108), (D108 - $B108) / $B108, "")</f>
        <v>1.4301430143014387E-2</v>
      </c>
      <c r="F108" s="16">
        <f>IF(ISNUMBER(D108), $B118 * E108, "")</f>
        <v>1430.1430143014388</v>
      </c>
      <c r="G108" s="29">
        <v>8.93</v>
      </c>
      <c r="H108" s="14">
        <f>IF(ISNUMBER(G108), (G108 - $B108) / $B108, "")</f>
        <v>-1.7601760176017618E-2</v>
      </c>
      <c r="I108" s="100">
        <f>IF(ISNUMBER(G108), $B118 * H108, "")</f>
        <v>-1760.1760176017617</v>
      </c>
      <c r="J108" s="13">
        <v>8.6199999999999992</v>
      </c>
      <c r="K108" s="14">
        <f>IF(ISNUMBER(J108), (J108 - $B108) / $B108, "")</f>
        <v>-5.1705170517051778E-2</v>
      </c>
      <c r="L108" s="16">
        <f>IF(ISNUMBER(J108), $B118 * K108, "")</f>
        <v>-5170.5170517051774</v>
      </c>
      <c r="M108" s="29">
        <v>8.67</v>
      </c>
      <c r="N108" s="14">
        <f>IF(ISNUMBER(M108), (M108 - $B108) / $B108, "")</f>
        <v>-4.6204620462046195E-2</v>
      </c>
      <c r="O108" s="16">
        <f>IF(ISNUMBER(M108), $B118 * N108, "")</f>
        <v>-4620.4620462046196</v>
      </c>
      <c r="Q108" s="255"/>
      <c r="R108" s="256"/>
      <c r="S108" s="257"/>
    </row>
    <row r="109" spans="1:19" ht="17.25" thickBot="1">
      <c r="A109" s="162" t="s">
        <v>261</v>
      </c>
      <c r="B109" s="126">
        <v>56.3</v>
      </c>
      <c r="C109" s="77">
        <v>4.0665434399999999E-2</v>
      </c>
      <c r="D109" s="15">
        <v>55.1</v>
      </c>
      <c r="E109" s="32">
        <f t="shared" ref="E109:E112" si="54">IF(ISNUMBER(D109), (D109 - $B109) / $B109, "")</f>
        <v>-2.1314387211367598E-2</v>
      </c>
      <c r="F109" s="18">
        <f>IF(ISNUMBER(D109), $B118 * E109, "")</f>
        <v>-2131.4387211367598</v>
      </c>
      <c r="G109" s="31">
        <v>54.5</v>
      </c>
      <c r="H109" s="32">
        <f t="shared" ref="H109:H112" si="55">IF(ISNUMBER(G109), (G109 - $B109) / $B109, "")</f>
        <v>-3.1971580817051461E-2</v>
      </c>
      <c r="I109" s="101">
        <f>IF(ISNUMBER(G109), $B118 * H109, "")</f>
        <v>-3197.1580817051463</v>
      </c>
      <c r="J109" s="15">
        <v>53.2</v>
      </c>
      <c r="K109" s="32">
        <f t="shared" ref="K109:K112" si="56">IF(ISNUMBER(J109), (J109 - $B109) / $B109, "")</f>
        <v>-5.5062166962699721E-2</v>
      </c>
      <c r="L109" s="18">
        <f>IF(ISNUMBER(J109), $B118 * K109, "")</f>
        <v>-5506.2166962699721</v>
      </c>
      <c r="M109" s="31">
        <v>53</v>
      </c>
      <c r="N109" s="32">
        <f t="shared" ref="N109:N112" si="57">IF(ISNUMBER(M109), (M109 - $B109) / $B109, "")</f>
        <v>-5.8614564831261054E-2</v>
      </c>
      <c r="O109" s="18">
        <f>IF(ISNUMBER(M109), $B118 * N109, "")</f>
        <v>-5861.456483126105</v>
      </c>
      <c r="Q109" s="258"/>
      <c r="R109" s="259"/>
      <c r="S109" s="260"/>
    </row>
    <row r="110" spans="1:19" ht="17.25" thickBot="1">
      <c r="A110" s="162" t="s">
        <v>199</v>
      </c>
      <c r="B110" s="126">
        <v>168</v>
      </c>
      <c r="C110" s="77">
        <v>3.7037037000000002E-2</v>
      </c>
      <c r="D110" s="15">
        <v>176</v>
      </c>
      <c r="E110" s="32">
        <f t="shared" si="54"/>
        <v>4.7619047619047616E-2</v>
      </c>
      <c r="F110" s="18">
        <f>IF(ISNUMBER(D110), $B118 * E110, "")</f>
        <v>4761.9047619047615</v>
      </c>
      <c r="G110" s="31">
        <v>175</v>
      </c>
      <c r="H110" s="32">
        <f t="shared" si="55"/>
        <v>4.1666666666666664E-2</v>
      </c>
      <c r="I110" s="101">
        <f>IF(ISNUMBER(G110), $B118 * H110, "")</f>
        <v>4166.6666666666661</v>
      </c>
      <c r="J110" s="15">
        <v>170</v>
      </c>
      <c r="K110" s="32">
        <f t="shared" si="56"/>
        <v>1.1904761904761904E-2</v>
      </c>
      <c r="L110" s="18">
        <f>IF(ISNUMBER(J110), $B118 * K110, "")</f>
        <v>1190.4761904761904</v>
      </c>
      <c r="M110" s="31">
        <v>171</v>
      </c>
      <c r="N110" s="32">
        <f t="shared" si="57"/>
        <v>1.7857142857142856E-2</v>
      </c>
      <c r="O110" s="18">
        <f>IF(ISNUMBER(M110), $B118 * N110, "")</f>
        <v>1785.7142857142856</v>
      </c>
      <c r="Q110" s="251"/>
      <c r="R110" s="251"/>
      <c r="S110" s="251"/>
    </row>
    <row r="111" spans="1:19" ht="17.25" thickBot="1">
      <c r="A111" s="162" t="s">
        <v>171</v>
      </c>
      <c r="B111" s="126">
        <v>5.19</v>
      </c>
      <c r="C111" s="77">
        <v>3.5928143699999998E-2</v>
      </c>
      <c r="D111" s="15">
        <v>5.0599999999999996</v>
      </c>
      <c r="E111" s="32">
        <f t="shared" si="54"/>
        <v>-2.5048169556840225E-2</v>
      </c>
      <c r="F111" s="18">
        <f>IF(ISNUMBER(D111), $B118 * E111, "")</f>
        <v>-2504.8169556840226</v>
      </c>
      <c r="G111" s="31">
        <v>4.8600000000000003</v>
      </c>
      <c r="H111" s="32">
        <f t="shared" si="55"/>
        <v>-6.3583815028901744E-2</v>
      </c>
      <c r="I111" s="101">
        <f>IF(ISNUMBER(G111), $B118 * H111, "")</f>
        <v>-6358.3815028901745</v>
      </c>
      <c r="J111" s="15">
        <v>4.7300000000000004</v>
      </c>
      <c r="K111" s="32">
        <f t="shared" si="56"/>
        <v>-8.8631984585741799E-2</v>
      </c>
      <c r="L111" s="18">
        <f>IF(ISNUMBER(J111), $B118 * K111, "")</f>
        <v>-8863.1984585741793</v>
      </c>
      <c r="M111" s="31">
        <v>4.82</v>
      </c>
      <c r="N111" s="32">
        <f t="shared" si="57"/>
        <v>-7.1290944123314076E-2</v>
      </c>
      <c r="O111" s="18">
        <f>IF(ISNUMBER(M111), $B118 * N111, "")</f>
        <v>-7129.0944123314075</v>
      </c>
      <c r="Q111" s="261"/>
      <c r="R111" s="261"/>
      <c r="S111" s="261"/>
    </row>
    <row r="112" spans="1:19" ht="17.25" thickBot="1">
      <c r="A112" s="163" t="s">
        <v>122</v>
      </c>
      <c r="B112" s="128">
        <v>24.2</v>
      </c>
      <c r="C112" s="78">
        <v>3.4188034200000002E-2</v>
      </c>
      <c r="D112" s="20">
        <v>25</v>
      </c>
      <c r="E112" s="21">
        <f t="shared" si="54"/>
        <v>3.305785123966945E-2</v>
      </c>
      <c r="F112" s="22">
        <f>IF(ISNUMBER(D112), $B118 * E112, "")</f>
        <v>3305.7851239669449</v>
      </c>
      <c r="G112" s="30">
        <v>24.6</v>
      </c>
      <c r="H112" s="21">
        <f t="shared" si="55"/>
        <v>1.6528925619834798E-2</v>
      </c>
      <c r="I112" s="105">
        <f>IF(ISNUMBER(G112), $B118 * H112, "")</f>
        <v>1652.8925619834797</v>
      </c>
      <c r="J112" s="20">
        <v>23.8</v>
      </c>
      <c r="K112" s="21">
        <f t="shared" si="56"/>
        <v>-1.6528925619834652E-2</v>
      </c>
      <c r="L112" s="22">
        <f>IF(ISNUMBER(J112), $B118 * K112, "")</f>
        <v>-1652.8925619834652</v>
      </c>
      <c r="M112" s="30">
        <v>23.6</v>
      </c>
      <c r="N112" s="21">
        <f t="shared" si="57"/>
        <v>-2.479338842975198E-2</v>
      </c>
      <c r="O112" s="22">
        <f>IF(ISNUMBER(M112), $B118 * N112, "")</f>
        <v>-2479.3388429751981</v>
      </c>
      <c r="Q112" s="261"/>
      <c r="R112" s="261"/>
      <c r="S112" s="261"/>
    </row>
    <row r="113" spans="1:19" ht="17.25" thickBot="1">
      <c r="A113" s="162" t="s">
        <v>251</v>
      </c>
      <c r="B113" s="129">
        <v>150</v>
      </c>
      <c r="C113" s="80">
        <v>2.73972603E-2</v>
      </c>
      <c r="D113" s="106">
        <v>148</v>
      </c>
      <c r="E113" s="107">
        <f>IF(ISNUMBER(D113), (D113 - $B113) / $B113, "")</f>
        <v>-1.3333333333333334E-2</v>
      </c>
      <c r="F113" s="108">
        <f>IF(ISNUMBER(D113), $B118 * E113, "")</f>
        <v>-1333.3333333333335</v>
      </c>
      <c r="G113" s="109">
        <v>148</v>
      </c>
      <c r="H113" s="107">
        <f>IF(ISNUMBER(G113), (G113 - $B113) / $B113, "")</f>
        <v>-1.3333333333333334E-2</v>
      </c>
      <c r="I113" s="110">
        <f>IF(ISNUMBER(G113), $B118 * H113, "")</f>
        <v>-1333.3333333333335</v>
      </c>
      <c r="J113" s="106">
        <v>143</v>
      </c>
      <c r="K113" s="107">
        <f>IF(ISNUMBER(J113), (J113 - $B113) / $B113, "")</f>
        <v>-4.6666666666666669E-2</v>
      </c>
      <c r="L113" s="108">
        <f>IF(ISNUMBER(J113), $B118 * K113, "")</f>
        <v>-4666.666666666667</v>
      </c>
      <c r="M113" s="109">
        <v>144</v>
      </c>
      <c r="N113" s="107">
        <f>IF(ISNUMBER(M113), (M113 - $B113) / $B113, "")</f>
        <v>-0.04</v>
      </c>
      <c r="O113" s="108">
        <f>IF(ISNUMBER(M113), $B118 * N113, "")</f>
        <v>-4000</v>
      </c>
      <c r="Q113" s="251"/>
      <c r="R113" s="251"/>
      <c r="S113" s="251"/>
    </row>
    <row r="114" spans="1:19" ht="17.25" thickBot="1">
      <c r="A114" s="162" t="s">
        <v>163</v>
      </c>
      <c r="B114" s="126">
        <v>18460</v>
      </c>
      <c r="C114" s="77">
        <v>2.7267668299999999E-2</v>
      </c>
      <c r="D114" s="15">
        <v>19220</v>
      </c>
      <c r="E114" s="32">
        <f t="shared" ref="E114:E117" si="58">IF(ISNUMBER(D114), (D114 - $B114) / $B114, "")</f>
        <v>4.1170097508125676E-2</v>
      </c>
      <c r="F114" s="18">
        <f>IF(ISNUMBER(D114), $B118 * E114, "")</f>
        <v>4117.0097508125673</v>
      </c>
      <c r="G114" s="31">
        <v>19460</v>
      </c>
      <c r="H114" s="32">
        <f t="shared" ref="H114:H117" si="59">IF(ISNUMBER(G114), (G114 - $B114) / $B114, "")</f>
        <v>5.4171180931744313E-2</v>
      </c>
      <c r="I114" s="101">
        <f>IF(ISNUMBER(G114), $B118 * H114, "")</f>
        <v>5417.1180931744311</v>
      </c>
      <c r="J114" s="15">
        <v>18870</v>
      </c>
      <c r="K114" s="32">
        <f t="shared" ref="K114:K117" si="60">IF(ISNUMBER(J114), (J114 - $B114) / $B114, "")</f>
        <v>2.2210184182015168E-2</v>
      </c>
      <c r="L114" s="18">
        <f>IF(ISNUMBER(J114), $B118 * K114, "")</f>
        <v>2221.0184182015169</v>
      </c>
      <c r="M114" s="31">
        <v>19910</v>
      </c>
      <c r="N114" s="32">
        <f t="shared" ref="N114:N117" si="61">IF(ISNUMBER(M114), (M114 - $B114) / $B114, "")</f>
        <v>7.8548212351029253E-2</v>
      </c>
      <c r="O114" s="18">
        <f>IF(ISNUMBER(M114), $B118 * N114, "")</f>
        <v>7854.8212351029251</v>
      </c>
      <c r="Q114" s="251"/>
      <c r="R114" s="251"/>
      <c r="S114" s="251"/>
    </row>
    <row r="115" spans="1:19" ht="17.25" thickBot="1">
      <c r="A115" s="162" t="s">
        <v>80</v>
      </c>
      <c r="B115" s="126">
        <v>793</v>
      </c>
      <c r="C115" s="77">
        <v>2.72020725E-2</v>
      </c>
      <c r="D115" s="15">
        <v>785</v>
      </c>
      <c r="E115" s="32">
        <f t="shared" si="58"/>
        <v>-1.0088272383354351E-2</v>
      </c>
      <c r="F115" s="18">
        <f>IF(ISNUMBER(D115), $B118 * E115, "")</f>
        <v>-1008.827238335435</v>
      </c>
      <c r="G115" s="31">
        <v>782</v>
      </c>
      <c r="H115" s="32">
        <f t="shared" si="59"/>
        <v>-1.3871374527112233E-2</v>
      </c>
      <c r="I115" s="101">
        <f>IF(ISNUMBER(G115), $B118 * H115, "")</f>
        <v>-1387.1374527112232</v>
      </c>
      <c r="J115" s="15">
        <v>770</v>
      </c>
      <c r="K115" s="32">
        <f t="shared" si="60"/>
        <v>-2.9003783102143757E-2</v>
      </c>
      <c r="L115" s="18">
        <f>IF(ISNUMBER(J115), $B118 * K115, "")</f>
        <v>-2900.3783102143757</v>
      </c>
      <c r="M115" s="31">
        <v>769</v>
      </c>
      <c r="N115" s="32">
        <f t="shared" si="61"/>
        <v>-3.0264817150063052E-2</v>
      </c>
      <c r="O115" s="18">
        <f>IF(ISNUMBER(M115), $B118 * N115, "")</f>
        <v>-3026.481715006305</v>
      </c>
      <c r="Q115" s="251"/>
      <c r="R115" s="251"/>
      <c r="S115" s="251"/>
    </row>
    <row r="116" spans="1:19">
      <c r="A116" s="162" t="s">
        <v>263</v>
      </c>
      <c r="B116" s="126">
        <v>30.2</v>
      </c>
      <c r="C116" s="77">
        <v>2.3728813599999999E-2</v>
      </c>
      <c r="D116" s="15">
        <v>28</v>
      </c>
      <c r="E116" s="32">
        <f t="shared" si="58"/>
        <v>-7.2847682119205281E-2</v>
      </c>
      <c r="F116" s="18">
        <f>IF(ISNUMBER(D116), $B118 * E116, "")</f>
        <v>-7284.7682119205283</v>
      </c>
      <c r="G116" s="31">
        <v>26.7</v>
      </c>
      <c r="H116" s="32">
        <f t="shared" si="59"/>
        <v>-0.11589403973509935</v>
      </c>
      <c r="I116" s="101">
        <f>IF(ISNUMBER(G116), $B118 * H116, "")</f>
        <v>-11589.403973509934</v>
      </c>
      <c r="J116" s="15">
        <v>26.4</v>
      </c>
      <c r="K116" s="32">
        <f t="shared" si="60"/>
        <v>-0.12582781456953646</v>
      </c>
      <c r="L116" s="18">
        <f>IF(ISNUMBER(J116), $B118 * K116, "")</f>
        <v>-12582.781456953646</v>
      </c>
      <c r="M116" s="31">
        <v>26.7</v>
      </c>
      <c r="N116" s="32">
        <f t="shared" si="61"/>
        <v>-0.11589403973509935</v>
      </c>
      <c r="O116" s="18">
        <f>IF(ISNUMBER(M116), $B118 * N116, "")</f>
        <v>-11589.403973509934</v>
      </c>
      <c r="Q116" s="240"/>
      <c r="R116" s="241"/>
      <c r="S116" s="242"/>
    </row>
    <row r="117" spans="1:19" ht="17.25" thickBot="1">
      <c r="A117" s="130" t="s">
        <v>210</v>
      </c>
      <c r="B117" s="131">
        <v>58.2</v>
      </c>
      <c r="C117" s="79">
        <v>2.10526316E-2</v>
      </c>
      <c r="D117" s="24">
        <v>58.6</v>
      </c>
      <c r="E117" s="25">
        <f t="shared" si="58"/>
        <v>6.8728522336769515E-3</v>
      </c>
      <c r="F117" s="104">
        <f>IF(ISNUMBER(D117), $B118 * E117, "")</f>
        <v>687.28522336769515</v>
      </c>
      <c r="G117" s="102">
        <v>55.6</v>
      </c>
      <c r="H117" s="25">
        <f t="shared" si="59"/>
        <v>-4.4673539518900365E-2</v>
      </c>
      <c r="I117" s="103">
        <f>IF(ISNUMBER(G117), $B118 * H117, "")</f>
        <v>-4467.3539518900361</v>
      </c>
      <c r="J117" s="24">
        <v>54.8</v>
      </c>
      <c r="K117" s="25">
        <f t="shared" si="60"/>
        <v>-5.8419243986254393E-2</v>
      </c>
      <c r="L117" s="104">
        <f>IF(ISNUMBER(J117), $B118 * K117, "")</f>
        <v>-5841.9243986254396</v>
      </c>
      <c r="M117" s="102">
        <v>54</v>
      </c>
      <c r="N117" s="25">
        <f t="shared" si="61"/>
        <v>-7.2164948453608296E-2</v>
      </c>
      <c r="O117" s="104">
        <f>IF(ISNUMBER(M117), $B118 * N117, "")</f>
        <v>-7216.4948453608295</v>
      </c>
      <c r="Q117" s="243"/>
      <c r="R117" s="244"/>
      <c r="S117" s="245"/>
    </row>
    <row r="118" spans="1:19" ht="17.25" thickBot="1">
      <c r="A118" s="132" t="s">
        <v>295</v>
      </c>
      <c r="B118" s="304">
        <f>$B$37</f>
        <v>100000</v>
      </c>
      <c r="C118" s="305"/>
      <c r="D118" s="26" t="s">
        <v>296</v>
      </c>
      <c r="E118" s="27">
        <f>IF(COUNT(E98:E117), SUM(E98:E117) / COUNT(E98:E117), 0)</f>
        <v>-8.8576853561888082E-3</v>
      </c>
      <c r="F118" s="28">
        <f>SUM(F98:F117)</f>
        <v>-17715.370712377608</v>
      </c>
      <c r="G118" s="26" t="s">
        <v>296</v>
      </c>
      <c r="H118" s="27">
        <f>IF(COUNT(H98:H117), SUM(H98:H117) / COUNT(H98:H117), 0)</f>
        <v>-3.7036528616813849E-2</v>
      </c>
      <c r="I118" s="28">
        <f>SUM(I98:I117)</f>
        <v>-74073.057233627682</v>
      </c>
      <c r="J118" s="26" t="s">
        <v>296</v>
      </c>
      <c r="K118" s="27">
        <f>IF(COUNT(K98:K117), SUM(K98:K117) / COUNT(K98:K117), 0)</f>
        <v>-6.269675519289071E-2</v>
      </c>
      <c r="L118" s="28">
        <f>SUM(L98:L117)</f>
        <v>-125393.51038578144</v>
      </c>
      <c r="M118" s="26" t="s">
        <v>296</v>
      </c>
      <c r="N118" s="27">
        <f>IF(COUNT(N98:N117), SUM(N98:N117) / COUNT(N98:N117), 0)</f>
        <v>-6.0354437989467768E-2</v>
      </c>
      <c r="O118" s="28">
        <f>SUM(O98:O117)</f>
        <v>-120708.87597893552</v>
      </c>
      <c r="Q118" s="246"/>
      <c r="R118" s="247"/>
      <c r="S118" s="248"/>
    </row>
    <row r="120" spans="1:19" ht="17.25" thickBot="1"/>
    <row r="121" spans="1:19" ht="17.25" thickBot="1">
      <c r="A121" s="262" t="s">
        <v>283</v>
      </c>
      <c r="B121" s="263"/>
      <c r="C121" s="263"/>
      <c r="D121" s="263"/>
      <c r="E121" s="263"/>
      <c r="F121" s="263"/>
      <c r="G121" s="263"/>
      <c r="H121" s="263"/>
      <c r="I121" s="263"/>
      <c r="J121" s="263"/>
      <c r="K121" s="263"/>
      <c r="L121" s="263"/>
      <c r="M121" s="263"/>
      <c r="N121" s="263"/>
      <c r="O121" s="264"/>
      <c r="Q121" s="261"/>
      <c r="R121" s="261"/>
      <c r="S121" s="261"/>
    </row>
    <row r="122" spans="1:19" ht="17.25" thickBot="1">
      <c r="A122" s="220" t="s">
        <v>292</v>
      </c>
      <c r="B122" s="262" t="s">
        <v>49</v>
      </c>
      <c r="C122" s="264"/>
      <c r="D122" s="262" t="s">
        <v>58</v>
      </c>
      <c r="E122" s="263"/>
      <c r="F122" s="264"/>
      <c r="G122" s="265">
        <f>_xlfn.IFNA(VLOOKUP(B122, 현재가테이블!$B$2:$D$200, 2, FALSE), "-")</f>
        <v>40538000</v>
      </c>
      <c r="H122" s="266"/>
      <c r="I122" s="267"/>
      <c r="J122" s="262" t="s">
        <v>59</v>
      </c>
      <c r="K122" s="263"/>
      <c r="L122" s="264"/>
      <c r="M122" s="268">
        <f>_xlfn.IFNA(VLOOKUP(B122, 현재가테이블!$B$2:$D$200, 3, FALSE), "-")</f>
        <v>-3.68275993E-2</v>
      </c>
      <c r="N122" s="269"/>
      <c r="O122" s="270"/>
      <c r="Q122" s="261"/>
      <c r="R122" s="261"/>
      <c r="S122" s="261"/>
    </row>
    <row r="123" spans="1:19" ht="17.25" thickBot="1">
      <c r="A123" s="306" t="s">
        <v>55</v>
      </c>
      <c r="B123" s="302" t="str">
        <f>TEXT($G$1, "[$-ko-KR]yyyy-mm-dd(ddd) ") &amp; "오전 00:00"</f>
        <v>2021-06-16(수) 오전 00:00</v>
      </c>
      <c r="C123" s="303"/>
      <c r="D123" s="275" t="str">
        <f>TEXT($G$1, "[$-ko-KR]yyyy-mm-dd(ddd) ") &amp; "오후 14:00"</f>
        <v>2021-06-16(수) 오후 14:00</v>
      </c>
      <c r="E123" s="276"/>
      <c r="F123" s="277"/>
      <c r="G123" s="275" t="str">
        <f>TEXT($G$1, "[$-ko-KR]yyyy-mm-dd(ddd) ") &amp; "오후 19:00"</f>
        <v>2021-06-16(수) 오후 19:00</v>
      </c>
      <c r="H123" s="276"/>
      <c r="I123" s="277"/>
      <c r="J123" s="275" t="str">
        <f>TEXT($G$1, "[$-ko-KR]yyyy-mm-dd(ddd) ") &amp; "오후 21:00"</f>
        <v>2021-06-16(수) 오후 21:00</v>
      </c>
      <c r="K123" s="276"/>
      <c r="L123" s="277"/>
      <c r="M123" s="275" t="str">
        <f>TEXT($G$1+1, "[$-ko-KR]yyyy-mm-dd(ddd) ") &amp; "오전 00:00"</f>
        <v>2021-06-17(목) 오전 00:00</v>
      </c>
      <c r="N123" s="276"/>
      <c r="O123" s="277"/>
      <c r="Q123" s="261"/>
      <c r="R123" s="261"/>
      <c r="S123" s="261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1" t="s">
        <v>58</v>
      </c>
      <c r="H124" s="222" t="s">
        <v>293</v>
      </c>
      <c r="I124" s="22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1"/>
      <c r="R124" s="251"/>
      <c r="S124" s="251"/>
    </row>
    <row r="125" spans="1:19" ht="17.25" thickBot="1">
      <c r="A125" s="161" t="s">
        <v>215</v>
      </c>
      <c r="B125" s="124">
        <v>6.12</v>
      </c>
      <c r="C125" s="76">
        <v>0</v>
      </c>
      <c r="D125" s="13">
        <v>5.94</v>
      </c>
      <c r="E125" s="14">
        <f>IF(ISNUMBER(D125), (D125 - $B125) / $B125, "")</f>
        <v>-2.9411764705882307E-2</v>
      </c>
      <c r="F125" s="16">
        <f>IF(ISNUMBER(D125), $B145 * E125, "")</f>
        <v>-2941.1764705882306</v>
      </c>
      <c r="G125" s="29">
        <v>5.62</v>
      </c>
      <c r="H125" s="14">
        <f>IF(ISNUMBER(G125), (G125 - $B125) / $B125, "")</f>
        <v>-8.1699346405228759E-2</v>
      </c>
      <c r="I125" s="100">
        <f>IF(ISNUMBER(G125), $B145 * H125, "")</f>
        <v>-8169.9346405228762</v>
      </c>
      <c r="J125" s="13">
        <v>5.46</v>
      </c>
      <c r="K125" s="14">
        <f>IF(ISNUMBER(J125), (J125 - $B125) / $B125, "")</f>
        <v>-0.10784313725490198</v>
      </c>
      <c r="L125" s="16">
        <f>IF(ISNUMBER(J125), $B145 * K125, "")</f>
        <v>-10784.313725490198</v>
      </c>
      <c r="M125" s="29">
        <v>5.55</v>
      </c>
      <c r="N125" s="14">
        <f>IF(ISNUMBER(M125), (M125 - $B125) / $B125, "")</f>
        <v>-9.3137254901960828E-2</v>
      </c>
      <c r="O125" s="16">
        <f>IF(ISNUMBER(M125), $B145 * N125, "")</f>
        <v>-9313.7254901960823</v>
      </c>
      <c r="Q125" s="261"/>
      <c r="R125" s="261"/>
      <c r="S125" s="261"/>
    </row>
    <row r="126" spans="1:19" ht="17.25" thickBot="1">
      <c r="A126" s="162" t="s">
        <v>156</v>
      </c>
      <c r="B126" s="126">
        <v>82.3</v>
      </c>
      <c r="C126" s="77">
        <v>-6.0386473E-3</v>
      </c>
      <c r="D126" s="15">
        <v>83.3</v>
      </c>
      <c r="E126" s="32">
        <f t="shared" ref="E126:E129" si="62">IF(ISNUMBER(D126), (D126 - $B126) / $B126, "")</f>
        <v>1.2150668286755772E-2</v>
      </c>
      <c r="F126" s="18">
        <f>IF(ISNUMBER(D126), $B145 * E126, "")</f>
        <v>1215.0668286755772</v>
      </c>
      <c r="G126" s="31">
        <v>82.3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81.2</v>
      </c>
      <c r="K126" s="32">
        <f t="shared" ref="K126:K129" si="64">IF(ISNUMBER(J126), (J126 - $B126) / $B126, "")</f>
        <v>-1.3365735115431281E-2</v>
      </c>
      <c r="L126" s="18">
        <f>IF(ISNUMBER(J126), $B145 * K126, "")</f>
        <v>-1336.573511543128</v>
      </c>
      <c r="M126" s="31">
        <v>80.7</v>
      </c>
      <c r="N126" s="32">
        <f t="shared" ref="N126:N129" si="65">IF(ISNUMBER(M126), (M126 - $B126) / $B126, "")</f>
        <v>-1.9441069258809167E-2</v>
      </c>
      <c r="O126" s="18">
        <f>IF(ISNUMBER(M126), $B145 * N126, "")</f>
        <v>-1944.1069258809166</v>
      </c>
      <c r="Q126" s="261"/>
      <c r="R126" s="261"/>
      <c r="S126" s="261"/>
    </row>
    <row r="127" spans="1:19" ht="17.25" thickBot="1">
      <c r="A127" s="162" t="s">
        <v>273</v>
      </c>
      <c r="B127" s="126">
        <v>70.7</v>
      </c>
      <c r="C127" s="77">
        <v>-8.4151473000000001E-3</v>
      </c>
      <c r="D127" s="15">
        <v>72</v>
      </c>
      <c r="E127" s="32">
        <f t="shared" si="62"/>
        <v>1.8387553041018346E-2</v>
      </c>
      <c r="F127" s="18">
        <f>IF(ISNUMBER(D127), $B145 * E127, "")</f>
        <v>1838.7553041018346</v>
      </c>
      <c r="G127" s="31">
        <v>70.8</v>
      </c>
      <c r="H127" s="32">
        <f t="shared" si="63"/>
        <v>1.414427157001334E-3</v>
      </c>
      <c r="I127" s="101">
        <f>IF(ISNUMBER(G127), $B145 * H127, "")</f>
        <v>141.44271570013339</v>
      </c>
      <c r="J127" s="15">
        <v>69.900000000000006</v>
      </c>
      <c r="K127" s="32">
        <f t="shared" si="64"/>
        <v>-1.1315417256011274E-2</v>
      </c>
      <c r="L127" s="18">
        <f>IF(ISNUMBER(J127), $B145 * K127, "")</f>
        <v>-1131.5417256011274</v>
      </c>
      <c r="M127" s="31">
        <v>69.3</v>
      </c>
      <c r="N127" s="32">
        <f t="shared" si="65"/>
        <v>-1.9801980198019882E-2</v>
      </c>
      <c r="O127" s="18">
        <f>IF(ISNUMBER(M127), $B145 * N127, "")</f>
        <v>-1980.1980198019883</v>
      </c>
      <c r="Q127" s="251"/>
      <c r="R127" s="251"/>
      <c r="S127" s="251"/>
    </row>
    <row r="128" spans="1:19" ht="17.25" thickBot="1">
      <c r="A128" s="162" t="s">
        <v>227</v>
      </c>
      <c r="B128" s="126">
        <v>93.3</v>
      </c>
      <c r="C128" s="77">
        <v>-8.5015939999999995E-3</v>
      </c>
      <c r="D128" s="15">
        <v>97.5</v>
      </c>
      <c r="E128" s="32">
        <f t="shared" si="62"/>
        <v>4.5016077170418035E-2</v>
      </c>
      <c r="F128" s="18">
        <f>IF(ISNUMBER(D128), $B145 * E128, "")</f>
        <v>4501.6077170418039</v>
      </c>
      <c r="G128" s="31">
        <v>94.4</v>
      </c>
      <c r="H128" s="32">
        <f t="shared" si="63"/>
        <v>1.1789924973204807E-2</v>
      </c>
      <c r="I128" s="101">
        <f>IF(ISNUMBER(G128), $B145 * H128, "")</f>
        <v>1178.9924973204807</v>
      </c>
      <c r="J128" s="15">
        <v>90.7</v>
      </c>
      <c r="K128" s="32">
        <f t="shared" si="64"/>
        <v>-2.7867095391211086E-2</v>
      </c>
      <c r="L128" s="18">
        <f>IF(ISNUMBER(J128), $B145 * K128, "")</f>
        <v>-2786.7095391211087</v>
      </c>
      <c r="M128" s="31">
        <v>89</v>
      </c>
      <c r="N128" s="32">
        <f t="shared" si="65"/>
        <v>-4.6087888531618409E-2</v>
      </c>
      <c r="O128" s="18">
        <f>IF(ISNUMBER(M128), $B145 * N128, "")</f>
        <v>-4608.788853161841</v>
      </c>
      <c r="Q128" s="251"/>
      <c r="R128" s="251"/>
      <c r="S128" s="251"/>
    </row>
    <row r="129" spans="1:19" ht="17.25" thickBot="1">
      <c r="A129" s="163" t="s">
        <v>134</v>
      </c>
      <c r="B129" s="128">
        <v>80.5</v>
      </c>
      <c r="C129" s="78">
        <v>-9.8400984000000004E-3</v>
      </c>
      <c r="D129" s="20">
        <v>81</v>
      </c>
      <c r="E129" s="21">
        <f t="shared" si="62"/>
        <v>6.2111801242236021E-3</v>
      </c>
      <c r="F129" s="22">
        <f>IF(ISNUMBER(D129), $B145 * E129, "")</f>
        <v>621.11801242236015</v>
      </c>
      <c r="G129" s="30">
        <v>80.5</v>
      </c>
      <c r="H129" s="21">
        <f t="shared" si="63"/>
        <v>0</v>
      </c>
      <c r="I129" s="105">
        <f>IF(ISNUMBER(G129), $B145 * H129, "")</f>
        <v>0</v>
      </c>
      <c r="J129" s="20">
        <v>77.900000000000006</v>
      </c>
      <c r="K129" s="21">
        <f t="shared" si="64"/>
        <v>-3.2298136645962663E-2</v>
      </c>
      <c r="L129" s="22">
        <f>IF(ISNUMBER(J129), $B145 * K129, "")</f>
        <v>-3229.8136645962663</v>
      </c>
      <c r="M129" s="30">
        <v>78.3</v>
      </c>
      <c r="N129" s="21">
        <f t="shared" si="65"/>
        <v>-2.7329192546583888E-2</v>
      </c>
      <c r="O129" s="22">
        <f>IF(ISNUMBER(M129), $B145 * N129, "")</f>
        <v>-2732.9192546583886</v>
      </c>
      <c r="Q129" s="251"/>
      <c r="R129" s="251"/>
      <c r="S129" s="251"/>
    </row>
    <row r="130" spans="1:19" ht="17.25" thickBot="1">
      <c r="A130" s="162" t="s">
        <v>126</v>
      </c>
      <c r="B130" s="129">
        <v>25.4</v>
      </c>
      <c r="C130" s="80">
        <v>-1.16731518E-2</v>
      </c>
      <c r="D130" s="106">
        <v>25.7</v>
      </c>
      <c r="E130" s="107">
        <f>IF(ISNUMBER(D130), (D130 - $B130) / $B130, "")</f>
        <v>1.1811023622047273E-2</v>
      </c>
      <c r="F130" s="108">
        <f>IF(ISNUMBER(D130), $B145 * E130, "")</f>
        <v>1181.1023622047273</v>
      </c>
      <c r="G130" s="109">
        <v>25.3</v>
      </c>
      <c r="H130" s="107">
        <f>IF(ISNUMBER(G130), (G130 - $B130) / $B130, "")</f>
        <v>-3.9370078740156647E-3</v>
      </c>
      <c r="I130" s="110">
        <f>IF(ISNUMBER(G130), $B145 * H130, "")</f>
        <v>-393.70078740156646</v>
      </c>
      <c r="J130" s="106">
        <v>24.4</v>
      </c>
      <c r="K130" s="107">
        <f>IF(ISNUMBER(J130), (J130 - $B130) / $B130, "")</f>
        <v>-3.937007874015748E-2</v>
      </c>
      <c r="L130" s="108">
        <f>IF(ISNUMBER(J130), $B145 * K130, "")</f>
        <v>-3937.0078740157478</v>
      </c>
      <c r="M130" s="109">
        <v>23.9</v>
      </c>
      <c r="N130" s="107">
        <f>IF(ISNUMBER(M130), (M130 - $B130) / $B130, "")</f>
        <v>-5.9055118110236227E-2</v>
      </c>
      <c r="O130" s="108">
        <f>IF(ISNUMBER(M130), $B145 * N130, "")</f>
        <v>-5905.5118110236226</v>
      </c>
      <c r="Q130" s="251"/>
      <c r="R130" s="251"/>
      <c r="S130" s="251"/>
    </row>
    <row r="131" spans="1:19" ht="17.25" thickBot="1">
      <c r="A131" s="162" t="s">
        <v>100</v>
      </c>
      <c r="B131" s="126">
        <v>4</v>
      </c>
      <c r="C131" s="77">
        <v>-1.47783251E-2</v>
      </c>
      <c r="D131" s="15">
        <v>3.99</v>
      </c>
      <c r="E131" s="32">
        <f t="shared" ref="E131:E134" si="66">IF(ISNUMBER(D131), (D131 - $B131) / $B131, "")</f>
        <v>-2.4999999999999467E-3</v>
      </c>
      <c r="F131" s="18">
        <f>IF(ISNUMBER(D131), $B145 * E131, "")</f>
        <v>-249.99999999999466</v>
      </c>
      <c r="G131" s="31">
        <v>3.96</v>
      </c>
      <c r="H131" s="32">
        <f t="shared" ref="H131:H134" si="67">IF(ISNUMBER(G131), (G131 - $B131) / $B131, "")</f>
        <v>-1.0000000000000009E-2</v>
      </c>
      <c r="I131" s="101">
        <f>IF(ISNUMBER(G131), $B145 * H131, "")</f>
        <v>-1000.0000000000009</v>
      </c>
      <c r="J131" s="15">
        <v>3.9</v>
      </c>
      <c r="K131" s="32">
        <f t="shared" ref="K131:K134" si="68">IF(ISNUMBER(J131), (J131 - $B131) / $B131, "")</f>
        <v>-2.5000000000000022E-2</v>
      </c>
      <c r="L131" s="18">
        <f>IF(ISNUMBER(J131), $B145 * K131, "")</f>
        <v>-2500.0000000000023</v>
      </c>
      <c r="M131" s="31">
        <v>3.89</v>
      </c>
      <c r="N131" s="32">
        <f t="shared" ref="N131:N134" si="69">IF(ISNUMBER(M131), (M131 - $B131) / $B131, "")</f>
        <v>-2.7499999999999969E-2</v>
      </c>
      <c r="O131" s="18">
        <f>IF(ISNUMBER(M131), $B145 * N131, "")</f>
        <v>-2749.9999999999968</v>
      </c>
      <c r="Q131" s="251"/>
      <c r="R131" s="251"/>
      <c r="S131" s="251"/>
    </row>
    <row r="132" spans="1:19" ht="17.25" thickBot="1">
      <c r="A132" s="162" t="s">
        <v>152</v>
      </c>
      <c r="B132" s="126">
        <v>18.3</v>
      </c>
      <c r="C132" s="77">
        <v>-1.6129032299999999E-2</v>
      </c>
      <c r="D132" s="15">
        <v>18.3</v>
      </c>
      <c r="E132" s="32">
        <f t="shared" si="66"/>
        <v>0</v>
      </c>
      <c r="F132" s="18">
        <f>IF(ISNUMBER(D132), $B145 * E132, "")</f>
        <v>0</v>
      </c>
      <c r="G132" s="31">
        <v>18.100000000000001</v>
      </c>
      <c r="H132" s="32">
        <f t="shared" si="67"/>
        <v>-1.092896174863384E-2</v>
      </c>
      <c r="I132" s="101">
        <f>IF(ISNUMBER(G132), $B145 * H132, "")</f>
        <v>-1092.896174863384</v>
      </c>
      <c r="J132" s="15">
        <v>17.7</v>
      </c>
      <c r="K132" s="32">
        <f t="shared" si="68"/>
        <v>-3.2786885245901717E-2</v>
      </c>
      <c r="L132" s="18">
        <f>IF(ISNUMBER(J132), $B145 * K132, "")</f>
        <v>-3278.6885245901717</v>
      </c>
      <c r="M132" s="31">
        <v>17.5</v>
      </c>
      <c r="N132" s="32">
        <f t="shared" si="69"/>
        <v>-4.3715846994535554E-2</v>
      </c>
      <c r="O132" s="18">
        <f>IF(ISNUMBER(M132), $B145 * N132, "")</f>
        <v>-4371.584699453555</v>
      </c>
      <c r="Q132" s="251"/>
      <c r="R132" s="251"/>
      <c r="S132" s="251"/>
    </row>
    <row r="133" spans="1:19" ht="17.25" thickBot="1">
      <c r="A133" s="162" t="s">
        <v>255</v>
      </c>
      <c r="B133" s="126">
        <v>59.1</v>
      </c>
      <c r="C133" s="77">
        <v>-1.6638935099999998E-2</v>
      </c>
      <c r="D133" s="15">
        <v>59.3</v>
      </c>
      <c r="E133" s="32">
        <f t="shared" si="66"/>
        <v>3.3840947546530582E-3</v>
      </c>
      <c r="F133" s="18">
        <f>IF(ISNUMBER(D133), $B145 * E133, "")</f>
        <v>338.40947546530583</v>
      </c>
      <c r="G133" s="31">
        <v>58.6</v>
      </c>
      <c r="H133" s="32">
        <f t="shared" si="67"/>
        <v>-8.4602368866328256E-3</v>
      </c>
      <c r="I133" s="101">
        <f>IF(ISNUMBER(G133), $B145 * H133, "")</f>
        <v>-846.02368866328254</v>
      </c>
      <c r="J133" s="15">
        <v>57.3</v>
      </c>
      <c r="K133" s="32">
        <f t="shared" si="68"/>
        <v>-3.0456852791878243E-2</v>
      </c>
      <c r="L133" s="18">
        <f>IF(ISNUMBER(J133), $B145 * K133, "")</f>
        <v>-3045.6852791878241</v>
      </c>
      <c r="M133" s="31">
        <v>56.6</v>
      </c>
      <c r="N133" s="32">
        <f t="shared" si="69"/>
        <v>-4.2301184433164128E-2</v>
      </c>
      <c r="O133" s="18">
        <f>IF(ISNUMBER(M133), $B145 * N133, "")</f>
        <v>-4230.1184433164126</v>
      </c>
      <c r="Q133" s="33"/>
      <c r="R133" s="33"/>
    </row>
    <row r="134" spans="1:19" ht="17.25" thickBot="1">
      <c r="A134" s="130" t="s">
        <v>167</v>
      </c>
      <c r="B134" s="131">
        <v>84.2</v>
      </c>
      <c r="C134" s="79">
        <v>-1.86480186E-2</v>
      </c>
      <c r="D134" s="24">
        <v>85</v>
      </c>
      <c r="E134" s="25">
        <f t="shared" si="66"/>
        <v>9.5011876484560227E-3</v>
      </c>
      <c r="F134" s="104">
        <f>IF(ISNUMBER(D134), $B145 * E134, "")</f>
        <v>950.1187648456023</v>
      </c>
      <c r="G134" s="102">
        <v>84</v>
      </c>
      <c r="H134" s="25">
        <f t="shared" si="67"/>
        <v>-2.3752969121140478E-3</v>
      </c>
      <c r="I134" s="103">
        <f>IF(ISNUMBER(G134), $B145 * H134, "")</f>
        <v>-237.52969121140478</v>
      </c>
      <c r="J134" s="24">
        <v>82.6</v>
      </c>
      <c r="K134" s="25">
        <f t="shared" si="68"/>
        <v>-1.9002375296912215E-2</v>
      </c>
      <c r="L134" s="104">
        <f>IF(ISNUMBER(J134), $B145 * K134, "")</f>
        <v>-1900.2375296912217</v>
      </c>
      <c r="M134" s="102">
        <v>82</v>
      </c>
      <c r="N134" s="25">
        <f t="shared" si="69"/>
        <v>-2.6128266033254188E-2</v>
      </c>
      <c r="O134" s="104">
        <f>IF(ISNUMBER(M134), $B145 * N134, "")</f>
        <v>-2612.826603325419</v>
      </c>
      <c r="Q134" s="252"/>
      <c r="R134" s="253"/>
      <c r="S134" s="254"/>
    </row>
    <row r="135" spans="1:19">
      <c r="A135" s="161" t="s">
        <v>236</v>
      </c>
      <c r="B135" s="124">
        <v>88.9</v>
      </c>
      <c r="C135" s="76">
        <v>-1.8763796900000001E-2</v>
      </c>
      <c r="D135" s="13">
        <v>93.5</v>
      </c>
      <c r="E135" s="14">
        <f>IF(ISNUMBER(D135), (D135 - $B135) / $B135, "")</f>
        <v>5.1743532058492622E-2</v>
      </c>
      <c r="F135" s="16">
        <f>IF(ISNUMBER(D135), $B145 * E135, "")</f>
        <v>5174.3532058492619</v>
      </c>
      <c r="G135" s="29">
        <v>91</v>
      </c>
      <c r="H135" s="14">
        <f>IF(ISNUMBER(G135), (G135 - $B135) / $B135, "")</f>
        <v>2.3622047244094422E-2</v>
      </c>
      <c r="I135" s="100">
        <f>IF(ISNUMBER(G135), $B145 * H135, "")</f>
        <v>2362.2047244094424</v>
      </c>
      <c r="J135" s="13">
        <v>88.2</v>
      </c>
      <c r="K135" s="14">
        <f>IF(ISNUMBER(J135), (J135 - $B135) / $B135, "")</f>
        <v>-7.8740157480315272E-3</v>
      </c>
      <c r="L135" s="16">
        <f>IF(ISNUMBER(J135), $B145 * K135, "")</f>
        <v>-787.4015748031527</v>
      </c>
      <c r="M135" s="29">
        <v>88.5</v>
      </c>
      <c r="N135" s="14">
        <f>IF(ISNUMBER(M135), (M135 - $B135) / $B135, "")</f>
        <v>-4.4994375703037758E-3</v>
      </c>
      <c r="O135" s="16">
        <f>IF(ISNUMBER(M135), $B145 * N135, "")</f>
        <v>-449.94375703037758</v>
      </c>
      <c r="Q135" s="255"/>
      <c r="R135" s="256"/>
      <c r="S135" s="257"/>
    </row>
    <row r="136" spans="1:19" ht="17.25" thickBot="1">
      <c r="A136" s="162" t="s">
        <v>185</v>
      </c>
      <c r="B136" s="126">
        <v>14.7</v>
      </c>
      <c r="C136" s="77">
        <v>-0.02</v>
      </c>
      <c r="D136" s="15">
        <v>15.3</v>
      </c>
      <c r="E136" s="32">
        <f t="shared" ref="E136:E139" si="70">IF(ISNUMBER(D136), (D136 - $B136) / $B136, "")</f>
        <v>4.0816326530612346E-2</v>
      </c>
      <c r="F136" s="18">
        <f>IF(ISNUMBER(D136), $B145 * E136, "")</f>
        <v>4081.6326530612346</v>
      </c>
      <c r="G136" s="31">
        <v>14.8</v>
      </c>
      <c r="H136" s="32">
        <f t="shared" ref="H136:H139" si="71">IF(ISNUMBER(G136), (G136 - $B136) / $B136, "")</f>
        <v>6.802721088435471E-3</v>
      </c>
      <c r="I136" s="101">
        <f>IF(ISNUMBER(G136), $B145 * H136, "")</f>
        <v>680.27210884354713</v>
      </c>
      <c r="J136" s="15">
        <v>14.3</v>
      </c>
      <c r="K136" s="32">
        <f t="shared" ref="K136:K139" si="72">IF(ISNUMBER(J136), (J136 - $B136) / $B136, "")</f>
        <v>-2.7210884353741402E-2</v>
      </c>
      <c r="L136" s="18">
        <f>IF(ISNUMBER(J136), $B145 * K136, "")</f>
        <v>-2721.0884353741403</v>
      </c>
      <c r="M136" s="31">
        <v>14.3</v>
      </c>
      <c r="N136" s="32">
        <f t="shared" ref="N136:N139" si="73">IF(ISNUMBER(M136), (M136 - $B136) / $B136, "")</f>
        <v>-2.7210884353741402E-2</v>
      </c>
      <c r="O136" s="18">
        <f>IF(ISNUMBER(M136), $B145 * N136, "")</f>
        <v>-2721.0884353741403</v>
      </c>
      <c r="Q136" s="258"/>
      <c r="R136" s="259"/>
      <c r="S136" s="260"/>
    </row>
    <row r="137" spans="1:19" ht="17.25" thickBot="1">
      <c r="A137" s="162" t="s">
        <v>72</v>
      </c>
      <c r="B137" s="126">
        <v>19.100000000000001</v>
      </c>
      <c r="C137" s="77">
        <v>-2.0512820500000001E-2</v>
      </c>
      <c r="D137" s="15">
        <v>19.399999999999999</v>
      </c>
      <c r="E137" s="32">
        <f t="shared" si="70"/>
        <v>1.5706806282722363E-2</v>
      </c>
      <c r="F137" s="18">
        <f>IF(ISNUMBER(D137), $B145 * E137, "")</f>
        <v>1570.6806282722364</v>
      </c>
      <c r="G137" s="31">
        <v>19.100000000000001</v>
      </c>
      <c r="H137" s="32">
        <f t="shared" si="71"/>
        <v>0</v>
      </c>
      <c r="I137" s="101">
        <f>IF(ISNUMBER(G137), $B145 * H137, "")</f>
        <v>0</v>
      </c>
      <c r="J137" s="15">
        <v>18.7</v>
      </c>
      <c r="K137" s="32">
        <f t="shared" si="72"/>
        <v>-2.094240837696346E-2</v>
      </c>
      <c r="L137" s="18">
        <f>IF(ISNUMBER(J137), $B145 * K137, "")</f>
        <v>-2094.2408376963458</v>
      </c>
      <c r="M137" s="31">
        <v>18.5</v>
      </c>
      <c r="N137" s="32">
        <f t="shared" si="73"/>
        <v>-3.1413612565445101E-2</v>
      </c>
      <c r="O137" s="18">
        <f>IF(ISNUMBER(M137), $B145 * N137, "")</f>
        <v>-3141.3612565445101</v>
      </c>
      <c r="Q137" s="251"/>
      <c r="R137" s="251"/>
      <c r="S137" s="251"/>
    </row>
    <row r="138" spans="1:19" ht="17.25" thickBot="1">
      <c r="A138" s="162" t="s">
        <v>201</v>
      </c>
      <c r="B138" s="126">
        <v>90</v>
      </c>
      <c r="C138" s="77">
        <v>-2.1739130400000001E-2</v>
      </c>
      <c r="D138" s="15">
        <v>93.1</v>
      </c>
      <c r="E138" s="32">
        <f t="shared" si="70"/>
        <v>3.4444444444444382E-2</v>
      </c>
      <c r="F138" s="18">
        <f>IF(ISNUMBER(D138), $B145 * E138, "")</f>
        <v>3444.444444444438</v>
      </c>
      <c r="G138" s="31">
        <v>90.1</v>
      </c>
      <c r="H138" s="32">
        <f t="shared" si="71"/>
        <v>1.111111111111048E-3</v>
      </c>
      <c r="I138" s="101">
        <f>IF(ISNUMBER(G138), $B145 * H138, "")</f>
        <v>111.1111111111048</v>
      </c>
      <c r="J138" s="15">
        <v>87.8</v>
      </c>
      <c r="K138" s="32">
        <f t="shared" si="72"/>
        <v>-2.4444444444444477E-2</v>
      </c>
      <c r="L138" s="18">
        <f>IF(ISNUMBER(J138), $B145 * K138, "")</f>
        <v>-2444.4444444444475</v>
      </c>
      <c r="M138" s="31">
        <v>87.8</v>
      </c>
      <c r="N138" s="32">
        <f t="shared" si="73"/>
        <v>-2.4444444444444477E-2</v>
      </c>
      <c r="O138" s="18">
        <f>IF(ISNUMBER(M138), $B145 * N138, "")</f>
        <v>-2444.4444444444475</v>
      </c>
      <c r="Q138" s="261"/>
      <c r="R138" s="261"/>
      <c r="S138" s="261"/>
    </row>
    <row r="139" spans="1:19" ht="17.25" thickBot="1">
      <c r="A139" s="163" t="s">
        <v>217</v>
      </c>
      <c r="B139" s="128">
        <v>9.9600000000000009</v>
      </c>
      <c r="C139" s="78">
        <v>-2.35294118E-2</v>
      </c>
      <c r="D139" s="20">
        <v>10</v>
      </c>
      <c r="E139" s="21">
        <f t="shared" si="70"/>
        <v>4.0160642570280262E-3</v>
      </c>
      <c r="F139" s="22">
        <f>IF(ISNUMBER(D139), $B145 * E139, "")</f>
        <v>401.6064257028026</v>
      </c>
      <c r="G139" s="30">
        <v>9.84</v>
      </c>
      <c r="H139" s="21">
        <f t="shared" si="71"/>
        <v>-1.2048192771084437E-2</v>
      </c>
      <c r="I139" s="105">
        <f>IF(ISNUMBER(G139), $B145 * H139, "")</f>
        <v>-1204.8192771084437</v>
      </c>
      <c r="J139" s="20">
        <v>9.56</v>
      </c>
      <c r="K139" s="21">
        <f t="shared" si="72"/>
        <v>-4.0160642570281159E-2</v>
      </c>
      <c r="L139" s="22">
        <f>IF(ISNUMBER(J139), $B145 * K139, "")</f>
        <v>-4016.0642570281161</v>
      </c>
      <c r="M139" s="30">
        <v>9.5299999999999994</v>
      </c>
      <c r="N139" s="21">
        <f t="shared" si="73"/>
        <v>-4.3172690763052357E-2</v>
      </c>
      <c r="O139" s="22">
        <f>IF(ISNUMBER(M139), $B145 * N139, "")</f>
        <v>-4317.269076305236</v>
      </c>
      <c r="Q139" s="261"/>
      <c r="R139" s="261"/>
      <c r="S139" s="261"/>
    </row>
    <row r="140" spans="1:19" ht="17.25" thickBot="1">
      <c r="A140" s="162" t="s">
        <v>65</v>
      </c>
      <c r="B140" s="129">
        <v>32.799999999999997</v>
      </c>
      <c r="C140" s="80">
        <v>-2.67062315E-2</v>
      </c>
      <c r="D140" s="106">
        <v>32.799999999999997</v>
      </c>
      <c r="E140" s="107">
        <f>IF(ISNUMBER(D140), (D140 - $B140) / $B140, "")</f>
        <v>0</v>
      </c>
      <c r="F140" s="108">
        <f>IF(ISNUMBER(D140), $B145 * E140, "")</f>
        <v>0</v>
      </c>
      <c r="G140" s="109">
        <v>32.299999999999997</v>
      </c>
      <c r="H140" s="107">
        <f>IF(ISNUMBER(G140), (G140 - $B140) / $B140, "")</f>
        <v>-1.5243902439024392E-2</v>
      </c>
      <c r="I140" s="110">
        <f>IF(ISNUMBER(G140), $B145 * H140, "")</f>
        <v>-1524.3902439024391</v>
      </c>
      <c r="J140" s="106">
        <v>32.200000000000003</v>
      </c>
      <c r="K140" s="107">
        <f>IF(ISNUMBER(J140), (J140 - $B140) / $B140, "")</f>
        <v>-1.8292682926829097E-2</v>
      </c>
      <c r="L140" s="108">
        <f>IF(ISNUMBER(J140), $B145 * K140, "")</f>
        <v>-1829.2682926829098</v>
      </c>
      <c r="M140" s="109">
        <v>32</v>
      </c>
      <c r="N140" s="107">
        <f>IF(ISNUMBER(M140), (M140 - $B140) / $B140, "")</f>
        <v>-2.4390243902438939E-2</v>
      </c>
      <c r="O140" s="108">
        <f>IF(ISNUMBER(M140), $B145 * N140, "")</f>
        <v>-2439.0243902438938</v>
      </c>
      <c r="Q140" s="251"/>
      <c r="R140" s="251"/>
      <c r="S140" s="251"/>
    </row>
    <row r="141" spans="1:19" ht="17.25" thickBot="1">
      <c r="A141" s="162" t="s">
        <v>148</v>
      </c>
      <c r="B141" s="126">
        <v>98.2</v>
      </c>
      <c r="C141" s="77">
        <v>-2.77227723E-2</v>
      </c>
      <c r="D141" s="15">
        <v>97.5</v>
      </c>
      <c r="E141" s="32">
        <f t="shared" ref="E141:E144" si="74">IF(ISNUMBER(D141), (D141 - $B141) / $B141, "")</f>
        <v>-7.1283095723014547E-3</v>
      </c>
      <c r="F141" s="18">
        <f>IF(ISNUMBER(D141), $B145 * E141, "")</f>
        <v>-712.83095723014549</v>
      </c>
      <c r="G141" s="31">
        <v>95.9</v>
      </c>
      <c r="H141" s="32">
        <f t="shared" ref="H141:H144" si="75">IF(ISNUMBER(G141), (G141 - $B141) / $B141, "")</f>
        <v>-2.3421588594704654E-2</v>
      </c>
      <c r="I141" s="101">
        <f>IF(ISNUMBER(G141), $B145 * H141, "")</f>
        <v>-2342.1588594704654</v>
      </c>
      <c r="J141" s="15">
        <v>93.9</v>
      </c>
      <c r="K141" s="32">
        <f t="shared" ref="K141:K144" si="76">IF(ISNUMBER(J141), (J141 - $B141) / $B141, "")</f>
        <v>-4.3788187372708724E-2</v>
      </c>
      <c r="L141" s="18">
        <f>IF(ISNUMBER(J141), $B145 * K141, "")</f>
        <v>-4378.8187372708726</v>
      </c>
      <c r="M141" s="31">
        <v>94.5</v>
      </c>
      <c r="N141" s="32">
        <f t="shared" ref="N141:N144" si="77">IF(ISNUMBER(M141), (M141 - $B141) / $B141, "")</f>
        <v>-3.7678207739307565E-2</v>
      </c>
      <c r="O141" s="18">
        <f>IF(ISNUMBER(M141), $B145 * N141, "")</f>
        <v>-3767.8207739307563</v>
      </c>
      <c r="Q141" s="251"/>
      <c r="R141" s="251"/>
      <c r="S141" s="251"/>
    </row>
    <row r="142" spans="1:19" ht="17.25" thickBot="1">
      <c r="A142" s="162" t="s">
        <v>259</v>
      </c>
      <c r="B142" s="126">
        <v>74.5</v>
      </c>
      <c r="C142" s="77">
        <v>-3.1209362800000001E-2</v>
      </c>
      <c r="D142" s="15">
        <v>75</v>
      </c>
      <c r="E142" s="32">
        <f t="shared" si="74"/>
        <v>6.7114093959731542E-3</v>
      </c>
      <c r="F142" s="18">
        <f>IF(ISNUMBER(D142), $B145 * E142, "")</f>
        <v>671.14093959731542</v>
      </c>
      <c r="G142" s="31">
        <v>73.5</v>
      </c>
      <c r="H142" s="32">
        <f t="shared" si="75"/>
        <v>-1.3422818791946308E-2</v>
      </c>
      <c r="I142" s="101">
        <f>IF(ISNUMBER(G142), $B145 * H142, "")</f>
        <v>-1342.2818791946308</v>
      </c>
      <c r="J142" s="15">
        <v>71.099999999999994</v>
      </c>
      <c r="K142" s="32">
        <f t="shared" si="76"/>
        <v>-4.5637583892617524E-2</v>
      </c>
      <c r="L142" s="18">
        <f>IF(ISNUMBER(J142), $B145 * K142, "")</f>
        <v>-4563.7583892617522</v>
      </c>
      <c r="M142" s="31">
        <v>71.400000000000006</v>
      </c>
      <c r="N142" s="32">
        <f t="shared" si="77"/>
        <v>-4.1610738255033482E-2</v>
      </c>
      <c r="O142" s="18">
        <f>IF(ISNUMBER(M142), $B145 * N142, "")</f>
        <v>-4161.0738255033484</v>
      </c>
      <c r="Q142" s="251"/>
      <c r="R142" s="251"/>
      <c r="S142" s="251"/>
    </row>
    <row r="143" spans="1:19">
      <c r="A143" s="162" t="s">
        <v>206</v>
      </c>
      <c r="B143" s="126">
        <v>98.4</v>
      </c>
      <c r="C143" s="77">
        <v>-3.5294117600000001E-2</v>
      </c>
      <c r="D143" s="15">
        <v>97.4</v>
      </c>
      <c r="E143" s="32">
        <f t="shared" si="74"/>
        <v>-1.016260162601626E-2</v>
      </c>
      <c r="F143" s="18">
        <f>IF(ISNUMBER(D143), $B145 * E143, "")</f>
        <v>-1016.260162601626</v>
      </c>
      <c r="G143" s="31">
        <v>92.6</v>
      </c>
      <c r="H143" s="32">
        <f t="shared" si="75"/>
        <v>-5.8943089430894421E-2</v>
      </c>
      <c r="I143" s="101">
        <f>IF(ISNUMBER(G143), $B145 * H143, "")</f>
        <v>-5894.3089430894424</v>
      </c>
      <c r="J143" s="15">
        <v>88.9</v>
      </c>
      <c r="K143" s="32">
        <f t="shared" si="76"/>
        <v>-9.6544715447154469E-2</v>
      </c>
      <c r="L143" s="18">
        <f>IF(ISNUMBER(J143), $B145 * K143, "")</f>
        <v>-9654.4715447154467</v>
      </c>
      <c r="M143" s="31">
        <v>89.4</v>
      </c>
      <c r="N143" s="32">
        <f t="shared" si="77"/>
        <v>-9.1463414634146339E-2</v>
      </c>
      <c r="O143" s="18">
        <f>IF(ISNUMBER(M143), $B145 * N143, "")</f>
        <v>-9146.3414634146338</v>
      </c>
      <c r="Q143" s="240"/>
      <c r="R143" s="241"/>
      <c r="S143" s="242"/>
    </row>
    <row r="144" spans="1:19" ht="17.25" thickBot="1">
      <c r="A144" s="130" t="s">
        <v>229</v>
      </c>
      <c r="B144" s="131">
        <v>92.6</v>
      </c>
      <c r="C144" s="79">
        <v>-3.8421599200000003E-2</v>
      </c>
      <c r="D144" s="24">
        <v>109</v>
      </c>
      <c r="E144" s="25">
        <f t="shared" si="74"/>
        <v>0.17710583153347739</v>
      </c>
      <c r="F144" s="104">
        <f>IF(ISNUMBER(D144), $B145 * E144, "")</f>
        <v>17710.583153347739</v>
      </c>
      <c r="G144" s="102">
        <v>106</v>
      </c>
      <c r="H144" s="25">
        <f t="shared" si="75"/>
        <v>0.14470842332613398</v>
      </c>
      <c r="I144" s="103">
        <f>IF(ISNUMBER(G144), $B145 * H144, "")</f>
        <v>14470.842332613398</v>
      </c>
      <c r="J144" s="24">
        <v>103</v>
      </c>
      <c r="K144" s="25">
        <f t="shared" si="76"/>
        <v>0.11231101511879056</v>
      </c>
      <c r="L144" s="104">
        <f>IF(ISNUMBER(J144), $B145 * K144, "")</f>
        <v>11231.101511879056</v>
      </c>
      <c r="M144" s="102">
        <v>102</v>
      </c>
      <c r="N144" s="25">
        <f t="shared" si="77"/>
        <v>0.1015118790496761</v>
      </c>
      <c r="O144" s="104">
        <f>IF(ISNUMBER(M144), $B145 * N144, "")</f>
        <v>10151.18790496761</v>
      </c>
      <c r="Q144" s="243"/>
      <c r="R144" s="244"/>
      <c r="S144" s="245"/>
    </row>
    <row r="145" spans="1:19" ht="17.25" thickBot="1">
      <c r="A145" s="132" t="s">
        <v>295</v>
      </c>
      <c r="B145" s="304">
        <f>$B$37</f>
        <v>100000</v>
      </c>
      <c r="C145" s="305"/>
      <c r="D145" s="26" t="s">
        <v>296</v>
      </c>
      <c r="E145" s="27">
        <f>IF(COUNT(E125:E144), SUM(E125:E144) / COUNT(E125:E144), 0)</f>
        <v>1.9390176162306122E-2</v>
      </c>
      <c r="F145" s="28">
        <f>SUM(F125:F144)</f>
        <v>38780.352324612242</v>
      </c>
      <c r="G145" s="26" t="s">
        <v>296</v>
      </c>
      <c r="H145" s="27">
        <f>IF(COUNT(H125:H144), SUM(H125:H144) / COUNT(H125:H144), 0)</f>
        <v>-2.5515893477149137E-3</v>
      </c>
      <c r="I145" s="28">
        <f>SUM(I125:I144)</f>
        <v>-5103.1786954298277</v>
      </c>
      <c r="J145" s="26" t="s">
        <v>296</v>
      </c>
      <c r="K145" s="27">
        <f>IF(COUNT(K125:K144), SUM(K125:K144) / COUNT(K125:K144), 0)</f>
        <v>-2.7594513187617464E-2</v>
      </c>
      <c r="L145" s="28">
        <f>SUM(L125:L144)</f>
        <v>-55189.026375234927</v>
      </c>
      <c r="M145" s="26" t="s">
        <v>296</v>
      </c>
      <c r="N145" s="27">
        <f>IF(COUNT(N125:N144), SUM(N125:N144) / COUNT(N125:N144), 0)</f>
        <v>-3.1443479809320982E-2</v>
      </c>
      <c r="O145" s="28">
        <f>SUM(O125:O144)</f>
        <v>-62886.959618641951</v>
      </c>
      <c r="Q145" s="246"/>
      <c r="R145" s="247"/>
      <c r="S145" s="248"/>
    </row>
    <row r="147" spans="1:19" ht="17.25" thickBot="1"/>
    <row r="148" spans="1:19" ht="17.25" thickBot="1">
      <c r="A148" s="262" t="s">
        <v>284</v>
      </c>
      <c r="B148" s="263"/>
      <c r="C148" s="263"/>
      <c r="D148" s="263"/>
      <c r="E148" s="263"/>
      <c r="F148" s="263"/>
      <c r="G148" s="263"/>
      <c r="H148" s="263"/>
      <c r="I148" s="263"/>
      <c r="J148" s="263"/>
      <c r="K148" s="263"/>
      <c r="L148" s="263"/>
      <c r="M148" s="263"/>
      <c r="N148" s="263"/>
      <c r="O148" s="264"/>
      <c r="Q148" s="261"/>
      <c r="R148" s="261"/>
      <c r="S148" s="261"/>
    </row>
    <row r="149" spans="1:19" ht="17.25" thickBot="1">
      <c r="A149" s="220" t="s">
        <v>292</v>
      </c>
      <c r="B149" s="262" t="s">
        <v>49</v>
      </c>
      <c r="C149" s="264"/>
      <c r="D149" s="262" t="s">
        <v>58</v>
      </c>
      <c r="E149" s="263"/>
      <c r="F149" s="264"/>
      <c r="G149" s="265">
        <f>_xlfn.IFNA(VLOOKUP(B149, 현재가테이블!$B$2:$D$200, 2, FALSE), "-")</f>
        <v>40538000</v>
      </c>
      <c r="H149" s="266"/>
      <c r="I149" s="267"/>
      <c r="J149" s="262" t="s">
        <v>59</v>
      </c>
      <c r="K149" s="263"/>
      <c r="L149" s="264"/>
      <c r="M149" s="268">
        <f>_xlfn.IFNA(VLOOKUP(B149, 현재가테이블!$B$2:$D$200, 3, FALSE), "-")</f>
        <v>-3.68275993E-2</v>
      </c>
      <c r="N149" s="269"/>
      <c r="O149" s="270"/>
      <c r="Q149" s="261"/>
      <c r="R149" s="261"/>
      <c r="S149" s="261"/>
    </row>
    <row r="150" spans="1:19" ht="17.25" thickBot="1">
      <c r="A150" s="306" t="s">
        <v>55</v>
      </c>
      <c r="B150" s="302" t="str">
        <f>TEXT($G$1, "[$-ko-KR]yyyy-mm-dd(ddd) ") &amp; "오전 00:00"</f>
        <v>2021-06-16(수) 오전 00:00</v>
      </c>
      <c r="C150" s="303"/>
      <c r="D150" s="275" t="str">
        <f>TEXT($G$1, "[$-ko-KR]yyyy-mm-dd(ddd) ") &amp; "오후 14:00"</f>
        <v>2021-06-16(수) 오후 14:00</v>
      </c>
      <c r="E150" s="276"/>
      <c r="F150" s="277"/>
      <c r="G150" s="275" t="str">
        <f>TEXT($G$1, "[$-ko-KR]yyyy-mm-dd(ddd) ") &amp; "오후 19:00"</f>
        <v>2021-06-16(수) 오후 19:00</v>
      </c>
      <c r="H150" s="276"/>
      <c r="I150" s="277"/>
      <c r="J150" s="275" t="str">
        <f>TEXT($G$1, "[$-ko-KR]yyyy-mm-dd(ddd) ") &amp; "오후 21:00"</f>
        <v>2021-06-16(수) 오후 21:00</v>
      </c>
      <c r="K150" s="276"/>
      <c r="L150" s="277"/>
      <c r="M150" s="275" t="str">
        <f>TEXT($G$1+1, "[$-ko-KR]yyyy-mm-dd(ddd) ") &amp; "오전 00:00"</f>
        <v>2021-06-17(목) 오전 00:00</v>
      </c>
      <c r="N150" s="276"/>
      <c r="O150" s="277"/>
      <c r="Q150" s="261"/>
      <c r="R150" s="261"/>
      <c r="S150" s="261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1" t="s">
        <v>58</v>
      </c>
      <c r="H151" s="222" t="s">
        <v>293</v>
      </c>
      <c r="I151" s="22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1"/>
      <c r="R151" s="251"/>
      <c r="S151" s="251"/>
    </row>
    <row r="152" spans="1:19" ht="17.25" thickBot="1">
      <c r="A152" s="161" t="s">
        <v>181</v>
      </c>
      <c r="B152" s="124">
        <v>234</v>
      </c>
      <c r="C152" s="76">
        <v>-1.6806722699999999E-2</v>
      </c>
      <c r="D152" s="13">
        <v>234</v>
      </c>
      <c r="E152" s="14">
        <f>IF(ISNUMBER(D152), (D152 - $B152) / $B152, "")</f>
        <v>0</v>
      </c>
      <c r="F152" s="16">
        <f>IF(ISNUMBER(D152), $B172 * E152, "")</f>
        <v>0</v>
      </c>
      <c r="G152" s="29">
        <v>232</v>
      </c>
      <c r="H152" s="14">
        <f>IF(ISNUMBER(G152), (G152 - $B152) / $B152, "")</f>
        <v>-8.5470085470085479E-3</v>
      </c>
      <c r="I152" s="100">
        <f>IF(ISNUMBER(G152), $B172 * H152, "")</f>
        <v>-854.70085470085473</v>
      </c>
      <c r="J152" s="13">
        <v>227</v>
      </c>
      <c r="K152" s="14">
        <f>IF(ISNUMBER(J152), (J152 - $B152) / $B152, "")</f>
        <v>-2.9914529914529916E-2</v>
      </c>
      <c r="L152" s="16">
        <f>IF(ISNUMBER(J152), $B172 * K152, "")</f>
        <v>-2991.4529914529917</v>
      </c>
      <c r="M152" s="29">
        <v>228</v>
      </c>
      <c r="N152" s="14">
        <f>IF(ISNUMBER(M152), (M152 - $B152) / $B152, "")</f>
        <v>-2.564102564102564E-2</v>
      </c>
      <c r="O152" s="16">
        <f>IF(ISNUMBER(M152), $B172 * N152, "")</f>
        <v>-2564.102564102564</v>
      </c>
      <c r="Q152" s="261"/>
      <c r="R152" s="261"/>
      <c r="S152" s="261"/>
    </row>
    <row r="153" spans="1:19" ht="17.25" thickBot="1">
      <c r="A153" s="162" t="s">
        <v>61</v>
      </c>
      <c r="B153" s="126">
        <v>802</v>
      </c>
      <c r="C153" s="77">
        <v>-1.7156862700000001E-2</v>
      </c>
      <c r="D153" s="15">
        <v>816</v>
      </c>
      <c r="E153" s="32">
        <f t="shared" ref="E153:E156" si="78">IF(ISNUMBER(D153), (D153 - $B153) / $B153, "")</f>
        <v>1.7456359102244388E-2</v>
      </c>
      <c r="F153" s="18">
        <f>IF(ISNUMBER(D153), $B172 * E153, "")</f>
        <v>1745.6359102244387</v>
      </c>
      <c r="G153" s="31">
        <v>837</v>
      </c>
      <c r="H153" s="32">
        <f t="shared" ref="H153:H156" si="79">IF(ISNUMBER(G153), (G153 - $B153) / $B153, "")</f>
        <v>4.3640897755610975E-2</v>
      </c>
      <c r="I153" s="101">
        <f>IF(ISNUMBER(G153), $B172 * H153, "")</f>
        <v>4364.0897755610977</v>
      </c>
      <c r="J153" s="15">
        <v>807</v>
      </c>
      <c r="K153" s="32">
        <f t="shared" ref="K153:K156" si="80">IF(ISNUMBER(J153), (J153 - $B153) / $B153, "")</f>
        <v>6.2344139650872821E-3</v>
      </c>
      <c r="L153" s="18">
        <f>IF(ISNUMBER(J153), $B172 * K153, "")</f>
        <v>623.44139650872819</v>
      </c>
      <c r="M153" s="31">
        <v>812</v>
      </c>
      <c r="N153" s="32">
        <f t="shared" ref="N153:N156" si="81">IF(ISNUMBER(M153), (M153 - $B153) / $B153, "")</f>
        <v>1.2468827930174564E-2</v>
      </c>
      <c r="O153" s="18">
        <f>IF(ISNUMBER(M153), $B172 * N153, "")</f>
        <v>1246.8827930174564</v>
      </c>
      <c r="Q153" s="261"/>
      <c r="R153" s="261"/>
      <c r="S153" s="261"/>
    </row>
    <row r="154" spans="1:19" ht="17.25" thickBot="1">
      <c r="A154" s="162" t="s">
        <v>291</v>
      </c>
      <c r="B154" s="126">
        <v>369</v>
      </c>
      <c r="C154" s="77">
        <v>-1.8617021300000001E-2</v>
      </c>
      <c r="D154" s="15">
        <v>366</v>
      </c>
      <c r="E154" s="32">
        <f t="shared" si="78"/>
        <v>-8.130081300813009E-3</v>
      </c>
      <c r="F154" s="18">
        <f>IF(ISNUMBER(D154), $B172 * E154, "")</f>
        <v>-813.00813008130092</v>
      </c>
      <c r="G154" s="31">
        <v>364</v>
      </c>
      <c r="H154" s="32">
        <f t="shared" si="79"/>
        <v>-1.3550135501355014E-2</v>
      </c>
      <c r="I154" s="101">
        <f>IF(ISNUMBER(G154), $B172 * H154, "")</f>
        <v>-1355.0135501355014</v>
      </c>
      <c r="J154" s="15">
        <v>360</v>
      </c>
      <c r="K154" s="32">
        <f t="shared" si="80"/>
        <v>-2.4390243902439025E-2</v>
      </c>
      <c r="L154" s="18">
        <f>IF(ISNUMBER(J154), $B172 * K154, "")</f>
        <v>-2439.0243902439024</v>
      </c>
      <c r="M154" s="31">
        <v>359</v>
      </c>
      <c r="N154" s="32">
        <f t="shared" si="81"/>
        <v>-2.7100271002710029E-2</v>
      </c>
      <c r="O154" s="18">
        <f>IF(ISNUMBER(M154), $B172 * N154, "")</f>
        <v>-2710.0271002710028</v>
      </c>
      <c r="Q154" s="251"/>
      <c r="R154" s="251"/>
      <c r="S154" s="251"/>
    </row>
    <row r="155" spans="1:19" ht="17.25" thickBot="1">
      <c r="A155" s="162" t="s">
        <v>242</v>
      </c>
      <c r="B155" s="126">
        <v>261</v>
      </c>
      <c r="C155" s="77">
        <v>-1.8796992500000002E-2</v>
      </c>
      <c r="D155" s="15">
        <v>262</v>
      </c>
      <c r="E155" s="32">
        <f t="shared" si="78"/>
        <v>3.8314176245210726E-3</v>
      </c>
      <c r="F155" s="18">
        <f>IF(ISNUMBER(D155), $B172 * E155, "")</f>
        <v>383.14176245210729</v>
      </c>
      <c r="G155" s="31">
        <v>258</v>
      </c>
      <c r="H155" s="32">
        <f t="shared" si="79"/>
        <v>-1.1494252873563218E-2</v>
      </c>
      <c r="I155" s="101">
        <f>IF(ISNUMBER(G155), $B172 * H155, "")</f>
        <v>-1149.4252873563219</v>
      </c>
      <c r="J155" s="15">
        <v>250</v>
      </c>
      <c r="K155" s="32">
        <f t="shared" si="80"/>
        <v>-4.2145593869731802E-2</v>
      </c>
      <c r="L155" s="18">
        <f>IF(ISNUMBER(J155), $B172 * K155, "")</f>
        <v>-4214.5593869731802</v>
      </c>
      <c r="M155" s="31">
        <v>250</v>
      </c>
      <c r="N155" s="32">
        <f t="shared" si="81"/>
        <v>-4.2145593869731802E-2</v>
      </c>
      <c r="O155" s="18">
        <f>IF(ISNUMBER(M155), $B172 * N155, "")</f>
        <v>-4214.5593869731802</v>
      </c>
      <c r="Q155" s="251"/>
      <c r="R155" s="251"/>
      <c r="S155" s="251"/>
    </row>
    <row r="156" spans="1:19" ht="17.25" thickBot="1">
      <c r="A156" s="163" t="s">
        <v>253</v>
      </c>
      <c r="B156" s="128">
        <v>413</v>
      </c>
      <c r="C156" s="78">
        <v>-1.9002375299999999E-2</v>
      </c>
      <c r="D156" s="20">
        <v>411</v>
      </c>
      <c r="E156" s="21">
        <f t="shared" si="78"/>
        <v>-4.8426150121065378E-3</v>
      </c>
      <c r="F156" s="22">
        <f>IF(ISNUMBER(D156), $B172 * E156, "")</f>
        <v>-484.26150121065376</v>
      </c>
      <c r="G156" s="30">
        <v>407</v>
      </c>
      <c r="H156" s="21">
        <f t="shared" si="79"/>
        <v>-1.4527845036319613E-2</v>
      </c>
      <c r="I156" s="105">
        <f>IF(ISNUMBER(G156), $B172 * H156, "")</f>
        <v>-1452.7845036319613</v>
      </c>
      <c r="J156" s="20">
        <v>399</v>
      </c>
      <c r="K156" s="21">
        <f t="shared" si="80"/>
        <v>-3.3898305084745763E-2</v>
      </c>
      <c r="L156" s="22">
        <f>IF(ISNUMBER(J156), $B172 * K156, "")</f>
        <v>-3389.8305084745762</v>
      </c>
      <c r="M156" s="30">
        <v>402</v>
      </c>
      <c r="N156" s="21">
        <f t="shared" si="81"/>
        <v>-2.6634382566585957E-2</v>
      </c>
      <c r="O156" s="22">
        <f>IF(ISNUMBER(M156), $B172 * N156, "")</f>
        <v>-2663.4382566585955</v>
      </c>
      <c r="Q156" s="251"/>
      <c r="R156" s="251"/>
      <c r="S156" s="251"/>
    </row>
    <row r="157" spans="1:19" ht="17.25" thickBot="1">
      <c r="A157" s="162" t="s">
        <v>120</v>
      </c>
      <c r="B157" s="129">
        <v>135</v>
      </c>
      <c r="C157" s="80">
        <v>-2.1739130400000001E-2</v>
      </c>
      <c r="D157" s="106">
        <v>137</v>
      </c>
      <c r="E157" s="107">
        <f>IF(ISNUMBER(D157), (D157 - $B157) / $B157, "")</f>
        <v>1.4814814814814815E-2</v>
      </c>
      <c r="F157" s="108">
        <f>IF(ISNUMBER(D157), $B172 * E157, "")</f>
        <v>1481.4814814814815</v>
      </c>
      <c r="G157" s="109">
        <v>140</v>
      </c>
      <c r="H157" s="107">
        <f>IF(ISNUMBER(G157), (G157 - $B157) / $B157, "")</f>
        <v>3.7037037037037035E-2</v>
      </c>
      <c r="I157" s="110">
        <f>IF(ISNUMBER(G157), $B172 * H157, "")</f>
        <v>3703.7037037037035</v>
      </c>
      <c r="J157" s="106">
        <v>137</v>
      </c>
      <c r="K157" s="107">
        <f>IF(ISNUMBER(J157), (J157 - $B157) / $B157, "")</f>
        <v>1.4814814814814815E-2</v>
      </c>
      <c r="L157" s="108">
        <f>IF(ISNUMBER(J157), $B172 * K157, "")</f>
        <v>1481.4814814814815</v>
      </c>
      <c r="M157" s="109">
        <v>136</v>
      </c>
      <c r="N157" s="107">
        <f>IF(ISNUMBER(M157), (M157 - $B157) / $B157, "")</f>
        <v>7.4074074074074077E-3</v>
      </c>
      <c r="O157" s="108">
        <f>IF(ISNUMBER(M157), $B172 * N157, "")</f>
        <v>740.74074074074076</v>
      </c>
      <c r="Q157" s="251"/>
      <c r="R157" s="251"/>
      <c r="S157" s="251"/>
    </row>
    <row r="158" spans="1:19" ht="17.25" thickBot="1">
      <c r="A158" s="162" t="s">
        <v>223</v>
      </c>
      <c r="B158" s="126">
        <v>216</v>
      </c>
      <c r="C158" s="77">
        <v>-2.2624434400000001E-2</v>
      </c>
      <c r="D158" s="15">
        <v>225</v>
      </c>
      <c r="E158" s="32">
        <f t="shared" ref="E158:E161" si="82">IF(ISNUMBER(D158), (D158 - $B158) / $B158, "")</f>
        <v>4.1666666666666664E-2</v>
      </c>
      <c r="F158" s="18">
        <f>IF(ISNUMBER(D158), $B172 * E158, "")</f>
        <v>4166.6666666666661</v>
      </c>
      <c r="G158" s="31">
        <v>220</v>
      </c>
      <c r="H158" s="32">
        <f t="shared" ref="H158:H161" si="83">IF(ISNUMBER(G158), (G158 - $B158) / $B158, "")</f>
        <v>1.8518518518518517E-2</v>
      </c>
      <c r="I158" s="101">
        <f>IF(ISNUMBER(G158), $B172 * H158, "")</f>
        <v>1851.8518518518517</v>
      </c>
      <c r="J158" s="15">
        <v>210</v>
      </c>
      <c r="K158" s="32">
        <f t="shared" ref="K158:K161" si="84">IF(ISNUMBER(J158), (J158 - $B158) / $B158, "")</f>
        <v>-2.7777777777777776E-2</v>
      </c>
      <c r="L158" s="18">
        <f>IF(ISNUMBER(J158), $B172 * K158, "")</f>
        <v>-2777.7777777777778</v>
      </c>
      <c r="M158" s="31">
        <v>211</v>
      </c>
      <c r="N158" s="32">
        <f t="shared" ref="N158:N161" si="85">IF(ISNUMBER(M158), (M158 - $B158) / $B158, "")</f>
        <v>-2.3148148148148147E-2</v>
      </c>
      <c r="O158" s="18">
        <f>IF(ISNUMBER(M158), $B172 * N158, "")</f>
        <v>-2314.8148148148148</v>
      </c>
      <c r="Q158" s="251"/>
      <c r="R158" s="251"/>
      <c r="S158" s="251"/>
    </row>
    <row r="159" spans="1:19" ht="17.25" thickBot="1">
      <c r="A159" s="162" t="s">
        <v>82</v>
      </c>
      <c r="B159" s="126">
        <v>823</v>
      </c>
      <c r="C159" s="77">
        <v>-2.37247924E-2</v>
      </c>
      <c r="D159" s="15">
        <v>827</v>
      </c>
      <c r="E159" s="32">
        <f t="shared" si="82"/>
        <v>4.8602673147023082E-3</v>
      </c>
      <c r="F159" s="18">
        <f>IF(ISNUMBER(D159), $B172 * E159, "")</f>
        <v>486.0267314702308</v>
      </c>
      <c r="G159" s="31">
        <v>817</v>
      </c>
      <c r="H159" s="32">
        <f t="shared" si="83"/>
        <v>-7.2904009720534627E-3</v>
      </c>
      <c r="I159" s="101">
        <f>IF(ISNUMBER(G159), $B172 * H159, "")</f>
        <v>-729.04009720534623</v>
      </c>
      <c r="J159" s="15">
        <v>789</v>
      </c>
      <c r="K159" s="32">
        <f t="shared" si="84"/>
        <v>-4.1312272174969626E-2</v>
      </c>
      <c r="L159" s="18">
        <f>IF(ISNUMBER(J159), $B172 * K159, "")</f>
        <v>-4131.227217496963</v>
      </c>
      <c r="M159" s="31">
        <v>789</v>
      </c>
      <c r="N159" s="32">
        <f t="shared" si="85"/>
        <v>-4.1312272174969626E-2</v>
      </c>
      <c r="O159" s="18">
        <f>IF(ISNUMBER(M159), $B172 * N159, "")</f>
        <v>-4131.227217496963</v>
      </c>
      <c r="Q159" s="251"/>
      <c r="R159" s="251"/>
      <c r="S159" s="251"/>
    </row>
    <row r="160" spans="1:19" ht="17.25" thickBot="1">
      <c r="A160" s="162" t="s">
        <v>92</v>
      </c>
      <c r="B160" s="126">
        <v>998</v>
      </c>
      <c r="C160" s="77">
        <v>-2.6341463400000001E-2</v>
      </c>
      <c r="D160" s="15">
        <v>1000</v>
      </c>
      <c r="E160" s="32">
        <f t="shared" si="82"/>
        <v>2.004008016032064E-3</v>
      </c>
      <c r="F160" s="18">
        <f>IF(ISNUMBER(D160), $B172 * E160, "")</f>
        <v>200.40080160320639</v>
      </c>
      <c r="G160" s="31">
        <v>987</v>
      </c>
      <c r="H160" s="32">
        <f t="shared" si="83"/>
        <v>-1.1022044088176353E-2</v>
      </c>
      <c r="I160" s="101">
        <f>IF(ISNUMBER(G160), $B172 * H160, "")</f>
        <v>-1102.2044088176353</v>
      </c>
      <c r="J160" s="15">
        <v>976</v>
      </c>
      <c r="K160" s="32">
        <f t="shared" si="84"/>
        <v>-2.2044088176352707E-2</v>
      </c>
      <c r="L160" s="18">
        <f>IF(ISNUMBER(J160), $B172 * K160, "")</f>
        <v>-2204.4088176352707</v>
      </c>
      <c r="M160" s="31">
        <v>968</v>
      </c>
      <c r="N160" s="32">
        <f t="shared" si="85"/>
        <v>-3.0060120240480961E-2</v>
      </c>
      <c r="O160" s="18">
        <f>IF(ISNUMBER(M160), $B172 * N160, "")</f>
        <v>-3006.012024048096</v>
      </c>
      <c r="Q160" s="33"/>
      <c r="R160" s="33"/>
    </row>
    <row r="161" spans="1:19" ht="17.25" thickBot="1">
      <c r="A161" s="130" t="s">
        <v>116</v>
      </c>
      <c r="B161" s="131">
        <v>318</v>
      </c>
      <c r="C161" s="79">
        <v>-2.7522935799999999E-2</v>
      </c>
      <c r="D161" s="24">
        <v>322</v>
      </c>
      <c r="E161" s="25">
        <f t="shared" si="82"/>
        <v>1.2578616352201259E-2</v>
      </c>
      <c r="F161" s="104">
        <f>IF(ISNUMBER(D161), $B172 * E161, "")</f>
        <v>1257.8616352201259</v>
      </c>
      <c r="G161" s="102">
        <v>329</v>
      </c>
      <c r="H161" s="25">
        <f t="shared" si="83"/>
        <v>3.4591194968553458E-2</v>
      </c>
      <c r="I161" s="103">
        <f>IF(ISNUMBER(G161), $B172 * H161, "")</f>
        <v>3459.1194968553459</v>
      </c>
      <c r="J161" s="24">
        <v>320</v>
      </c>
      <c r="K161" s="25">
        <f t="shared" si="84"/>
        <v>6.2893081761006293E-3</v>
      </c>
      <c r="L161" s="104">
        <f>IF(ISNUMBER(J161), $B172 * K161, "")</f>
        <v>628.93081761006295</v>
      </c>
      <c r="M161" s="102">
        <v>317</v>
      </c>
      <c r="N161" s="25">
        <f t="shared" si="85"/>
        <v>-3.1446540880503146E-3</v>
      </c>
      <c r="O161" s="104">
        <f>IF(ISNUMBER(M161), $B172 * N161, "")</f>
        <v>-314.46540880503147</v>
      </c>
      <c r="Q161" s="252"/>
      <c r="R161" s="253"/>
      <c r="S161" s="254"/>
    </row>
    <row r="162" spans="1:19">
      <c r="A162" s="161" t="s">
        <v>275</v>
      </c>
      <c r="B162" s="124">
        <v>836</v>
      </c>
      <c r="C162" s="76">
        <v>-2.7906976699999999E-2</v>
      </c>
      <c r="D162" s="13">
        <v>834</v>
      </c>
      <c r="E162" s="14">
        <f>IF(ISNUMBER(D162), (D162 - $B162) / $B162, "")</f>
        <v>-2.3923444976076554E-3</v>
      </c>
      <c r="F162" s="16">
        <f>IF(ISNUMBER(D162), $B172 * E162, "")</f>
        <v>-239.23444976076553</v>
      </c>
      <c r="G162" s="29">
        <v>828</v>
      </c>
      <c r="H162" s="14">
        <f>IF(ISNUMBER(G162), (G162 - $B162) / $B162, "")</f>
        <v>-9.5693779904306216E-3</v>
      </c>
      <c r="I162" s="100">
        <f>IF(ISNUMBER(G162), $B172 * H162, "")</f>
        <v>-956.93779904306211</v>
      </c>
      <c r="J162" s="13">
        <v>806</v>
      </c>
      <c r="K162" s="14">
        <f>IF(ISNUMBER(J162), (J162 - $B162) / $B162, "")</f>
        <v>-3.5885167464114832E-2</v>
      </c>
      <c r="L162" s="16">
        <f>IF(ISNUMBER(J162), $B172 * K162, "")</f>
        <v>-3588.5167464114834</v>
      </c>
      <c r="M162" s="29">
        <v>801</v>
      </c>
      <c r="N162" s="14">
        <f>IF(ISNUMBER(M162), (M162 - $B162) / $B162, "")</f>
        <v>-4.1866028708133975E-2</v>
      </c>
      <c r="O162" s="16">
        <f>IF(ISNUMBER(M162), $B172 * N162, "")</f>
        <v>-4186.6028708133972</v>
      </c>
      <c r="Q162" s="255"/>
      <c r="R162" s="256"/>
      <c r="S162" s="257"/>
    </row>
    <row r="163" spans="1:19" ht="17.25" thickBot="1">
      <c r="A163" s="162" t="s">
        <v>51</v>
      </c>
      <c r="B163" s="126">
        <v>383</v>
      </c>
      <c r="C163" s="77">
        <v>-2.7918781699999999E-2</v>
      </c>
      <c r="D163" s="15">
        <v>387</v>
      </c>
      <c r="E163" s="32">
        <f t="shared" ref="E163:E166" si="86">IF(ISNUMBER(D163), (D163 - $B163) / $B163, "")</f>
        <v>1.0443864229765013E-2</v>
      </c>
      <c r="F163" s="18">
        <f>IF(ISNUMBER(D163), $B172 * E163, "")</f>
        <v>1044.3864229765013</v>
      </c>
      <c r="G163" s="31">
        <v>383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378</v>
      </c>
      <c r="K163" s="32">
        <f t="shared" ref="K163:K166" si="88">IF(ISNUMBER(J163), (J163 - $B163) / $B163, "")</f>
        <v>-1.3054830287206266E-2</v>
      </c>
      <c r="L163" s="18">
        <f>IF(ISNUMBER(J163), $B172 * K163, "")</f>
        <v>-1305.4830287206266</v>
      </c>
      <c r="M163" s="31">
        <v>373</v>
      </c>
      <c r="N163" s="32">
        <f t="shared" ref="N163:N166" si="89">IF(ISNUMBER(M163), (M163 - $B163) / $B163, "")</f>
        <v>-2.6109660574412531E-2</v>
      </c>
      <c r="O163" s="18">
        <f>IF(ISNUMBER(M163), $B172 * N163, "")</f>
        <v>-2610.9660574412533</v>
      </c>
      <c r="Q163" s="258"/>
      <c r="R163" s="259"/>
      <c r="S163" s="260"/>
    </row>
    <row r="164" spans="1:19" ht="17.25" thickBot="1">
      <c r="A164" s="162" t="s">
        <v>128</v>
      </c>
      <c r="B164" s="126">
        <v>307</v>
      </c>
      <c r="C164" s="77">
        <v>-2.8481012699999999E-2</v>
      </c>
      <c r="D164" s="15">
        <v>306</v>
      </c>
      <c r="E164" s="32">
        <f t="shared" si="86"/>
        <v>-3.2573289902280132E-3</v>
      </c>
      <c r="F164" s="18">
        <f>IF(ISNUMBER(D164), $B172 * E164, "")</f>
        <v>-325.73289902280129</v>
      </c>
      <c r="G164" s="31">
        <v>304</v>
      </c>
      <c r="H164" s="32">
        <f t="shared" si="87"/>
        <v>-9.7719869706840382E-3</v>
      </c>
      <c r="I164" s="101">
        <f>IF(ISNUMBER(G164), $B172 * H164, "")</f>
        <v>-977.19869706840382</v>
      </c>
      <c r="J164" s="15">
        <v>297</v>
      </c>
      <c r="K164" s="32">
        <f t="shared" si="88"/>
        <v>-3.2573289902280131E-2</v>
      </c>
      <c r="L164" s="18">
        <f>IF(ISNUMBER(J164), $B172 * K164, "")</f>
        <v>-3257.328990228013</v>
      </c>
      <c r="M164" s="31">
        <v>296</v>
      </c>
      <c r="N164" s="32">
        <f t="shared" si="89"/>
        <v>-3.5830618892508145E-2</v>
      </c>
      <c r="O164" s="18">
        <f>IF(ISNUMBER(M164), $B172 * N164, "")</f>
        <v>-3583.0618892508146</v>
      </c>
      <c r="Q164" s="251"/>
      <c r="R164" s="251"/>
      <c r="S164" s="251"/>
    </row>
    <row r="165" spans="1:19" ht="17.25" thickBot="1">
      <c r="A165" s="162" t="s">
        <v>214</v>
      </c>
      <c r="B165" s="126">
        <v>244</v>
      </c>
      <c r="C165" s="77">
        <v>-3.1746031700000003E-2</v>
      </c>
      <c r="D165" s="15">
        <v>244</v>
      </c>
      <c r="E165" s="32">
        <f t="shared" si="86"/>
        <v>0</v>
      </c>
      <c r="F165" s="18">
        <f>IF(ISNUMBER(D165), $B172 * E165, "")</f>
        <v>0</v>
      </c>
      <c r="G165" s="31">
        <v>241</v>
      </c>
      <c r="H165" s="32">
        <f t="shared" si="87"/>
        <v>-1.2295081967213115E-2</v>
      </c>
      <c r="I165" s="101">
        <f>IF(ISNUMBER(G165), $B172 * H165, "")</f>
        <v>-1229.5081967213114</v>
      </c>
      <c r="J165" s="15">
        <v>237</v>
      </c>
      <c r="K165" s="32">
        <f t="shared" si="88"/>
        <v>-2.8688524590163935E-2</v>
      </c>
      <c r="L165" s="18">
        <f>IF(ISNUMBER(J165), $B172 * K165, "")</f>
        <v>-2868.8524590163934</v>
      </c>
      <c r="M165" s="31">
        <v>234</v>
      </c>
      <c r="N165" s="32">
        <f t="shared" si="89"/>
        <v>-4.0983606557377046E-2</v>
      </c>
      <c r="O165" s="18">
        <f>IF(ISNUMBER(M165), $B172 * N165, "")</f>
        <v>-4098.3606557377043</v>
      </c>
      <c r="Q165" s="261"/>
      <c r="R165" s="261"/>
      <c r="S165" s="261"/>
    </row>
    <row r="166" spans="1:19" ht="17.25" thickBot="1">
      <c r="A166" s="163" t="s">
        <v>279</v>
      </c>
      <c r="B166" s="128">
        <v>204</v>
      </c>
      <c r="C166" s="78">
        <v>-3.3175355500000003E-2</v>
      </c>
      <c r="D166" s="20">
        <v>203</v>
      </c>
      <c r="E166" s="21">
        <f t="shared" si="86"/>
        <v>-4.9019607843137254E-3</v>
      </c>
      <c r="F166" s="22">
        <f>IF(ISNUMBER(D166), $B172 * E166, "")</f>
        <v>-490.19607843137254</v>
      </c>
      <c r="G166" s="30">
        <v>201</v>
      </c>
      <c r="H166" s="21">
        <f t="shared" si="87"/>
        <v>-1.4705882352941176E-2</v>
      </c>
      <c r="I166" s="105">
        <f>IF(ISNUMBER(G166), $B172 * H166, "")</f>
        <v>-1470.5882352941176</v>
      </c>
      <c r="J166" s="20">
        <v>194</v>
      </c>
      <c r="K166" s="21">
        <f t="shared" si="88"/>
        <v>-4.9019607843137254E-2</v>
      </c>
      <c r="L166" s="22">
        <f>IF(ISNUMBER(J166), $B172 * K166, "")</f>
        <v>-4901.9607843137255</v>
      </c>
      <c r="M166" s="30">
        <v>192</v>
      </c>
      <c r="N166" s="21">
        <f t="shared" si="89"/>
        <v>-5.8823529411764705E-2</v>
      </c>
      <c r="O166" s="22">
        <f>IF(ISNUMBER(M166), $B172 * N166, "")</f>
        <v>-5882.3529411764703</v>
      </c>
      <c r="Q166" s="261"/>
      <c r="R166" s="261"/>
      <c r="S166" s="261"/>
    </row>
    <row r="167" spans="1:19" ht="17.25" thickBot="1">
      <c r="A167" s="162" t="s">
        <v>257</v>
      </c>
      <c r="B167" s="129">
        <v>491</v>
      </c>
      <c r="C167" s="80">
        <v>-3.7254901999999999E-2</v>
      </c>
      <c r="D167" s="106">
        <v>492</v>
      </c>
      <c r="E167" s="107">
        <f>IF(ISNUMBER(D167), (D167 - $B167) / $B167, "")</f>
        <v>2.0366598778004071E-3</v>
      </c>
      <c r="F167" s="108">
        <f>IF(ISNUMBER(D167), $B172 * E167, "")</f>
        <v>203.66598778004072</v>
      </c>
      <c r="G167" s="109">
        <v>488</v>
      </c>
      <c r="H167" s="107">
        <f>IF(ISNUMBER(G167), (G167 - $B167) / $B167, "")</f>
        <v>-6.1099796334012219E-3</v>
      </c>
      <c r="I167" s="110">
        <f>IF(ISNUMBER(G167), $B172 * H167, "")</f>
        <v>-610.99796334012217</v>
      </c>
      <c r="J167" s="106">
        <v>471</v>
      </c>
      <c r="K167" s="107">
        <f>IF(ISNUMBER(J167), (J167 - $B167) / $B167, "")</f>
        <v>-4.0733197556008148E-2</v>
      </c>
      <c r="L167" s="108">
        <f>IF(ISNUMBER(J167), $B172 * K167, "")</f>
        <v>-4073.3197556008149</v>
      </c>
      <c r="M167" s="109">
        <v>477</v>
      </c>
      <c r="N167" s="107">
        <f>IF(ISNUMBER(M167), (M167 - $B167) / $B167, "")</f>
        <v>-2.8513238289205704E-2</v>
      </c>
      <c r="O167" s="108">
        <f>IF(ISNUMBER(M167), $B172 * N167, "")</f>
        <v>-2851.3238289205706</v>
      </c>
      <c r="Q167" s="251"/>
      <c r="R167" s="251"/>
      <c r="S167" s="251"/>
    </row>
    <row r="168" spans="1:19" ht="17.25" thickBot="1">
      <c r="A168" s="162" t="s">
        <v>191</v>
      </c>
      <c r="B168" s="126">
        <v>982</v>
      </c>
      <c r="C168" s="77">
        <v>-3.7254901999999999E-2</v>
      </c>
      <c r="D168" s="15">
        <v>979</v>
      </c>
      <c r="E168" s="32">
        <f t="shared" ref="E168:E171" si="90">IF(ISNUMBER(D168), (D168 - $B168) / $B168, "")</f>
        <v>-3.0549898167006109E-3</v>
      </c>
      <c r="F168" s="18">
        <f>IF(ISNUMBER(D168), $B172 * E168, "")</f>
        <v>-305.49898167006108</v>
      </c>
      <c r="G168" s="31">
        <v>968</v>
      </c>
      <c r="H168" s="32">
        <f t="shared" ref="H168:H171" si="91">IF(ISNUMBER(G168), (G168 - $B168) / $B168, "")</f>
        <v>-1.4256619144602852E-2</v>
      </c>
      <c r="I168" s="101">
        <f>IF(ISNUMBER(G168), $B172 * H168, "")</f>
        <v>-1425.6619144602853</v>
      </c>
      <c r="J168" s="15">
        <v>949</v>
      </c>
      <c r="K168" s="32">
        <f t="shared" ref="K168:K171" si="92">IF(ISNUMBER(J168), (J168 - $B168) / $B168, "")</f>
        <v>-3.360488798370672E-2</v>
      </c>
      <c r="L168" s="18">
        <f>IF(ISNUMBER(J168), $B172 * K168, "")</f>
        <v>-3360.4887983706722</v>
      </c>
      <c r="M168" s="31">
        <v>948</v>
      </c>
      <c r="N168" s="32">
        <f t="shared" ref="N168:N171" si="93">IF(ISNUMBER(M168), (M168 - $B168) / $B168, "")</f>
        <v>-3.4623217922606926E-2</v>
      </c>
      <c r="O168" s="18">
        <f>IF(ISNUMBER(M168), $B172 * N168, "")</f>
        <v>-3462.3217922606927</v>
      </c>
      <c r="Q168" s="251"/>
      <c r="R168" s="251"/>
      <c r="S168" s="251"/>
    </row>
    <row r="169" spans="1:19" ht="17.25" thickBot="1">
      <c r="A169" s="162" t="s">
        <v>231</v>
      </c>
      <c r="B169" s="126">
        <v>345</v>
      </c>
      <c r="C169" s="77">
        <v>-5.2197802199999997E-2</v>
      </c>
      <c r="D169" s="15">
        <v>330</v>
      </c>
      <c r="E169" s="32">
        <f t="shared" si="90"/>
        <v>-4.3478260869565216E-2</v>
      </c>
      <c r="F169" s="18">
        <f>IF(ISNUMBER(D169), $B172 * E169, "")</f>
        <v>-4347.826086956522</v>
      </c>
      <c r="G169" s="31">
        <v>314</v>
      </c>
      <c r="H169" s="32">
        <f t="shared" si="91"/>
        <v>-8.9855072463768115E-2</v>
      </c>
      <c r="I169" s="101">
        <f>IF(ISNUMBER(G169), $B172 * H169, "")</f>
        <v>-8985.507246376812</v>
      </c>
      <c r="J169" s="15">
        <v>304</v>
      </c>
      <c r="K169" s="32">
        <f t="shared" si="92"/>
        <v>-0.11884057971014493</v>
      </c>
      <c r="L169" s="18">
        <f>IF(ISNUMBER(J169), $B172 * K169, "")</f>
        <v>-11884.057971014494</v>
      </c>
      <c r="M169" s="31">
        <v>308</v>
      </c>
      <c r="N169" s="32">
        <f t="shared" si="93"/>
        <v>-0.1072463768115942</v>
      </c>
      <c r="O169" s="18">
        <f>IF(ISNUMBER(M169), $B172 * N169, "")</f>
        <v>-10724.63768115942</v>
      </c>
      <c r="Q169" s="251"/>
      <c r="R169" s="251"/>
      <c r="S169" s="251"/>
    </row>
    <row r="170" spans="1:19">
      <c r="A170" s="162" t="s">
        <v>142</v>
      </c>
      <c r="B170" s="126">
        <v>612</v>
      </c>
      <c r="C170" s="77">
        <v>-6.42201835E-2</v>
      </c>
      <c r="D170" s="15">
        <v>607</v>
      </c>
      <c r="E170" s="32">
        <f t="shared" si="90"/>
        <v>-8.1699346405228763E-3</v>
      </c>
      <c r="F170" s="18">
        <f>IF(ISNUMBER(D170), $B172 * E170, "")</f>
        <v>-816.99346405228766</v>
      </c>
      <c r="G170" s="31">
        <v>582</v>
      </c>
      <c r="H170" s="32">
        <f t="shared" si="91"/>
        <v>-4.9019607843137254E-2</v>
      </c>
      <c r="I170" s="101">
        <f>IF(ISNUMBER(G170), $B172 * H170, "")</f>
        <v>-4901.9607843137255</v>
      </c>
      <c r="J170" s="15">
        <v>571</v>
      </c>
      <c r="K170" s="32">
        <f t="shared" si="92"/>
        <v>-6.699346405228758E-2</v>
      </c>
      <c r="L170" s="18">
        <f>IF(ISNUMBER(J170), $B172 * K170, "")</f>
        <v>-6699.3464052287582</v>
      </c>
      <c r="M170" s="31">
        <v>571</v>
      </c>
      <c r="N170" s="32">
        <f t="shared" si="93"/>
        <v>-6.699346405228758E-2</v>
      </c>
      <c r="O170" s="18">
        <f>IF(ISNUMBER(M170), $B172 * N170, "")</f>
        <v>-6699.3464052287582</v>
      </c>
      <c r="Q170" s="240"/>
      <c r="R170" s="241"/>
      <c r="S170" s="242"/>
    </row>
    <row r="171" spans="1:19" ht="17.25" thickBot="1">
      <c r="A171" s="130" t="s">
        <v>161</v>
      </c>
      <c r="B171" s="131">
        <v>736</v>
      </c>
      <c r="C171" s="79">
        <v>-8.9108910900000005E-2</v>
      </c>
      <c r="D171" s="24">
        <v>769</v>
      </c>
      <c r="E171" s="25">
        <f t="shared" si="90"/>
        <v>4.4836956521739128E-2</v>
      </c>
      <c r="F171" s="104">
        <f>IF(ISNUMBER(D171), $B172 * E171, "")</f>
        <v>4483.695652173913</v>
      </c>
      <c r="G171" s="102">
        <v>743</v>
      </c>
      <c r="H171" s="25">
        <f t="shared" si="91"/>
        <v>9.5108695652173919E-3</v>
      </c>
      <c r="I171" s="103">
        <f>IF(ISNUMBER(G171), $B172 * H171, "")</f>
        <v>951.08695652173924</v>
      </c>
      <c r="J171" s="24">
        <v>733</v>
      </c>
      <c r="K171" s="25">
        <f t="shared" si="92"/>
        <v>-4.076086956521739E-3</v>
      </c>
      <c r="L171" s="104">
        <f>IF(ISNUMBER(J171), $B172 * K171, "")</f>
        <v>-407.60869565217388</v>
      </c>
      <c r="M171" s="102">
        <v>732</v>
      </c>
      <c r="N171" s="25">
        <f t="shared" si="93"/>
        <v>-5.434782608695652E-3</v>
      </c>
      <c r="O171" s="104">
        <f>IF(ISNUMBER(M171), $B172 * N171, "")</f>
        <v>-543.47826086956525</v>
      </c>
      <c r="Q171" s="243"/>
      <c r="R171" s="244"/>
      <c r="S171" s="245"/>
    </row>
    <row r="172" spans="1:19" ht="17.25" thickBot="1">
      <c r="A172" s="132" t="s">
        <v>295</v>
      </c>
      <c r="B172" s="304">
        <f>$B$37</f>
        <v>100000</v>
      </c>
      <c r="C172" s="305"/>
      <c r="D172" s="26" t="s">
        <v>296</v>
      </c>
      <c r="E172" s="27">
        <f>IF(COUNT(E152:E171), SUM(E152:E171) / COUNT(E152:E171), 0)</f>
        <v>3.815105730431474E-3</v>
      </c>
      <c r="F172" s="28">
        <f>SUM(F152:F171)</f>
        <v>7630.2114608629463</v>
      </c>
      <c r="G172" s="26" t="s">
        <v>296</v>
      </c>
      <c r="H172" s="27">
        <f>IF(COUNT(H152:H171), SUM(H152:H171) / COUNT(H152:H171), 0)</f>
        <v>-6.4358388769858608E-3</v>
      </c>
      <c r="I172" s="28">
        <f>SUM(I152:I171)</f>
        <v>-12871.677753971722</v>
      </c>
      <c r="J172" s="26" t="s">
        <v>296</v>
      </c>
      <c r="K172" s="27">
        <f>IF(COUNT(K152:K171), SUM(K152:K171) / COUNT(K152:K171), 0)</f>
        <v>-3.0880695514505768E-2</v>
      </c>
      <c r="L172" s="28">
        <f>SUM(L152:L171)</f>
        <v>-61761.391029011545</v>
      </c>
      <c r="M172" s="26" t="s">
        <v>296</v>
      </c>
      <c r="N172" s="27">
        <f>IF(COUNT(N152:N171), SUM(N152:N171) / COUNT(N152:N171), 0)</f>
        <v>-3.2286737811135349E-2</v>
      </c>
      <c r="O172" s="28">
        <f>SUM(O152:O171)</f>
        <v>-64573.475622270693</v>
      </c>
      <c r="Q172" s="246"/>
      <c r="R172" s="247"/>
      <c r="S172" s="248"/>
    </row>
    <row r="174" spans="1:19" ht="17.25" thickBot="1"/>
    <row r="175" spans="1:19" ht="17.25" thickBot="1">
      <c r="A175" s="262" t="s">
        <v>280</v>
      </c>
      <c r="B175" s="263"/>
      <c r="C175" s="263"/>
      <c r="D175" s="263"/>
      <c r="E175" s="263"/>
      <c r="F175" s="263"/>
      <c r="G175" s="263"/>
      <c r="H175" s="263"/>
      <c r="I175" s="263"/>
      <c r="J175" s="263"/>
      <c r="K175" s="263"/>
      <c r="L175" s="263"/>
      <c r="M175" s="263"/>
      <c r="N175" s="263"/>
      <c r="O175" s="264"/>
      <c r="Q175" s="261"/>
      <c r="R175" s="261"/>
      <c r="S175" s="261"/>
    </row>
    <row r="176" spans="1:19" ht="17.25" thickBot="1">
      <c r="A176" s="220" t="s">
        <v>292</v>
      </c>
      <c r="B176" s="262" t="s">
        <v>49</v>
      </c>
      <c r="C176" s="264"/>
      <c r="D176" s="262" t="s">
        <v>58</v>
      </c>
      <c r="E176" s="263"/>
      <c r="F176" s="264"/>
      <c r="G176" s="265">
        <f>_xlfn.IFNA(VLOOKUP(B176, 현재가테이블!$B$2:$D$200, 2, FALSE), "-")</f>
        <v>40538000</v>
      </c>
      <c r="H176" s="266"/>
      <c r="I176" s="267"/>
      <c r="J176" s="262" t="s">
        <v>59</v>
      </c>
      <c r="K176" s="263"/>
      <c r="L176" s="264"/>
      <c r="M176" s="268">
        <f>_xlfn.IFNA(VLOOKUP(B176, 현재가테이블!$B$2:$D$200, 3, FALSE), "-")</f>
        <v>-3.68275993E-2</v>
      </c>
      <c r="N176" s="269"/>
      <c r="O176" s="270"/>
      <c r="Q176" s="261"/>
      <c r="R176" s="261"/>
      <c r="S176" s="261"/>
    </row>
    <row r="177" spans="1:19" ht="17.25" thickBot="1">
      <c r="A177" s="306" t="s">
        <v>55</v>
      </c>
      <c r="B177" s="302" t="str">
        <f>TEXT($G$1, "[$-ko-KR]yyyy-mm-dd(ddd) ") &amp; "오전 00:00"</f>
        <v>2021-06-16(수) 오전 00:00</v>
      </c>
      <c r="C177" s="303"/>
      <c r="D177" s="275" t="str">
        <f>TEXT($G$1, "[$-ko-KR]yyyy-mm-dd(ddd) ") &amp; "오후 14:00"</f>
        <v>2021-06-16(수) 오후 14:00</v>
      </c>
      <c r="E177" s="276"/>
      <c r="F177" s="277"/>
      <c r="G177" s="275" t="str">
        <f>TEXT($G$1, "[$-ko-KR]yyyy-mm-dd(ddd) ") &amp; "오후 19:00"</f>
        <v>2021-06-16(수) 오후 19:00</v>
      </c>
      <c r="H177" s="276"/>
      <c r="I177" s="277"/>
      <c r="J177" s="275" t="str">
        <f>TEXT($G$1, "[$-ko-KR]yyyy-mm-dd(ddd) ") &amp; "오후 21:00"</f>
        <v>2021-06-16(수) 오후 21:00</v>
      </c>
      <c r="K177" s="276"/>
      <c r="L177" s="277"/>
      <c r="M177" s="275" t="str">
        <f>TEXT($G$1+1, "[$-ko-KR]yyyy-mm-dd(ddd) ") &amp; "오전 00:00"</f>
        <v>2021-06-17(목) 오전 00:00</v>
      </c>
      <c r="N177" s="276"/>
      <c r="O177" s="277"/>
      <c r="Q177" s="261"/>
      <c r="R177" s="261"/>
      <c r="S177" s="261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1" t="s">
        <v>58</v>
      </c>
      <c r="H178" s="222" t="s">
        <v>293</v>
      </c>
      <c r="I178" s="22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1"/>
      <c r="R178" s="251"/>
      <c r="S178" s="251"/>
    </row>
    <row r="179" spans="1:19" ht="17.25" thickBot="1">
      <c r="A179" s="161" t="s">
        <v>74</v>
      </c>
      <c r="B179" s="124">
        <v>14820</v>
      </c>
      <c r="C179" s="76">
        <v>-2.8196721300000002E-2</v>
      </c>
      <c r="D179" s="13">
        <v>14950</v>
      </c>
      <c r="E179" s="14">
        <f>IF(ISNUMBER(D179), (D179 - $B179) / $B179, "")</f>
        <v>8.771929824561403E-3</v>
      </c>
      <c r="F179" s="16">
        <f>IF(ISNUMBER(D179), $B199 * E179, "")</f>
        <v>877.19298245614027</v>
      </c>
      <c r="G179" s="29">
        <v>14930</v>
      </c>
      <c r="H179" s="14">
        <f>IF(ISNUMBER(G179), (G179 - $B179) / $B179, "")</f>
        <v>7.4224021592442643E-3</v>
      </c>
      <c r="I179" s="100">
        <f>IF(ISNUMBER(G179), $B199 * H179, "")</f>
        <v>742.24021592442648</v>
      </c>
      <c r="J179" s="13">
        <v>14550</v>
      </c>
      <c r="K179" s="14">
        <f>IF(ISNUMBER(J179), (J179 - $B179) / $B179, "")</f>
        <v>-1.8218623481781375E-2</v>
      </c>
      <c r="L179" s="16">
        <f>IF(ISNUMBER(J179), $B199 * K179, "")</f>
        <v>-1821.8623481781376</v>
      </c>
      <c r="M179" s="29">
        <v>14450</v>
      </c>
      <c r="N179" s="14">
        <f>IF(ISNUMBER(M179), (M179 - $B179) / $B179, "")</f>
        <v>-2.4966261808367071E-2</v>
      </c>
      <c r="O179" s="16">
        <f>IF(ISNUMBER(M179), $B199 * N179, "")</f>
        <v>-2496.6261808367071</v>
      </c>
      <c r="Q179" s="261"/>
      <c r="R179" s="261"/>
      <c r="S179" s="261"/>
    </row>
    <row r="180" spans="1:19" ht="17.25" thickBot="1">
      <c r="A180" s="162" t="s">
        <v>128</v>
      </c>
      <c r="B180" s="126">
        <v>307</v>
      </c>
      <c r="C180" s="77">
        <v>-2.8481012699999999E-2</v>
      </c>
      <c r="D180" s="15">
        <v>306</v>
      </c>
      <c r="E180" s="32">
        <f t="shared" ref="E180:E183" si="94">IF(ISNUMBER(D180), (D180 - $B180) / $B180, "")</f>
        <v>-3.2573289902280132E-3</v>
      </c>
      <c r="F180" s="18">
        <f>IF(ISNUMBER(D180), $B199 * E180, "")</f>
        <v>-325.73289902280129</v>
      </c>
      <c r="G180" s="31">
        <v>304</v>
      </c>
      <c r="H180" s="32">
        <f t="shared" ref="H180:H183" si="95">IF(ISNUMBER(G180), (G180 - $B180) / $B180, "")</f>
        <v>-9.7719869706840382E-3</v>
      </c>
      <c r="I180" s="101">
        <f>IF(ISNUMBER(G180), $B199 * H180, "")</f>
        <v>-977.19869706840382</v>
      </c>
      <c r="J180" s="15">
        <v>297</v>
      </c>
      <c r="K180" s="32">
        <f t="shared" ref="K180:K183" si="96">IF(ISNUMBER(J180), (J180 - $B180) / $B180, "")</f>
        <v>-3.2573289902280131E-2</v>
      </c>
      <c r="L180" s="18">
        <f>IF(ISNUMBER(J180), $B199 * K180, "")</f>
        <v>-3257.328990228013</v>
      </c>
      <c r="M180" s="31">
        <v>296</v>
      </c>
      <c r="N180" s="32">
        <f t="shared" ref="N180:N183" si="97">IF(ISNUMBER(M180), (M180 - $B180) / $B180, "")</f>
        <v>-3.5830618892508145E-2</v>
      </c>
      <c r="O180" s="18">
        <f>IF(ISNUMBER(M180), $B199 * N180, "")</f>
        <v>-3583.0618892508146</v>
      </c>
      <c r="Q180" s="261"/>
      <c r="R180" s="261"/>
      <c r="S180" s="261"/>
    </row>
    <row r="181" spans="1:19" ht="17.25" thickBot="1">
      <c r="A181" s="162" t="s">
        <v>160</v>
      </c>
      <c r="B181" s="126">
        <v>1590</v>
      </c>
      <c r="C181" s="77">
        <v>-3.0487804899999998E-2</v>
      </c>
      <c r="D181" s="15">
        <v>1605</v>
      </c>
      <c r="E181" s="32">
        <f t="shared" si="94"/>
        <v>9.433962264150943E-3</v>
      </c>
      <c r="F181" s="18">
        <f>IF(ISNUMBER(D181), $B199 * E181, "")</f>
        <v>943.39622641509425</v>
      </c>
      <c r="G181" s="31">
        <v>1690</v>
      </c>
      <c r="H181" s="32">
        <f t="shared" si="95"/>
        <v>6.2893081761006289E-2</v>
      </c>
      <c r="I181" s="101">
        <f>IF(ISNUMBER(G181), $B199 * H181, "")</f>
        <v>6289.3081761006288</v>
      </c>
      <c r="J181" s="15">
        <v>1655</v>
      </c>
      <c r="K181" s="32">
        <f t="shared" si="96"/>
        <v>4.0880503144654086E-2</v>
      </c>
      <c r="L181" s="18">
        <f>IF(ISNUMBER(J181), $B199 * K181, "")</f>
        <v>4088.0503144654085</v>
      </c>
      <c r="M181" s="31">
        <v>1655</v>
      </c>
      <c r="N181" s="32">
        <f t="shared" si="97"/>
        <v>4.0880503144654086E-2</v>
      </c>
      <c r="O181" s="18">
        <f>IF(ISNUMBER(M181), $B199 * N181, "")</f>
        <v>4088.0503144654085</v>
      </c>
      <c r="Q181" s="251"/>
      <c r="R181" s="251"/>
      <c r="S181" s="251"/>
    </row>
    <row r="182" spans="1:19" ht="17.25" thickBot="1">
      <c r="A182" s="162" t="s">
        <v>267</v>
      </c>
      <c r="B182" s="126">
        <v>1245</v>
      </c>
      <c r="C182" s="77">
        <v>-3.1128404700000001E-2</v>
      </c>
      <c r="D182" s="15">
        <v>1245</v>
      </c>
      <c r="E182" s="32">
        <f t="shared" si="94"/>
        <v>0</v>
      </c>
      <c r="F182" s="18">
        <f>IF(ISNUMBER(D182), $B199 * E182, "")</f>
        <v>0</v>
      </c>
      <c r="G182" s="31">
        <v>1240</v>
      </c>
      <c r="H182" s="32">
        <f t="shared" si="95"/>
        <v>-4.0160642570281121E-3</v>
      </c>
      <c r="I182" s="101">
        <f>IF(ISNUMBER(G182), $B199 * H182, "")</f>
        <v>-401.60642570281118</v>
      </c>
      <c r="J182" s="15">
        <v>1215</v>
      </c>
      <c r="K182" s="32">
        <f t="shared" si="96"/>
        <v>-2.4096385542168676E-2</v>
      </c>
      <c r="L182" s="18">
        <f>IF(ISNUMBER(J182), $B199 * K182, "")</f>
        <v>-2409.6385542168678</v>
      </c>
      <c r="M182" s="31">
        <v>1230</v>
      </c>
      <c r="N182" s="32">
        <f t="shared" si="97"/>
        <v>-1.2048192771084338E-2</v>
      </c>
      <c r="O182" s="18">
        <f>IF(ISNUMBER(M182), $B199 * N182, "")</f>
        <v>-1204.8192771084339</v>
      </c>
      <c r="Q182" s="251"/>
      <c r="R182" s="251"/>
      <c r="S182" s="251"/>
    </row>
    <row r="183" spans="1:19" ht="17.25" thickBot="1">
      <c r="A183" s="163" t="s">
        <v>259</v>
      </c>
      <c r="B183" s="128">
        <v>74.5</v>
      </c>
      <c r="C183" s="78">
        <v>-3.1209362800000001E-2</v>
      </c>
      <c r="D183" s="20">
        <v>75</v>
      </c>
      <c r="E183" s="21">
        <f t="shared" si="94"/>
        <v>6.7114093959731542E-3</v>
      </c>
      <c r="F183" s="22">
        <f>IF(ISNUMBER(D183), $B199 * E183, "")</f>
        <v>671.14093959731542</v>
      </c>
      <c r="G183" s="30">
        <v>73.5</v>
      </c>
      <c r="H183" s="21">
        <f t="shared" si="95"/>
        <v>-1.3422818791946308E-2</v>
      </c>
      <c r="I183" s="105">
        <f>IF(ISNUMBER(G183), $B199 * H183, "")</f>
        <v>-1342.2818791946308</v>
      </c>
      <c r="J183" s="20">
        <v>71.099999999999994</v>
      </c>
      <c r="K183" s="21">
        <f t="shared" si="96"/>
        <v>-4.5637583892617524E-2</v>
      </c>
      <c r="L183" s="22">
        <f>IF(ISNUMBER(J183), $B199 * K183, "")</f>
        <v>-4563.7583892617522</v>
      </c>
      <c r="M183" s="30">
        <v>71.400000000000006</v>
      </c>
      <c r="N183" s="21">
        <f t="shared" si="97"/>
        <v>-4.1610738255033482E-2</v>
      </c>
      <c r="O183" s="22">
        <f>IF(ISNUMBER(M183), $B199 * N183, "")</f>
        <v>-4161.0738255033484</v>
      </c>
      <c r="Q183" s="251"/>
      <c r="R183" s="251"/>
      <c r="S183" s="251"/>
    </row>
    <row r="184" spans="1:19" ht="17.25" thickBot="1">
      <c r="A184" s="162" t="s">
        <v>214</v>
      </c>
      <c r="B184" s="129">
        <v>244</v>
      </c>
      <c r="C184" s="80">
        <v>-3.1746031700000003E-2</v>
      </c>
      <c r="D184" s="106">
        <v>244</v>
      </c>
      <c r="E184" s="107">
        <f>IF(ISNUMBER(D184), (D184 - $B184) / $B184, "")</f>
        <v>0</v>
      </c>
      <c r="F184" s="108">
        <f>IF(ISNUMBER(D184), $B199 * E184, "")</f>
        <v>0</v>
      </c>
      <c r="G184" s="109">
        <v>241</v>
      </c>
      <c r="H184" s="107">
        <f>IF(ISNUMBER(G184), (G184 - $B184) / $B184, "")</f>
        <v>-1.2295081967213115E-2</v>
      </c>
      <c r="I184" s="110">
        <f>IF(ISNUMBER(G184), $B199 * H184, "")</f>
        <v>-1229.5081967213114</v>
      </c>
      <c r="J184" s="106">
        <v>237</v>
      </c>
      <c r="K184" s="107">
        <f>IF(ISNUMBER(J184), (J184 - $B184) / $B184, "")</f>
        <v>-2.8688524590163935E-2</v>
      </c>
      <c r="L184" s="108">
        <f>IF(ISNUMBER(J184), $B199 * K184, "")</f>
        <v>-2868.8524590163934</v>
      </c>
      <c r="M184" s="109">
        <v>234</v>
      </c>
      <c r="N184" s="107">
        <f>IF(ISNUMBER(M184), (M184 - $B184) / $B184, "")</f>
        <v>-4.0983606557377046E-2</v>
      </c>
      <c r="O184" s="108">
        <f>IF(ISNUMBER(M184), $B199 * N184, "")</f>
        <v>-4098.3606557377043</v>
      </c>
      <c r="Q184" s="251"/>
      <c r="R184" s="251"/>
      <c r="S184" s="251"/>
    </row>
    <row r="185" spans="1:19" ht="17.25" thickBot="1">
      <c r="A185" s="162" t="s">
        <v>279</v>
      </c>
      <c r="B185" s="126">
        <v>204</v>
      </c>
      <c r="C185" s="77">
        <v>-3.3175355500000003E-2</v>
      </c>
      <c r="D185" s="15">
        <v>203</v>
      </c>
      <c r="E185" s="32">
        <f t="shared" ref="E185:E188" si="98">IF(ISNUMBER(D185), (D185 - $B185) / $B185, "")</f>
        <v>-4.9019607843137254E-3</v>
      </c>
      <c r="F185" s="18">
        <f>IF(ISNUMBER(D185), $B199 * E185, "")</f>
        <v>-490.19607843137254</v>
      </c>
      <c r="G185" s="31">
        <v>201</v>
      </c>
      <c r="H185" s="32">
        <f t="shared" ref="H185:H188" si="99">IF(ISNUMBER(G185), (G185 - $B185) / $B185, "")</f>
        <v>-1.4705882352941176E-2</v>
      </c>
      <c r="I185" s="101">
        <f>IF(ISNUMBER(G185), $B199 * H185, "")</f>
        <v>-1470.5882352941176</v>
      </c>
      <c r="J185" s="15">
        <v>194</v>
      </c>
      <c r="K185" s="32">
        <f t="shared" ref="K185:K188" si="100">IF(ISNUMBER(J185), (J185 - $B185) / $B185, "")</f>
        <v>-4.9019607843137254E-2</v>
      </c>
      <c r="L185" s="18">
        <f>IF(ISNUMBER(J185), $B199 * K185, "")</f>
        <v>-4901.9607843137255</v>
      </c>
      <c r="M185" s="31">
        <v>192</v>
      </c>
      <c r="N185" s="32">
        <f t="shared" ref="N185:N188" si="101">IF(ISNUMBER(M185), (M185 - $B185) / $B185, "")</f>
        <v>-5.8823529411764705E-2</v>
      </c>
      <c r="O185" s="18">
        <f>IF(ISNUMBER(M185), $B199 * N185, "")</f>
        <v>-5882.3529411764703</v>
      </c>
      <c r="Q185" s="251"/>
      <c r="R185" s="251"/>
      <c r="S185" s="251"/>
    </row>
    <row r="186" spans="1:19" ht="17.25" thickBot="1">
      <c r="A186" s="162" t="s">
        <v>206</v>
      </c>
      <c r="B186" s="126">
        <v>98.4</v>
      </c>
      <c r="C186" s="77">
        <v>-3.5294117600000001E-2</v>
      </c>
      <c r="D186" s="15">
        <v>97.4</v>
      </c>
      <c r="E186" s="32">
        <f t="shared" si="98"/>
        <v>-1.016260162601626E-2</v>
      </c>
      <c r="F186" s="18">
        <f>IF(ISNUMBER(D186), $B199 * E186, "")</f>
        <v>-1016.260162601626</v>
      </c>
      <c r="G186" s="31">
        <v>92.6</v>
      </c>
      <c r="H186" s="32">
        <f t="shared" si="99"/>
        <v>-5.8943089430894421E-2</v>
      </c>
      <c r="I186" s="101">
        <f>IF(ISNUMBER(G186), $B199 * H186, "")</f>
        <v>-5894.3089430894424</v>
      </c>
      <c r="J186" s="15">
        <v>88.9</v>
      </c>
      <c r="K186" s="32">
        <f t="shared" si="100"/>
        <v>-9.6544715447154469E-2</v>
      </c>
      <c r="L186" s="18">
        <f>IF(ISNUMBER(J186), $B199 * K186, "")</f>
        <v>-9654.4715447154467</v>
      </c>
      <c r="M186" s="31">
        <v>89.4</v>
      </c>
      <c r="N186" s="32">
        <f t="shared" si="101"/>
        <v>-9.1463414634146339E-2</v>
      </c>
      <c r="O186" s="18">
        <f>IF(ISNUMBER(M186), $B199 * N186, "")</f>
        <v>-9146.3414634146338</v>
      </c>
      <c r="Q186" s="251"/>
      <c r="R186" s="251"/>
      <c r="S186" s="251"/>
    </row>
    <row r="187" spans="1:19" ht="17.25" thickBot="1">
      <c r="A187" s="162" t="s">
        <v>118</v>
      </c>
      <c r="B187" s="126">
        <v>4440</v>
      </c>
      <c r="C187" s="77">
        <v>-3.58306189E-2</v>
      </c>
      <c r="D187" s="15">
        <v>5005</v>
      </c>
      <c r="E187" s="32">
        <f t="shared" si="98"/>
        <v>0.12725225225225226</v>
      </c>
      <c r="F187" s="18">
        <f>IF(ISNUMBER(D187), $B199 * E187, "")</f>
        <v>12725.225225225226</v>
      </c>
      <c r="G187" s="31">
        <v>5000</v>
      </c>
      <c r="H187" s="32">
        <f t="shared" si="99"/>
        <v>0.12612612612612611</v>
      </c>
      <c r="I187" s="101">
        <f>IF(ISNUMBER(G187), $B199 * H187, "")</f>
        <v>12612.612612612611</v>
      </c>
      <c r="J187" s="15">
        <v>4935</v>
      </c>
      <c r="K187" s="32">
        <f t="shared" si="100"/>
        <v>0.11148648648648649</v>
      </c>
      <c r="L187" s="18">
        <f>IF(ISNUMBER(J187), $B199 * K187, "")</f>
        <v>11148.648648648648</v>
      </c>
      <c r="M187" s="31">
        <v>5000</v>
      </c>
      <c r="N187" s="32">
        <f t="shared" si="101"/>
        <v>0.12612612612612611</v>
      </c>
      <c r="O187" s="18">
        <f>IF(ISNUMBER(M187), $B199 * N187, "")</f>
        <v>12612.612612612611</v>
      </c>
      <c r="Q187" s="33"/>
      <c r="R187" s="33"/>
    </row>
    <row r="188" spans="1:19" ht="17.25" thickBot="1">
      <c r="A188" s="130" t="s">
        <v>257</v>
      </c>
      <c r="B188" s="131">
        <v>491</v>
      </c>
      <c r="C188" s="79">
        <v>-3.7254901999999999E-2</v>
      </c>
      <c r="D188" s="24">
        <v>492</v>
      </c>
      <c r="E188" s="25">
        <f t="shared" si="98"/>
        <v>2.0366598778004071E-3</v>
      </c>
      <c r="F188" s="104">
        <f>IF(ISNUMBER(D188), $B199 * E188, "")</f>
        <v>203.66598778004072</v>
      </c>
      <c r="G188" s="102">
        <v>488</v>
      </c>
      <c r="H188" s="25">
        <f t="shared" si="99"/>
        <v>-6.1099796334012219E-3</v>
      </c>
      <c r="I188" s="103">
        <f>IF(ISNUMBER(G188), $B199 * H188, "")</f>
        <v>-610.99796334012217</v>
      </c>
      <c r="J188" s="24">
        <v>471</v>
      </c>
      <c r="K188" s="25">
        <f t="shared" si="100"/>
        <v>-4.0733197556008148E-2</v>
      </c>
      <c r="L188" s="104">
        <f>IF(ISNUMBER(J188), $B199 * K188, "")</f>
        <v>-4073.3197556008149</v>
      </c>
      <c r="M188" s="102">
        <v>477</v>
      </c>
      <c r="N188" s="25">
        <f t="shared" si="101"/>
        <v>-2.8513238289205704E-2</v>
      </c>
      <c r="O188" s="104">
        <f>IF(ISNUMBER(M188), $B199 * N188, "")</f>
        <v>-2851.3238289205706</v>
      </c>
      <c r="Q188" s="252"/>
      <c r="R188" s="253"/>
      <c r="S188" s="254"/>
    </row>
    <row r="189" spans="1:19">
      <c r="A189" s="161" t="s">
        <v>191</v>
      </c>
      <c r="B189" s="124">
        <v>982</v>
      </c>
      <c r="C189" s="76">
        <v>-3.7254901999999999E-2</v>
      </c>
      <c r="D189" s="13">
        <v>979</v>
      </c>
      <c r="E189" s="14">
        <f>IF(ISNUMBER(D189), (D189 - $B189) / $B189, "")</f>
        <v>-3.0549898167006109E-3</v>
      </c>
      <c r="F189" s="16">
        <f>IF(ISNUMBER(D189), $B199 * E189, "")</f>
        <v>-305.49898167006108</v>
      </c>
      <c r="G189" s="29">
        <v>968</v>
      </c>
      <c r="H189" s="14">
        <f>IF(ISNUMBER(G189), (G189 - $B189) / $B189, "")</f>
        <v>-1.4256619144602852E-2</v>
      </c>
      <c r="I189" s="100">
        <f>IF(ISNUMBER(G189), $B199 * H189, "")</f>
        <v>-1425.6619144602853</v>
      </c>
      <c r="J189" s="13">
        <v>949</v>
      </c>
      <c r="K189" s="14">
        <f>IF(ISNUMBER(J189), (J189 - $B189) / $B189, "")</f>
        <v>-3.360488798370672E-2</v>
      </c>
      <c r="L189" s="16">
        <f>IF(ISNUMBER(J189), $B199 * K189, "")</f>
        <v>-3360.4887983706722</v>
      </c>
      <c r="M189" s="29">
        <v>948</v>
      </c>
      <c r="N189" s="14">
        <f>IF(ISNUMBER(M189), (M189 - $B189) / $B189, "")</f>
        <v>-3.4623217922606926E-2</v>
      </c>
      <c r="O189" s="16">
        <f>IF(ISNUMBER(M189), $B199 * N189, "")</f>
        <v>-3462.3217922606927</v>
      </c>
      <c r="Q189" s="255"/>
      <c r="R189" s="256"/>
      <c r="S189" s="257"/>
    </row>
    <row r="190" spans="1:19" ht="17.25" thickBot="1">
      <c r="A190" s="162" t="s">
        <v>238</v>
      </c>
      <c r="B190" s="126">
        <v>3420</v>
      </c>
      <c r="C190" s="77">
        <v>-3.7974683500000002E-2</v>
      </c>
      <c r="D190" s="15">
        <v>3440</v>
      </c>
      <c r="E190" s="32">
        <f t="shared" ref="E190:E193" si="102">IF(ISNUMBER(D190), (D190 - $B190) / $B190, "")</f>
        <v>5.8479532163742687E-3</v>
      </c>
      <c r="F190" s="18">
        <f>IF(ISNUMBER(D190), $B199 * E190, "")</f>
        <v>584.79532163742692</v>
      </c>
      <c r="G190" s="31">
        <v>3450</v>
      </c>
      <c r="H190" s="32">
        <f t="shared" ref="H190:H193" si="103">IF(ISNUMBER(G190), (G190 - $B190) / $B190, "")</f>
        <v>8.771929824561403E-3</v>
      </c>
      <c r="I190" s="101">
        <f>IF(ISNUMBER(G190), $B199 * H190, "")</f>
        <v>877.19298245614027</v>
      </c>
      <c r="J190" s="15">
        <v>3345</v>
      </c>
      <c r="K190" s="32">
        <f t="shared" ref="K190:K193" si="104">IF(ISNUMBER(J190), (J190 - $B190) / $B190, "")</f>
        <v>-2.1929824561403508E-2</v>
      </c>
      <c r="L190" s="18">
        <f>IF(ISNUMBER(J190), $B199 * K190, "")</f>
        <v>-2192.9824561403507</v>
      </c>
      <c r="M190" s="31">
        <v>3315</v>
      </c>
      <c r="N190" s="32">
        <f t="shared" ref="N190:N193" si="105">IF(ISNUMBER(M190), (M190 - $B190) / $B190, "")</f>
        <v>-3.0701754385964911E-2</v>
      </c>
      <c r="O190" s="18">
        <f>IF(ISNUMBER(M190), $B199 * N190, "")</f>
        <v>-3070.1754385964909</v>
      </c>
      <c r="Q190" s="258"/>
      <c r="R190" s="259"/>
      <c r="S190" s="260"/>
    </row>
    <row r="191" spans="1:19" ht="17.25" thickBot="1">
      <c r="A191" s="162" t="s">
        <v>229</v>
      </c>
      <c r="B191" s="126">
        <v>92.6</v>
      </c>
      <c r="C191" s="77">
        <v>-3.8421599200000003E-2</v>
      </c>
      <c r="D191" s="15">
        <v>109</v>
      </c>
      <c r="E191" s="32">
        <f t="shared" si="102"/>
        <v>0.17710583153347739</v>
      </c>
      <c r="F191" s="18">
        <f>IF(ISNUMBER(D191), $B199 * E191, "")</f>
        <v>17710.583153347739</v>
      </c>
      <c r="G191" s="31">
        <v>106</v>
      </c>
      <c r="H191" s="32">
        <f t="shared" si="103"/>
        <v>0.14470842332613398</v>
      </c>
      <c r="I191" s="101">
        <f>IF(ISNUMBER(G191), $B199 * H191, "")</f>
        <v>14470.842332613398</v>
      </c>
      <c r="J191" s="15">
        <v>103</v>
      </c>
      <c r="K191" s="32">
        <f t="shared" si="104"/>
        <v>0.11231101511879056</v>
      </c>
      <c r="L191" s="18">
        <f>IF(ISNUMBER(J191), $B199 * K191, "")</f>
        <v>11231.101511879056</v>
      </c>
      <c r="M191" s="31">
        <v>102</v>
      </c>
      <c r="N191" s="32">
        <f t="shared" si="105"/>
        <v>0.1015118790496761</v>
      </c>
      <c r="O191" s="18">
        <f>IF(ISNUMBER(M191), $B199 * N191, "")</f>
        <v>10151.18790496761</v>
      </c>
      <c r="Q191" s="251"/>
      <c r="R191" s="251"/>
      <c r="S191" s="251"/>
    </row>
    <row r="192" spans="1:19" ht="17.25" thickBot="1">
      <c r="A192" s="162" t="s">
        <v>179</v>
      </c>
      <c r="B192" s="126">
        <v>2485</v>
      </c>
      <c r="C192" s="77">
        <v>-3.8684719499999999E-2</v>
      </c>
      <c r="D192" s="15">
        <v>2490</v>
      </c>
      <c r="E192" s="32">
        <f t="shared" si="102"/>
        <v>2.012072434607646E-3</v>
      </c>
      <c r="F192" s="18">
        <f>IF(ISNUMBER(D192), $B199 * E192, "")</f>
        <v>201.2072434607646</v>
      </c>
      <c r="G192" s="31">
        <v>2475</v>
      </c>
      <c r="H192" s="32">
        <f t="shared" si="103"/>
        <v>-4.0241448692152921E-3</v>
      </c>
      <c r="I192" s="101">
        <f>IF(ISNUMBER(G192), $B199 * H192, "")</f>
        <v>-402.4144869215292</v>
      </c>
      <c r="J192" s="15">
        <v>2410</v>
      </c>
      <c r="K192" s="32">
        <f t="shared" si="104"/>
        <v>-3.0181086519114688E-2</v>
      </c>
      <c r="L192" s="18">
        <f>IF(ISNUMBER(J192), $B199 * K192, "")</f>
        <v>-3018.1086519114688</v>
      </c>
      <c r="M192" s="31">
        <v>2395</v>
      </c>
      <c r="N192" s="32">
        <f t="shared" si="105"/>
        <v>-3.6217303822937627E-2</v>
      </c>
      <c r="O192" s="18">
        <f>IF(ISNUMBER(M192), $B199 * N192, "")</f>
        <v>-3621.7303822937629</v>
      </c>
      <c r="Q192" s="261"/>
      <c r="R192" s="261"/>
      <c r="S192" s="261"/>
    </row>
    <row r="193" spans="1:19" ht="17.25" thickBot="1">
      <c r="A193" s="163" t="s">
        <v>189</v>
      </c>
      <c r="B193" s="128">
        <v>51540</v>
      </c>
      <c r="C193" s="78">
        <v>-4.1294642899999998E-2</v>
      </c>
      <c r="D193" s="20">
        <v>53780</v>
      </c>
      <c r="E193" s="21">
        <f t="shared" si="102"/>
        <v>4.3461389212262322E-2</v>
      </c>
      <c r="F193" s="22">
        <f>IF(ISNUMBER(D193), $B199 * E193, "")</f>
        <v>4346.138921226232</v>
      </c>
      <c r="G193" s="30">
        <v>52730</v>
      </c>
      <c r="H193" s="21">
        <f t="shared" si="103"/>
        <v>2.3088863019014357E-2</v>
      </c>
      <c r="I193" s="105">
        <f>IF(ISNUMBER(G193), $B199 * H193, "")</f>
        <v>2308.8863019014357</v>
      </c>
      <c r="J193" s="20">
        <v>51440</v>
      </c>
      <c r="K193" s="21">
        <f t="shared" si="104"/>
        <v>-1.9402405898331393E-3</v>
      </c>
      <c r="L193" s="22">
        <f>IF(ISNUMBER(J193), $B199 * K193, "")</f>
        <v>-194.02405898331392</v>
      </c>
      <c r="M193" s="30">
        <v>51990</v>
      </c>
      <c r="N193" s="21">
        <f t="shared" si="105"/>
        <v>8.7310826542491265E-3</v>
      </c>
      <c r="O193" s="22">
        <f>IF(ISNUMBER(M193), $B199 * N193, "")</f>
        <v>873.1082654249127</v>
      </c>
      <c r="Q193" s="261"/>
      <c r="R193" s="261"/>
      <c r="S193" s="261"/>
    </row>
    <row r="194" spans="1:19" ht="17.25" thickBot="1">
      <c r="A194" s="162" t="s">
        <v>269</v>
      </c>
      <c r="B194" s="129">
        <v>7765</v>
      </c>
      <c r="C194" s="80">
        <v>-4.7823421200000001E-2</v>
      </c>
      <c r="D194" s="106">
        <v>7625</v>
      </c>
      <c r="E194" s="107">
        <f>IF(ISNUMBER(D194), (D194 - $B194) / $B194, "")</f>
        <v>-1.80296200901481E-2</v>
      </c>
      <c r="F194" s="108">
        <f>IF(ISNUMBER(D194), $B199 * E194, "")</f>
        <v>-1802.9620090148101</v>
      </c>
      <c r="G194" s="109">
        <v>7530</v>
      </c>
      <c r="H194" s="107">
        <f>IF(ISNUMBER(G194), (G194 - $B194) / $B194, "")</f>
        <v>-3.0264005151320026E-2</v>
      </c>
      <c r="I194" s="110">
        <f>IF(ISNUMBER(G194), $B199 * H194, "")</f>
        <v>-3026.4005151320025</v>
      </c>
      <c r="J194" s="106">
        <v>7375</v>
      </c>
      <c r="K194" s="107">
        <f>IF(ISNUMBER(J194), (J194 - $B194) / $B194, "")</f>
        <v>-5.0225370251126854E-2</v>
      </c>
      <c r="L194" s="108">
        <f>IF(ISNUMBER(J194), $B199 * K194, "")</f>
        <v>-5022.5370251126851</v>
      </c>
      <c r="M194" s="109">
        <v>7385</v>
      </c>
      <c r="N194" s="107">
        <f>IF(ISNUMBER(M194), (M194 - $B194) / $B194, "")</f>
        <v>-4.8937540244687702E-2</v>
      </c>
      <c r="O194" s="108">
        <f>IF(ISNUMBER(M194), $B199 * N194, "")</f>
        <v>-4893.7540244687698</v>
      </c>
      <c r="Q194" s="251"/>
      <c r="R194" s="251"/>
      <c r="S194" s="251"/>
    </row>
    <row r="195" spans="1:19" ht="17.25" thickBot="1">
      <c r="A195" s="162" t="s">
        <v>231</v>
      </c>
      <c r="B195" s="126">
        <v>345</v>
      </c>
      <c r="C195" s="77">
        <v>-5.2197802199999997E-2</v>
      </c>
      <c r="D195" s="15">
        <v>330</v>
      </c>
      <c r="E195" s="32">
        <f t="shared" ref="E195:E198" si="106">IF(ISNUMBER(D195), (D195 - $B195) / $B195, "")</f>
        <v>-4.3478260869565216E-2</v>
      </c>
      <c r="F195" s="18">
        <f>IF(ISNUMBER(D195), $B199 * E195, "")</f>
        <v>-4347.826086956522</v>
      </c>
      <c r="G195" s="31">
        <v>314</v>
      </c>
      <c r="H195" s="32">
        <f t="shared" ref="H195:H198" si="107">IF(ISNUMBER(G195), (G195 - $B195) / $B195, "")</f>
        <v>-8.9855072463768115E-2</v>
      </c>
      <c r="I195" s="101">
        <f>IF(ISNUMBER(G195), $B199 * H195, "")</f>
        <v>-8985.507246376812</v>
      </c>
      <c r="J195" s="15">
        <v>304</v>
      </c>
      <c r="K195" s="32">
        <f t="shared" ref="K195:K198" si="108">IF(ISNUMBER(J195), (J195 - $B195) / $B195, "")</f>
        <v>-0.11884057971014493</v>
      </c>
      <c r="L195" s="18">
        <f>IF(ISNUMBER(J195), $B199 * K195, "")</f>
        <v>-11884.057971014494</v>
      </c>
      <c r="M195" s="31">
        <v>308</v>
      </c>
      <c r="N195" s="32">
        <f t="shared" ref="N195:N198" si="109">IF(ISNUMBER(M195), (M195 - $B195) / $B195, "")</f>
        <v>-0.1072463768115942</v>
      </c>
      <c r="O195" s="18">
        <f>IF(ISNUMBER(M195), $B199 * N195, "")</f>
        <v>-10724.63768115942</v>
      </c>
      <c r="Q195" s="251"/>
      <c r="R195" s="251"/>
      <c r="S195" s="251"/>
    </row>
    <row r="196" spans="1:19" ht="17.25" thickBot="1">
      <c r="A196" s="162" t="s">
        <v>142</v>
      </c>
      <c r="B196" s="126">
        <v>612</v>
      </c>
      <c r="C196" s="77">
        <v>-6.42201835E-2</v>
      </c>
      <c r="D196" s="15">
        <v>607</v>
      </c>
      <c r="E196" s="32">
        <f t="shared" si="106"/>
        <v>-8.1699346405228763E-3</v>
      </c>
      <c r="F196" s="18">
        <f>IF(ISNUMBER(D196), $B199 * E196, "")</f>
        <v>-816.99346405228766</v>
      </c>
      <c r="G196" s="31">
        <v>582</v>
      </c>
      <c r="H196" s="32">
        <f t="shared" si="107"/>
        <v>-4.9019607843137254E-2</v>
      </c>
      <c r="I196" s="101">
        <f>IF(ISNUMBER(G196), $B199 * H196, "")</f>
        <v>-4901.9607843137255</v>
      </c>
      <c r="J196" s="15">
        <v>571</v>
      </c>
      <c r="K196" s="32">
        <f t="shared" si="108"/>
        <v>-6.699346405228758E-2</v>
      </c>
      <c r="L196" s="18">
        <f>IF(ISNUMBER(J196), $B199 * K196, "")</f>
        <v>-6699.3464052287582</v>
      </c>
      <c r="M196" s="31">
        <v>571</v>
      </c>
      <c r="N196" s="32">
        <f t="shared" si="109"/>
        <v>-6.699346405228758E-2</v>
      </c>
      <c r="O196" s="18">
        <f>IF(ISNUMBER(M196), $B199 * N196, "")</f>
        <v>-6699.3464052287582</v>
      </c>
      <c r="Q196" s="251"/>
      <c r="R196" s="251"/>
      <c r="S196" s="251"/>
    </row>
    <row r="197" spans="1:19">
      <c r="A197" s="162" t="s">
        <v>138</v>
      </c>
      <c r="B197" s="126">
        <v>27550</v>
      </c>
      <c r="C197" s="77">
        <v>-7.4571716499999996E-2</v>
      </c>
      <c r="D197" s="15">
        <v>27920</v>
      </c>
      <c r="E197" s="32">
        <f t="shared" si="106"/>
        <v>1.3430127041742287E-2</v>
      </c>
      <c r="F197" s="18">
        <f>IF(ISNUMBER(D197), $B199 * E197, "")</f>
        <v>1343.0127041742287</v>
      </c>
      <c r="G197" s="31">
        <v>27490</v>
      </c>
      <c r="H197" s="32">
        <f t="shared" si="107"/>
        <v>-2.1778584392014521E-3</v>
      </c>
      <c r="I197" s="101">
        <f>IF(ISNUMBER(G197), $B199 * H197, "")</f>
        <v>-217.7858439201452</v>
      </c>
      <c r="J197" s="15">
        <v>26670</v>
      </c>
      <c r="K197" s="32">
        <f t="shared" si="108"/>
        <v>-3.1941923774954625E-2</v>
      </c>
      <c r="L197" s="18">
        <f>IF(ISNUMBER(J197), $B199 * K197, "")</f>
        <v>-3194.1923774954626</v>
      </c>
      <c r="M197" s="31">
        <v>26820</v>
      </c>
      <c r="N197" s="32">
        <f t="shared" si="109"/>
        <v>-2.6497277676950998E-2</v>
      </c>
      <c r="O197" s="18">
        <f>IF(ISNUMBER(M197), $B199 * N197, "")</f>
        <v>-2649.7277676950998</v>
      </c>
      <c r="Q197" s="240"/>
      <c r="R197" s="241"/>
      <c r="S197" s="242"/>
    </row>
    <row r="198" spans="1:19" ht="17.25" thickBot="1">
      <c r="A198" s="130" t="s">
        <v>161</v>
      </c>
      <c r="B198" s="131">
        <v>736</v>
      </c>
      <c r="C198" s="79">
        <v>-8.9108910900000005E-2</v>
      </c>
      <c r="D198" s="24">
        <v>769</v>
      </c>
      <c r="E198" s="25">
        <f t="shared" si="106"/>
        <v>4.4836956521739128E-2</v>
      </c>
      <c r="F198" s="104">
        <f>IF(ISNUMBER(D198), $B199 * E198, "")</f>
        <v>4483.695652173913</v>
      </c>
      <c r="G198" s="102">
        <v>743</v>
      </c>
      <c r="H198" s="25">
        <f t="shared" si="107"/>
        <v>9.5108695652173919E-3</v>
      </c>
      <c r="I198" s="103">
        <f>IF(ISNUMBER(G198), $B199 * H198, "")</f>
        <v>951.08695652173924</v>
      </c>
      <c r="J198" s="24">
        <v>733</v>
      </c>
      <c r="K198" s="25">
        <f t="shared" si="108"/>
        <v>-4.076086956521739E-3</v>
      </c>
      <c r="L198" s="104">
        <f>IF(ISNUMBER(J198), $B199 * K198, "")</f>
        <v>-407.60869565217388</v>
      </c>
      <c r="M198" s="102">
        <v>732</v>
      </c>
      <c r="N198" s="25">
        <f t="shared" si="109"/>
        <v>-5.434782608695652E-3</v>
      </c>
      <c r="O198" s="104">
        <f>IF(ISNUMBER(M198), $B199 * N198, "")</f>
        <v>-543.47826086956525</v>
      </c>
      <c r="Q198" s="243"/>
      <c r="R198" s="244"/>
      <c r="S198" s="245"/>
    </row>
    <row r="199" spans="1:19" ht="17.25" thickBot="1">
      <c r="A199" s="132" t="s">
        <v>295</v>
      </c>
      <c r="B199" s="304">
        <f>$B$37</f>
        <v>100000</v>
      </c>
      <c r="C199" s="305"/>
      <c r="D199" s="26" t="s">
        <v>296</v>
      </c>
      <c r="E199" s="27">
        <f>IF(COUNT(E179:E198), SUM(E179:E198) / COUNT(E179:E198), 0)</f>
        <v>1.749229233787232E-2</v>
      </c>
      <c r="F199" s="28">
        <f>SUM(F179:F198)</f>
        <v>34984.584675744642</v>
      </c>
      <c r="G199" s="26" t="s">
        <v>296</v>
      </c>
      <c r="H199" s="27">
        <f>IF(COUNT(H179:H198), SUM(H179:H198) / COUNT(H179:H198), 0)</f>
        <v>3.6829742232975214E-3</v>
      </c>
      <c r="I199" s="28">
        <f>SUM(I179:I198)</f>
        <v>7365.9484465950409</v>
      </c>
      <c r="J199" s="26" t="s">
        <v>296</v>
      </c>
      <c r="K199" s="27">
        <f>IF(COUNT(K179:K198), SUM(K179:K198) / COUNT(K179:K198), 0)</f>
        <v>-2.152836939522371E-2</v>
      </c>
      <c r="L199" s="28">
        <f>SUM(L179:L198)</f>
        <v>-43056.738790447424</v>
      </c>
      <c r="M199" s="26" t="s">
        <v>296</v>
      </c>
      <c r="N199" s="27">
        <f>IF(COUNT(N179:N198), SUM(N179:N198) / COUNT(N179:N198), 0)</f>
        <v>-2.0682086358525351E-2</v>
      </c>
      <c r="O199" s="28">
        <f>SUM(O179:O198)</f>
        <v>-41364.1727170507</v>
      </c>
      <c r="Q199" s="246"/>
      <c r="R199" s="247"/>
      <c r="S199" s="24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A9A2-AA11-42A0-905E-821780903E07}">
  <sheetPr codeName="Sheet23"/>
  <dimension ref="A1:S199"/>
  <sheetViews>
    <sheetView topLeftCell="A9" zoomScaleNormal="100" workbookViewId="0">
      <selection activeCell="A17" sqref="A17:A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2" t="s">
        <v>0</v>
      </c>
      <c r="B1" s="263"/>
      <c r="C1" s="263"/>
      <c r="D1" s="263"/>
      <c r="E1" s="263"/>
      <c r="F1" s="264"/>
      <c r="G1" s="293">
        <v>44364</v>
      </c>
      <c r="H1" s="294"/>
      <c r="I1" s="295"/>
      <c r="J1" s="262" t="s">
        <v>1</v>
      </c>
      <c r="K1" s="263"/>
      <c r="L1" s="263"/>
      <c r="M1" s="263"/>
      <c r="N1" s="263"/>
      <c r="O1" s="264"/>
      <c r="Q1" s="262" t="s">
        <v>2</v>
      </c>
      <c r="R1" s="264"/>
    </row>
    <row r="2" spans="1:19" ht="17.25" customHeight="1">
      <c r="A2" s="117" t="s">
        <v>3</v>
      </c>
      <c r="B2" s="296" t="s">
        <v>8</v>
      </c>
      <c r="C2" s="297"/>
      <c r="D2" s="297"/>
      <c r="E2" s="297"/>
      <c r="F2" s="298"/>
      <c r="G2" s="290" t="s">
        <v>46</v>
      </c>
      <c r="H2" s="291"/>
      <c r="I2" s="292"/>
      <c r="J2" s="1" t="s">
        <v>3</v>
      </c>
      <c r="K2" s="296" t="s">
        <v>345</v>
      </c>
      <c r="L2" s="297"/>
      <c r="M2" s="297"/>
      <c r="N2" s="297"/>
      <c r="O2" s="298"/>
      <c r="Q2" s="2" t="s">
        <v>6</v>
      </c>
      <c r="R2" s="3">
        <v>0.375</v>
      </c>
    </row>
    <row r="3" spans="1:19" ht="17.25" customHeight="1" thickBot="1">
      <c r="A3" s="118" t="s">
        <v>7</v>
      </c>
      <c r="B3" s="287" t="s">
        <v>353</v>
      </c>
      <c r="C3" s="288"/>
      <c r="D3" s="288"/>
      <c r="E3" s="288"/>
      <c r="F3" s="289"/>
      <c r="G3" s="28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20,776 KRW (1.04%)</v>
      </c>
      <c r="H3" s="284"/>
      <c r="I3" s="285"/>
      <c r="J3" s="4" t="s">
        <v>7</v>
      </c>
      <c r="K3" s="287" t="s">
        <v>346</v>
      </c>
      <c r="L3" s="288"/>
      <c r="M3" s="288"/>
      <c r="N3" s="288"/>
      <c r="O3" s="28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7" t="s">
        <v>16</v>
      </c>
      <c r="C4" s="288"/>
      <c r="D4" s="288"/>
      <c r="E4" s="288"/>
      <c r="F4" s="289"/>
      <c r="G4" s="290" t="s">
        <v>44</v>
      </c>
      <c r="H4" s="291"/>
      <c r="I4" s="292"/>
      <c r="J4" s="4" t="s">
        <v>11</v>
      </c>
      <c r="K4" s="287" t="s">
        <v>347</v>
      </c>
      <c r="L4" s="288"/>
      <c r="M4" s="288"/>
      <c r="N4" s="288"/>
      <c r="O4" s="28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7" t="s">
        <v>344</v>
      </c>
      <c r="C5" s="288"/>
      <c r="D5" s="288"/>
      <c r="E5" s="288"/>
      <c r="F5" s="289"/>
      <c r="G5" s="28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13,123 KRW (0.66%)</v>
      </c>
      <c r="H5" s="284"/>
      <c r="I5" s="285"/>
      <c r="J5" s="4" t="s">
        <v>15</v>
      </c>
      <c r="K5" s="287" t="s">
        <v>348</v>
      </c>
      <c r="L5" s="288"/>
      <c r="M5" s="288"/>
      <c r="N5" s="288"/>
      <c r="O5" s="289"/>
    </row>
    <row r="6" spans="1:19">
      <c r="A6" s="118" t="s">
        <v>18</v>
      </c>
      <c r="B6" s="287"/>
      <c r="C6" s="288"/>
      <c r="D6" s="288"/>
      <c r="E6" s="288"/>
      <c r="F6" s="289"/>
      <c r="G6" s="290" t="s">
        <v>45</v>
      </c>
      <c r="H6" s="291"/>
      <c r="I6" s="292"/>
      <c r="J6" s="4" t="s">
        <v>18</v>
      </c>
      <c r="K6" s="287" t="s">
        <v>349</v>
      </c>
      <c r="L6" s="288"/>
      <c r="M6" s="288"/>
      <c r="N6" s="288"/>
      <c r="O6" s="289"/>
    </row>
    <row r="7" spans="1:19" ht="17.25" thickBot="1">
      <c r="A7" s="118" t="s">
        <v>21</v>
      </c>
      <c r="B7" s="287"/>
      <c r="C7" s="288"/>
      <c r="D7" s="288"/>
      <c r="E7" s="288"/>
      <c r="F7" s="289"/>
      <c r="G7" s="28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5,951 KRW (0.30%)</v>
      </c>
      <c r="H7" s="284"/>
      <c r="I7" s="285"/>
      <c r="J7" s="4" t="s">
        <v>21</v>
      </c>
      <c r="K7" s="287" t="s">
        <v>350</v>
      </c>
      <c r="L7" s="288"/>
      <c r="M7" s="288"/>
      <c r="N7" s="288"/>
      <c r="O7" s="289"/>
    </row>
    <row r="8" spans="1:19" ht="17.25" thickBot="1">
      <c r="A8" s="118" t="s">
        <v>24</v>
      </c>
      <c r="B8" s="287"/>
      <c r="C8" s="288"/>
      <c r="D8" s="288"/>
      <c r="E8" s="288"/>
      <c r="F8" s="289"/>
      <c r="G8" s="290" t="s">
        <v>280</v>
      </c>
      <c r="H8" s="291"/>
      <c r="I8" s="292"/>
      <c r="J8" s="4" t="s">
        <v>24</v>
      </c>
      <c r="K8" s="287"/>
      <c r="L8" s="288"/>
      <c r="M8" s="288"/>
      <c r="N8" s="288"/>
      <c r="O8" s="289"/>
      <c r="Q8" s="262" t="s">
        <v>27</v>
      </c>
      <c r="R8" s="264"/>
    </row>
    <row r="9" spans="1:19" ht="17.25" thickBot="1">
      <c r="A9" s="118" t="s">
        <v>28</v>
      </c>
      <c r="B9" s="287"/>
      <c r="C9" s="288"/>
      <c r="D9" s="288"/>
      <c r="E9" s="288"/>
      <c r="F9" s="289"/>
      <c r="G9" s="28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-148,670 KRW (-7.43%)</v>
      </c>
      <c r="H9" s="284"/>
      <c r="I9" s="285"/>
      <c r="J9" s="4" t="s">
        <v>28</v>
      </c>
      <c r="K9" s="287"/>
      <c r="L9" s="288"/>
      <c r="M9" s="288"/>
      <c r="N9" s="288"/>
      <c r="O9" s="289"/>
      <c r="Q9" s="2" t="s">
        <v>29</v>
      </c>
      <c r="R9" s="6">
        <v>10</v>
      </c>
    </row>
    <row r="10" spans="1:19">
      <c r="A10" s="118" t="s">
        <v>30</v>
      </c>
      <c r="B10" s="287"/>
      <c r="C10" s="288"/>
      <c r="D10" s="288"/>
      <c r="E10" s="288"/>
      <c r="F10" s="289"/>
      <c r="G10" s="290" t="s">
        <v>47</v>
      </c>
      <c r="H10" s="291"/>
      <c r="I10" s="292"/>
      <c r="J10" s="4" t="s">
        <v>30</v>
      </c>
      <c r="K10" s="287" t="s">
        <v>351</v>
      </c>
      <c r="L10" s="288"/>
      <c r="M10" s="288"/>
      <c r="N10" s="288"/>
      <c r="O10" s="289"/>
      <c r="Q10" s="2" t="s">
        <v>31</v>
      </c>
      <c r="R10" s="6">
        <v>100</v>
      </c>
    </row>
    <row r="11" spans="1:19" ht="17.25" thickBot="1">
      <c r="A11" s="119" t="s">
        <v>32</v>
      </c>
      <c r="B11" s="280" t="s">
        <v>352</v>
      </c>
      <c r="C11" s="281"/>
      <c r="D11" s="281"/>
      <c r="E11" s="281"/>
      <c r="F11" s="282"/>
      <c r="G11" s="28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-6,004 KRW (-1.50%)</v>
      </c>
      <c r="H11" s="284"/>
      <c r="I11" s="285"/>
      <c r="J11" s="7" t="s">
        <v>32</v>
      </c>
      <c r="K11" s="280" t="s">
        <v>343</v>
      </c>
      <c r="L11" s="281"/>
      <c r="M11" s="281"/>
      <c r="N11" s="281"/>
      <c r="O11" s="282"/>
      <c r="Q11" s="65" t="s">
        <v>33</v>
      </c>
      <c r="R11" s="8">
        <v>1000</v>
      </c>
    </row>
    <row r="12" spans="1:19" ht="17.25" thickBot="1"/>
    <row r="13" spans="1:19" ht="17.25" customHeight="1" thickBot="1">
      <c r="A13" s="262" t="s">
        <v>34</v>
      </c>
      <c r="B13" s="263"/>
      <c r="C13" s="263"/>
      <c r="D13" s="263"/>
      <c r="E13" s="263"/>
      <c r="F13" s="263"/>
      <c r="G13" s="263"/>
      <c r="H13" s="263"/>
      <c r="I13" s="263"/>
      <c r="J13" s="263"/>
      <c r="K13" s="263"/>
      <c r="L13" s="263"/>
      <c r="M13" s="263"/>
      <c r="N13" s="263"/>
      <c r="O13" s="264"/>
      <c r="Q13" s="261"/>
      <c r="R13" s="261"/>
      <c r="S13" s="261"/>
    </row>
    <row r="14" spans="1:19" ht="17.25" customHeight="1" thickBot="1">
      <c r="A14" s="224" t="s">
        <v>35</v>
      </c>
      <c r="B14" s="262" t="s">
        <v>36</v>
      </c>
      <c r="C14" s="264"/>
      <c r="D14" s="262" t="s">
        <v>37</v>
      </c>
      <c r="E14" s="263"/>
      <c r="F14" s="264"/>
      <c r="G14" s="265">
        <f>_xlfn.IFNA(VLOOKUP(B14, 현재가테이블!$B$2:$D$200, 2, FALSE), "-")</f>
        <v>40538000</v>
      </c>
      <c r="H14" s="266"/>
      <c r="I14" s="267"/>
      <c r="J14" s="262" t="s">
        <v>38</v>
      </c>
      <c r="K14" s="263"/>
      <c r="L14" s="264"/>
      <c r="M14" s="268">
        <f>_xlfn.IFNA(VLOOKUP(B14, 현재가테이블!$B$2:$D$200, 3, FALSE), "-")</f>
        <v>-3.68275993E-2</v>
      </c>
      <c r="N14" s="269"/>
      <c r="O14" s="270"/>
      <c r="Q14" s="261"/>
      <c r="R14" s="261"/>
      <c r="S14" s="261"/>
    </row>
    <row r="15" spans="1:19" ht="17.25" customHeight="1" thickBot="1">
      <c r="A15" s="299" t="s">
        <v>39</v>
      </c>
      <c r="B15" s="300" t="str">
        <f>TEXT($G$1, "[$-ko-KR]yyyy-mm-dd(ddd) ") &amp; "오전 00:00"</f>
        <v>2021-06-17(목) 오전 00:00</v>
      </c>
      <c r="C15" s="301"/>
      <c r="D15" s="275" t="str">
        <f>TEXT($G$1, "[$-ko-KR]yyyy-mm-dd(ddd) ") &amp; "오후 14:00"</f>
        <v>2021-06-17(목) 오후 14:00</v>
      </c>
      <c r="E15" s="276"/>
      <c r="F15" s="277"/>
      <c r="G15" s="275" t="str">
        <f>TEXT($G$1, "[$-ko-KR]yyyy-mm-dd(ddd) ") &amp; "오후 19:00"</f>
        <v>2021-06-17(목) 오후 19:00</v>
      </c>
      <c r="H15" s="276"/>
      <c r="I15" s="277"/>
      <c r="J15" s="275" t="str">
        <f>TEXT($G$1, "[$-ko-KR]yyyy-mm-dd(ddd) ") &amp; "오후 21:00"</f>
        <v>2021-06-17(목) 오후 21:00</v>
      </c>
      <c r="K15" s="276"/>
      <c r="L15" s="277"/>
      <c r="M15" s="275" t="str">
        <f>TEXT($G$1+1, "[$-ko-KR]yyyy-mm-dd(ddd) ") &amp; "오전 00:00"</f>
        <v>2021-06-18(금) 오전 00:00</v>
      </c>
      <c r="N15" s="276"/>
      <c r="O15" s="277"/>
      <c r="Q15" s="261"/>
      <c r="R15" s="261"/>
      <c r="S15" s="261"/>
    </row>
    <row r="16" spans="1:19" ht="17.25" customHeight="1" thickBot="1">
      <c r="A16" s="29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5" t="s">
        <v>37</v>
      </c>
      <c r="H16" s="226" t="s">
        <v>40</v>
      </c>
      <c r="I16" s="22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78.3</v>
      </c>
      <c r="C17" s="76">
        <f>IF(NOT(ISBLANK(_xlfn.IFNA(VLOOKUP($A17, $A$40:$O$199, 3, FALSE), ))), _xlfn.IFNA(VLOOKUP($A17, $A$40:$O$199, 3, FALSE), ), "")</f>
        <v>-4.1615667100000003E-2</v>
      </c>
      <c r="D17" s="13">
        <f>IF(NOT(ISBLANK(_xlfn.IFNA(VLOOKUP($A17, $A$40:$O$199, 4, FALSE), ))), _xlfn.IFNA(VLOOKUP($A17, $A$40:$O$199, 4, FALSE), ), "")</f>
        <v>79.099999999999994</v>
      </c>
      <c r="E17" s="14">
        <f>IF(NOT(ISBLANK(_xlfn.IFNA(VLOOKUP($A17, $A$40:$O$199, 5, FALSE), ))), _xlfn.IFNA(VLOOKUP($A17, $A$40:$O$199, 5, FALSE), ), "")</f>
        <v>1.0217113665389492E-2</v>
      </c>
      <c r="F17" s="16">
        <f>IF(NOT(ISBLANK(_xlfn.IFNA(VLOOKUP($A17, $A$40:$O$199, 6, FALSE), ))), _xlfn.IFNA(VLOOKUP($A17, $A$40:$O$199, 6, FALSE), ), "")</f>
        <v>1021.7113665389492</v>
      </c>
      <c r="G17" s="29">
        <f>IF(NOT(ISBLANK(_xlfn.IFNA(VLOOKUP($A17, $A$40:$O$199, 7, FALSE), ))), _xlfn.IFNA(VLOOKUP($A17, $A$40:$O$199, 7, FALSE), ), "")</f>
        <v>78.8</v>
      </c>
      <c r="H17" s="14">
        <f>IF(NOT(ISBLANK(_xlfn.IFNA(VLOOKUP($A17, $A$40:$O$199, 8, FALSE), ))), _xlfn.IFNA(VLOOKUP($A17, $A$40:$O$199, 8, FALSE), ), "")</f>
        <v>6.3856960408684551E-3</v>
      </c>
      <c r="I17" s="100">
        <f>IF(NOT(ISBLANK(_xlfn.IFNA(VLOOKUP($A17, $A$40:$O$199, 9, FALSE), ))), _xlfn.IFNA(VLOOKUP($A17, $A$40:$O$199, 9, FALSE), ), "")</f>
        <v>638.56960408684552</v>
      </c>
      <c r="J17" s="13">
        <f>IF(NOT(ISBLANK(_xlfn.IFNA(VLOOKUP($A17, $A$40:$O$199, 10, FALSE), ))), _xlfn.IFNA(VLOOKUP($A17, $A$40:$O$199, 10, FALSE), ), "")</f>
        <v>78.400000000000006</v>
      </c>
      <c r="K17" s="14">
        <f>IF(NOT(ISBLANK(_xlfn.IFNA(VLOOKUP($A17, $A$40:$O$199, 11, FALSE), ))), _xlfn.IFNA(VLOOKUP($A17, $A$40:$O$199, 11, FALSE), ), "")</f>
        <v>1.2771392081737999E-3</v>
      </c>
      <c r="L17" s="16">
        <f>IF(NOT(ISBLANK(_xlfn.IFNA(VLOOKUP($A17, $A$40:$O$199, 12, FALSE), ))), _xlfn.IFNA(VLOOKUP($A17, $A$40:$O$199, 12, FALSE), ), "")</f>
        <v>127.71392081737999</v>
      </c>
      <c r="M17" s="29">
        <f>IF(NOT(ISBLANK(_xlfn.IFNA(VLOOKUP($A17, $A$40:$O$199, 13, FALSE), ))), _xlfn.IFNA(VLOOKUP($A17, $A$40:$O$199, 13, FALSE), ), "")</f>
        <v>77.2</v>
      </c>
      <c r="N17" s="14">
        <f>IF(NOT(ISBLANK(_xlfn.IFNA(VLOOKUP($A17, $A$40:$O$199, 14, FALSE), ))), _xlfn.IFNA(VLOOKUP($A17, $A$40:$O$199, 14, FALSE), ), "")</f>
        <v>-1.4048531289910527E-2</v>
      </c>
      <c r="O17" s="16">
        <f>IF(NOT(ISBLANK(_xlfn.IFNA(VLOOKUP($A17, $A$40:$O$199, 15, FALSE), ))), _xlfn.IFNA(VLOOKUP($A17, $A$40:$O$199, 15, FALSE), ), "")</f>
        <v>-1404.8531289910527</v>
      </c>
      <c r="Q17" s="261"/>
      <c r="R17" s="261"/>
      <c r="S17" s="261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54</v>
      </c>
      <c r="C18" s="77">
        <f t="shared" ref="C18:C36" si="1">IF(NOT(ISBLANK(_xlfn.IFNA(VLOOKUP($A18, $A$40:$O$199, 3, FALSE), ))), _xlfn.IFNA(VLOOKUP($A18, $A$40:$O$199, 3, FALSE), ), "")</f>
        <v>-8.4745762700000005E-2</v>
      </c>
      <c r="D18" s="15">
        <f t="shared" ref="D18:D36" si="2">IF(NOT(ISBLANK(_xlfn.IFNA(VLOOKUP($A18, $A$40:$O$199, 4, FALSE), ))), _xlfn.IFNA(VLOOKUP($A18, $A$40:$O$199, 4, FALSE), ), "")</f>
        <v>55.1</v>
      </c>
      <c r="E18" s="32">
        <f t="shared" ref="E18:E36" si="3">IF(NOT(ISBLANK(_xlfn.IFNA(VLOOKUP($A18, $A$40:$O$199, 5, FALSE), ))), _xlfn.IFNA(VLOOKUP($A18, $A$40:$O$199, 5, FALSE), ), "")</f>
        <v>2.0370370370370396E-2</v>
      </c>
      <c r="F18" s="18">
        <f t="shared" ref="F18:F36" si="4">IF(NOT(ISBLANK(_xlfn.IFNA(VLOOKUP($A18, $A$40:$O$199, 6, FALSE), ))), _xlfn.IFNA(VLOOKUP($A18, $A$40:$O$199, 6, FALSE), ), "")</f>
        <v>2037.0370370370397</v>
      </c>
      <c r="G18" s="31">
        <f t="shared" ref="G18:G36" si="5">IF(NOT(ISBLANK(_xlfn.IFNA(VLOOKUP($A18, $A$40:$O$199, 7, FALSE), ))), _xlfn.IFNA(VLOOKUP($A18, $A$40:$O$199, 7, FALSE), ), "")</f>
        <v>54.3</v>
      </c>
      <c r="H18" s="32">
        <f t="shared" ref="H18:H36" si="6">IF(NOT(ISBLANK(_xlfn.IFNA(VLOOKUP($A18, $A$40:$O$199, 8, FALSE), ))), _xlfn.IFNA(VLOOKUP($A18, $A$40:$O$199, 8, FALSE), ), "")</f>
        <v>5.5555555555555029E-3</v>
      </c>
      <c r="I18" s="101">
        <f t="shared" ref="I18:I36" si="7">IF(NOT(ISBLANK(_xlfn.IFNA(VLOOKUP($A18, $A$40:$O$199, 9, FALSE), ))), _xlfn.IFNA(VLOOKUP($A18, $A$40:$O$199, 9, FALSE), ), "")</f>
        <v>555.55555555555031</v>
      </c>
      <c r="J18" s="15">
        <f t="shared" ref="J18:J36" si="8">IF(NOT(ISBLANK(_xlfn.IFNA(VLOOKUP($A18, $A$40:$O$199, 10, FALSE), ))), _xlfn.IFNA(VLOOKUP($A18, $A$40:$O$199, 10, FALSE), ), "")</f>
        <v>53.9</v>
      </c>
      <c r="K18" s="32">
        <f t="shared" ref="K18:K36" si="9">IF(NOT(ISBLANK(_xlfn.IFNA(VLOOKUP($A18, $A$40:$O$199, 11, FALSE), ))), _xlfn.IFNA(VLOOKUP($A18, $A$40:$O$199, 11, FALSE), ), "")</f>
        <v>-1.8518518518518782E-3</v>
      </c>
      <c r="L18" s="18">
        <f t="shared" ref="L18:L36" si="10">IF(NOT(ISBLANK(_xlfn.IFNA(VLOOKUP($A18, $A$40:$O$199, 12, FALSE), ))), _xlfn.IFNA(VLOOKUP($A18, $A$40:$O$199, 12, FALSE), ), "")</f>
        <v>-185.18518518518781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-1.2962962962963016E-2</v>
      </c>
      <c r="O18" s="18">
        <f t="shared" ref="O18:O36" si="13">IF(NOT(ISBLANK(_xlfn.IFNA(VLOOKUP($A18, $A$40:$O$199, 15, FALSE), ))), _xlfn.IFNA(VLOOKUP($A18, $A$40:$O$199, 15, FALSE), ), "")</f>
        <v>-1296.2962962963015</v>
      </c>
      <c r="Q18" s="261"/>
      <c r="R18" s="261"/>
      <c r="S18" s="261"/>
    </row>
    <row r="19" spans="1:19" ht="17.25" customHeight="1" thickBot="1">
      <c r="A19" s="162" t="s">
        <v>201</v>
      </c>
      <c r="B19" s="126">
        <f t="shared" si="0"/>
        <v>87.8</v>
      </c>
      <c r="C19" s="77">
        <f t="shared" si="1"/>
        <v>-6.7940552000000001E-2</v>
      </c>
      <c r="D19" s="15">
        <f t="shared" si="2"/>
        <v>88.4</v>
      </c>
      <c r="E19" s="32">
        <f t="shared" si="3"/>
        <v>6.833712984054767E-3</v>
      </c>
      <c r="F19" s="18">
        <f t="shared" si="4"/>
        <v>683.37129840547675</v>
      </c>
      <c r="G19" s="31">
        <f t="shared" si="5"/>
        <v>84.6</v>
      </c>
      <c r="H19" s="32">
        <f t="shared" si="6"/>
        <v>-3.6446469248291605E-2</v>
      </c>
      <c r="I19" s="101">
        <f t="shared" si="7"/>
        <v>-3644.6469248291605</v>
      </c>
      <c r="J19" s="15">
        <f t="shared" si="8"/>
        <v>84.7</v>
      </c>
      <c r="K19" s="32">
        <f t="shared" si="9"/>
        <v>-3.5307517084282397E-2</v>
      </c>
      <c r="L19" s="18">
        <f t="shared" si="10"/>
        <v>-3530.7517084282399</v>
      </c>
      <c r="M19" s="31">
        <f t="shared" si="11"/>
        <v>84.9</v>
      </c>
      <c r="N19" s="32">
        <f t="shared" si="12"/>
        <v>-3.3029612756264141E-2</v>
      </c>
      <c r="O19" s="18">
        <f t="shared" si="13"/>
        <v>-3302.9612756264141</v>
      </c>
      <c r="Q19" s="251"/>
      <c r="R19" s="251"/>
      <c r="S19" s="251"/>
    </row>
    <row r="20" spans="1:19" ht="17.25" customHeight="1" thickBot="1">
      <c r="A20" s="162" t="s">
        <v>356</v>
      </c>
      <c r="B20" s="126">
        <f t="shared" si="0"/>
        <v>250</v>
      </c>
      <c r="C20" s="77">
        <f t="shared" si="1"/>
        <v>-4.9429657799999999E-2</v>
      </c>
      <c r="D20" s="15">
        <f t="shared" si="2"/>
        <v>249</v>
      </c>
      <c r="E20" s="32">
        <f t="shared" si="3"/>
        <v>-4.0000000000000001E-3</v>
      </c>
      <c r="F20" s="18">
        <f t="shared" si="4"/>
        <v>-400</v>
      </c>
      <c r="G20" s="31">
        <f t="shared" si="5"/>
        <v>249</v>
      </c>
      <c r="H20" s="32">
        <f t="shared" si="6"/>
        <v>-4.0000000000000001E-3</v>
      </c>
      <c r="I20" s="101">
        <f t="shared" si="7"/>
        <v>-400</v>
      </c>
      <c r="J20" s="15">
        <f t="shared" si="8"/>
        <v>247</v>
      </c>
      <c r="K20" s="32">
        <f t="shared" si="9"/>
        <v>-1.2E-2</v>
      </c>
      <c r="L20" s="18">
        <f t="shared" si="10"/>
        <v>-1200</v>
      </c>
      <c r="M20" s="31">
        <f t="shared" si="11"/>
        <v>250</v>
      </c>
      <c r="N20" s="32">
        <f t="shared" si="12"/>
        <v>0</v>
      </c>
      <c r="O20" s="18">
        <f t="shared" si="13"/>
        <v>0</v>
      </c>
      <c r="Q20" s="251"/>
      <c r="R20" s="251"/>
      <c r="S20" s="251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304">
        <v>100000</v>
      </c>
      <c r="C37" s="305"/>
      <c r="D37" s="26" t="s">
        <v>43</v>
      </c>
      <c r="E37" s="27">
        <f>IF(COUNT(E17:E36), SUM(E17:E36) / COUNT(E17:E36), 0)</f>
        <v>8.3552992549536624E-3</v>
      </c>
      <c r="F37" s="28">
        <f>SUM(F17:F36)</f>
        <v>3342.1197019814658</v>
      </c>
      <c r="G37" s="26" t="s">
        <v>43</v>
      </c>
      <c r="H37" s="27">
        <f>IF(COUNT(H17:H36), SUM(H17:H36) / COUNT(H17:H36), 0)</f>
        <v>-7.1263044129669115E-3</v>
      </c>
      <c r="I37" s="28">
        <f>SUM(I17:I36)</f>
        <v>-2850.5217651867647</v>
      </c>
      <c r="J37" s="26" t="s">
        <v>43</v>
      </c>
      <c r="K37" s="27">
        <f>IF(COUNT(K17:K36), SUM(K17:K36) / COUNT(K17:K36), 0)</f>
        <v>-1.197055743199012E-2</v>
      </c>
      <c r="L37" s="28">
        <f>SUM(L17:L36)</f>
        <v>-4788.2229727960475</v>
      </c>
      <c r="M37" s="26" t="s">
        <v>43</v>
      </c>
      <c r="N37" s="27">
        <f>IF(COUNT(N17:N36), SUM(N17:N36) / COUNT(N17:N36), 0)</f>
        <v>-1.5010276752284422E-2</v>
      </c>
      <c r="O37" s="28">
        <f>SUM(O17:O36)</f>
        <v>-6004.1107009137686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262" t="s">
        <v>44</v>
      </c>
      <c r="B40" s="263"/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4"/>
      <c r="Q40" s="261"/>
      <c r="R40" s="261"/>
      <c r="S40" s="261"/>
    </row>
    <row r="41" spans="1:19" ht="17.25" customHeight="1" thickBot="1">
      <c r="A41" s="224" t="s">
        <v>292</v>
      </c>
      <c r="B41" s="262" t="s">
        <v>49</v>
      </c>
      <c r="C41" s="264"/>
      <c r="D41" s="262" t="s">
        <v>58</v>
      </c>
      <c r="E41" s="263"/>
      <c r="F41" s="264"/>
      <c r="G41" s="265">
        <f>_xlfn.IFNA(VLOOKUP(B41, 현재가테이블!$B$2:$D$200, 2, FALSE), "-")</f>
        <v>40538000</v>
      </c>
      <c r="H41" s="266"/>
      <c r="I41" s="267"/>
      <c r="J41" s="262" t="s">
        <v>59</v>
      </c>
      <c r="K41" s="263"/>
      <c r="L41" s="264"/>
      <c r="M41" s="268">
        <f>_xlfn.IFNA(VLOOKUP(B41, 현재가테이블!$B$2:$D$200, 3, FALSE), "-")</f>
        <v>-3.68275993E-2</v>
      </c>
      <c r="N41" s="269"/>
      <c r="O41" s="270"/>
      <c r="Q41" s="261"/>
      <c r="R41" s="261"/>
      <c r="S41" s="261"/>
    </row>
    <row r="42" spans="1:19" ht="17.25" customHeight="1" thickBot="1">
      <c r="A42" s="306" t="s">
        <v>55</v>
      </c>
      <c r="B42" s="302" t="str">
        <f>TEXT($G$1, "[$-ko-KR]yyyy-mm-dd(ddd) ") &amp; "오전 00:00"</f>
        <v>2021-06-17(목) 오전 00:00</v>
      </c>
      <c r="C42" s="303"/>
      <c r="D42" s="275" t="str">
        <f>TEXT($G$1, "[$-ko-KR]yyyy-mm-dd(ddd) ") &amp; "오후 14:00"</f>
        <v>2021-06-17(목) 오후 14:00</v>
      </c>
      <c r="E42" s="276"/>
      <c r="F42" s="277"/>
      <c r="G42" s="275" t="str">
        <f>TEXT($G$1, "[$-ko-KR]yyyy-mm-dd(ddd) ") &amp; "오후 19:00"</f>
        <v>2021-06-17(목) 오후 19:00</v>
      </c>
      <c r="H42" s="276"/>
      <c r="I42" s="277"/>
      <c r="J42" s="275" t="str">
        <f>TEXT($G$1, "[$-ko-KR]yyyy-mm-dd(ddd) ") &amp; "오후 21:00"</f>
        <v>2021-06-17(목) 오후 21:00</v>
      </c>
      <c r="K42" s="276"/>
      <c r="L42" s="277"/>
      <c r="M42" s="275" t="str">
        <f>TEXT($G$1+1, "[$-ko-KR]yyyy-mm-dd(ddd) ") &amp; "오전 00:00"</f>
        <v>2021-06-18(금) 오전 00:00</v>
      </c>
      <c r="N42" s="276"/>
      <c r="O42" s="277"/>
      <c r="Q42" s="261"/>
      <c r="R42" s="261"/>
      <c r="S42" s="261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5" t="s">
        <v>58</v>
      </c>
      <c r="H43" s="226" t="s">
        <v>293</v>
      </c>
      <c r="I43" s="22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1"/>
      <c r="R43" s="251"/>
      <c r="S43" s="251"/>
    </row>
    <row r="44" spans="1:19" ht="17.25" customHeight="1" thickBot="1">
      <c r="A44" s="161" t="s">
        <v>197</v>
      </c>
      <c r="B44" s="124">
        <v>14.7</v>
      </c>
      <c r="C44" s="76">
        <v>-6.7567568000000003E-3</v>
      </c>
      <c r="D44" s="13">
        <v>13.9</v>
      </c>
      <c r="E44" s="14">
        <f>IF(ISNUMBER(D44), (D44 - $B44) / $B44, "")</f>
        <v>-5.4421768707482922E-2</v>
      </c>
      <c r="F44" s="16">
        <f>IF(ISNUMBER(D44), $B64 * E44, "")</f>
        <v>-5442.1768707482925</v>
      </c>
      <c r="G44" s="29">
        <v>13.9</v>
      </c>
      <c r="H44" s="14">
        <f>IF(ISNUMBER(G44), (G44 - $B44) / $B44, "")</f>
        <v>-5.4421768707482922E-2</v>
      </c>
      <c r="I44" s="100">
        <f>IF(ISNUMBER(G44), $B64 * H44, "")</f>
        <v>-5442.1768707482925</v>
      </c>
      <c r="J44" s="13">
        <v>13.9</v>
      </c>
      <c r="K44" s="14">
        <f>IF(ISNUMBER(J44), (J44 - $B44) / $B44, "")</f>
        <v>-5.4421768707482922E-2</v>
      </c>
      <c r="L44" s="16">
        <f>IF(ISNUMBER(J44), $B64 * K44, "")</f>
        <v>-5442.1768707482925</v>
      </c>
      <c r="M44" s="29">
        <v>13.7</v>
      </c>
      <c r="N44" s="14">
        <f>IF(ISNUMBER(M44), (M44 - $B44) / $B44, "")</f>
        <v>-6.8027210884353748E-2</v>
      </c>
      <c r="O44" s="16">
        <f>IF(ISNUMBER(M44), $B64 * N44, "")</f>
        <v>-6802.7210884353744</v>
      </c>
      <c r="Q44" s="261"/>
      <c r="R44" s="261"/>
      <c r="S44" s="261"/>
    </row>
    <row r="45" spans="1:19" ht="17.25" customHeight="1" thickBot="1">
      <c r="A45" s="162" t="s">
        <v>236</v>
      </c>
      <c r="B45" s="126">
        <v>88.5</v>
      </c>
      <c r="C45" s="77">
        <v>-2.5330396500000001E-2</v>
      </c>
      <c r="D45" s="15">
        <v>87.1</v>
      </c>
      <c r="E45" s="32">
        <f t="shared" ref="E45:E48" si="14">IF(ISNUMBER(D45), (D45 - $B45) / $B45, "")</f>
        <v>-1.5819209039548088E-2</v>
      </c>
      <c r="F45" s="18">
        <f>IF(ISNUMBER(D45), $B64 * E45, "")</f>
        <v>-1581.9209039548089</v>
      </c>
      <c r="G45" s="31">
        <v>86.8</v>
      </c>
      <c r="H45" s="32">
        <f t="shared" ref="H45:H48" si="15">IF(ISNUMBER(G45), (G45 - $B45) / $B45, "")</f>
        <v>-1.9209039548022631E-2</v>
      </c>
      <c r="I45" s="101">
        <f>IF(ISNUMBER(G45), $B64 * H45, "")</f>
        <v>-1920.9039548022631</v>
      </c>
      <c r="J45" s="15">
        <v>86.2</v>
      </c>
      <c r="K45" s="32">
        <f t="shared" ref="K45:K48" si="16">IF(ISNUMBER(J45), (J45 - $B45) / $B45, "")</f>
        <v>-2.5988700564971719E-2</v>
      </c>
      <c r="L45" s="18">
        <f>IF(ISNUMBER(J45), $B64 * K45, "")</f>
        <v>-2598.8700564971718</v>
      </c>
      <c r="M45" s="31">
        <v>85.7</v>
      </c>
      <c r="N45" s="32">
        <f t="shared" ref="N45:N48" si="17">IF(ISNUMBER(M45), (M45 - $B45) / $B45, "")</f>
        <v>-3.1638418079096016E-2</v>
      </c>
      <c r="O45" s="18">
        <f>IF(ISNUMBER(M45), $B64 * N45, "")</f>
        <v>-3163.8418079096018</v>
      </c>
      <c r="Q45" s="261"/>
      <c r="R45" s="261"/>
      <c r="S45" s="261"/>
    </row>
    <row r="46" spans="1:19" ht="17.25" customHeight="1" thickBot="1">
      <c r="A46" s="162" t="s">
        <v>156</v>
      </c>
      <c r="B46" s="126">
        <v>80.7</v>
      </c>
      <c r="C46" s="77">
        <v>-2.7710843400000001E-2</v>
      </c>
      <c r="D46" s="15">
        <v>82.7</v>
      </c>
      <c r="E46" s="32">
        <f t="shared" si="14"/>
        <v>2.4783147459727383E-2</v>
      </c>
      <c r="F46" s="18">
        <f>IF(ISNUMBER(D46), $B64 * E46, "")</f>
        <v>2478.3147459727384</v>
      </c>
      <c r="G46" s="31">
        <v>83.7</v>
      </c>
      <c r="H46" s="32">
        <f t="shared" si="15"/>
        <v>3.717472118959108E-2</v>
      </c>
      <c r="I46" s="101">
        <f>IF(ISNUMBER(G46), $B64 * H46, "")</f>
        <v>3717.4721189591078</v>
      </c>
      <c r="J46" s="15">
        <v>83.6</v>
      </c>
      <c r="K46" s="32">
        <f t="shared" si="16"/>
        <v>3.59355638166046E-2</v>
      </c>
      <c r="L46" s="18">
        <f>IF(ISNUMBER(J46), $B64 * K46, "")</f>
        <v>3593.5563816604599</v>
      </c>
      <c r="M46" s="31">
        <v>84.8</v>
      </c>
      <c r="N46" s="32">
        <f t="shared" si="17"/>
        <v>5.0805452292441065E-2</v>
      </c>
      <c r="O46" s="18">
        <f>IF(ISNUMBER(M46), $B64 * N46, "")</f>
        <v>5080.5452292441068</v>
      </c>
      <c r="Q46" s="251"/>
      <c r="R46" s="251"/>
      <c r="S46" s="251"/>
    </row>
    <row r="47" spans="1:19" ht="17.25" customHeight="1" thickBot="1">
      <c r="A47" s="162" t="s">
        <v>273</v>
      </c>
      <c r="B47" s="126">
        <v>69.3</v>
      </c>
      <c r="C47" s="77">
        <v>-3.0769230799999998E-2</v>
      </c>
      <c r="D47" s="15">
        <v>71.2</v>
      </c>
      <c r="E47" s="32">
        <f t="shared" si="14"/>
        <v>2.7417027417027499E-2</v>
      </c>
      <c r="F47" s="18">
        <f>IF(ISNUMBER(D47), $B64 * E47, "")</f>
        <v>2741.7027417027498</v>
      </c>
      <c r="G47" s="31">
        <v>71.8</v>
      </c>
      <c r="H47" s="32">
        <f t="shared" si="15"/>
        <v>3.6075036075036079E-2</v>
      </c>
      <c r="I47" s="101">
        <f>IF(ISNUMBER(G47), $B64 * H47, "")</f>
        <v>3607.5036075036078</v>
      </c>
      <c r="J47" s="15">
        <v>71.5</v>
      </c>
      <c r="K47" s="32">
        <f t="shared" si="16"/>
        <v>3.1746031746031786E-2</v>
      </c>
      <c r="L47" s="18">
        <f>IF(ISNUMBER(J47), $B64 * K47, "")</f>
        <v>3174.6031746031786</v>
      </c>
      <c r="M47" s="31">
        <v>71.900000000000006</v>
      </c>
      <c r="N47" s="32">
        <f t="shared" si="17"/>
        <v>3.7518037518037645E-2</v>
      </c>
      <c r="O47" s="18">
        <f>IF(ISNUMBER(M47), $B64 * N47, "")</f>
        <v>3751.8037518037645</v>
      </c>
      <c r="Q47" s="251"/>
      <c r="R47" s="251"/>
      <c r="S47" s="251"/>
    </row>
    <row r="48" spans="1:19" ht="17.25" customHeight="1" thickBot="1">
      <c r="A48" s="163" t="s">
        <v>100</v>
      </c>
      <c r="B48" s="128">
        <v>3.89</v>
      </c>
      <c r="C48" s="78">
        <v>-3.2338308500000003E-2</v>
      </c>
      <c r="D48" s="20">
        <v>3.93</v>
      </c>
      <c r="E48" s="21">
        <f t="shared" si="14"/>
        <v>1.0282776349614406E-2</v>
      </c>
      <c r="F48" s="22">
        <f>IF(ISNUMBER(D48), $B64 * E48, "")</f>
        <v>1028.2776349614405</v>
      </c>
      <c r="G48" s="30">
        <v>3.93</v>
      </c>
      <c r="H48" s="21">
        <f t="shared" si="15"/>
        <v>1.0282776349614406E-2</v>
      </c>
      <c r="I48" s="105">
        <f>IF(ISNUMBER(G48), $B64 * H48, "")</f>
        <v>1028.2776349614405</v>
      </c>
      <c r="J48" s="20">
        <v>3.93</v>
      </c>
      <c r="K48" s="21">
        <f t="shared" si="16"/>
        <v>1.0282776349614406E-2</v>
      </c>
      <c r="L48" s="22">
        <f>IF(ISNUMBER(J48), $B64 * K48, "")</f>
        <v>1028.2776349614405</v>
      </c>
      <c r="M48" s="30">
        <v>3.93</v>
      </c>
      <c r="N48" s="21">
        <f t="shared" si="17"/>
        <v>1.0282776349614406E-2</v>
      </c>
      <c r="O48" s="22">
        <f>IF(ISNUMBER(M48), $B64 * N48, "")</f>
        <v>1028.2776349614405</v>
      </c>
      <c r="Q48" s="251"/>
      <c r="R48" s="251"/>
      <c r="S48" s="251"/>
    </row>
    <row r="49" spans="1:19" ht="17.25" customHeight="1" thickBot="1">
      <c r="A49" s="162" t="s">
        <v>167</v>
      </c>
      <c r="B49" s="129">
        <v>82</v>
      </c>
      <c r="C49" s="80">
        <v>-3.3018867899999998E-2</v>
      </c>
      <c r="D49" s="106">
        <v>83.8</v>
      </c>
      <c r="E49" s="107">
        <f>IF(ISNUMBER(D49), (D49 - $B49) / $B49, "")</f>
        <v>2.1951219512195086E-2</v>
      </c>
      <c r="F49" s="108">
        <f>IF(ISNUMBER(D49), $B64 * E49, "")</f>
        <v>2195.1219512195084</v>
      </c>
      <c r="G49" s="109">
        <v>84.2</v>
      </c>
      <c r="H49" s="107">
        <f>IF(ISNUMBER(G49), (G49 - $B49) / $B49, "")</f>
        <v>2.6829268292682961E-2</v>
      </c>
      <c r="I49" s="110">
        <f>IF(ISNUMBER(G49), $B64 * H49, "")</f>
        <v>2682.9268292682959</v>
      </c>
      <c r="J49" s="106">
        <v>83.8</v>
      </c>
      <c r="K49" s="107">
        <f>IF(ISNUMBER(J49), (J49 - $B49) / $B49, "")</f>
        <v>2.1951219512195086E-2</v>
      </c>
      <c r="L49" s="108">
        <f>IF(ISNUMBER(J49), $B64 * K49, "")</f>
        <v>2195.1219512195084</v>
      </c>
      <c r="M49" s="109">
        <v>83.8</v>
      </c>
      <c r="N49" s="107">
        <f>IF(ISNUMBER(M49), (M49 - $B49) / $B49, "")</f>
        <v>2.1951219512195086E-2</v>
      </c>
      <c r="O49" s="108">
        <f>IF(ISNUMBER(M49), $B64 * N49, "")</f>
        <v>2195.1219512195084</v>
      </c>
      <c r="Q49" s="251"/>
      <c r="R49" s="251"/>
      <c r="S49" s="251"/>
    </row>
    <row r="50" spans="1:19" ht="17.25" customHeight="1" thickBot="1">
      <c r="A50" s="162" t="s">
        <v>134</v>
      </c>
      <c r="B50" s="126">
        <v>78.3</v>
      </c>
      <c r="C50" s="77">
        <v>-4.1615667100000003E-2</v>
      </c>
      <c r="D50" s="15">
        <v>79.099999999999994</v>
      </c>
      <c r="E50" s="32">
        <f t="shared" ref="E50:E53" si="18">IF(ISNUMBER(D50), (D50 - $B50) / $B50, "")</f>
        <v>1.0217113665389492E-2</v>
      </c>
      <c r="F50" s="18">
        <f>IF(ISNUMBER(D50), $B64 * E50, "")</f>
        <v>1021.7113665389492</v>
      </c>
      <c r="G50" s="31">
        <v>78.8</v>
      </c>
      <c r="H50" s="32">
        <f t="shared" ref="H50:H53" si="19">IF(ISNUMBER(G50), (G50 - $B50) / $B50, "")</f>
        <v>6.3856960408684551E-3</v>
      </c>
      <c r="I50" s="101">
        <f>IF(ISNUMBER(G50), $B64 * H50, "")</f>
        <v>638.56960408684552</v>
      </c>
      <c r="J50" s="15">
        <v>78.400000000000006</v>
      </c>
      <c r="K50" s="32">
        <f t="shared" ref="K50:K53" si="20">IF(ISNUMBER(J50), (J50 - $B50) / $B50, "")</f>
        <v>1.2771392081737999E-3</v>
      </c>
      <c r="L50" s="18">
        <f>IF(ISNUMBER(J50), $B64 * K50, "")</f>
        <v>127.71392081737999</v>
      </c>
      <c r="M50" s="31">
        <v>77.2</v>
      </c>
      <c r="N50" s="32">
        <f t="shared" ref="N50:N53" si="21">IF(ISNUMBER(M50), (M50 - $B50) / $B50, "")</f>
        <v>-1.4048531289910527E-2</v>
      </c>
      <c r="O50" s="18">
        <f>IF(ISNUMBER(M50), $B64 * N50, "")</f>
        <v>-1404.8531289910527</v>
      </c>
      <c r="Q50" s="251"/>
      <c r="R50" s="251"/>
      <c r="S50" s="251"/>
    </row>
    <row r="51" spans="1:19" ht="17.25" customHeight="1" thickBot="1">
      <c r="A51" s="162" t="s">
        <v>148</v>
      </c>
      <c r="B51" s="126">
        <v>94.5</v>
      </c>
      <c r="C51" s="77">
        <v>-4.5454545499999999E-2</v>
      </c>
      <c r="D51" s="15">
        <v>95.1</v>
      </c>
      <c r="E51" s="32">
        <f t="shared" si="18"/>
        <v>6.3492063492062894E-3</v>
      </c>
      <c r="F51" s="18">
        <f>IF(ISNUMBER(D51), $B64 * E51, "")</f>
        <v>634.92063492062891</v>
      </c>
      <c r="G51" s="31">
        <v>94.1</v>
      </c>
      <c r="H51" s="32">
        <f t="shared" si="19"/>
        <v>-4.2328042328042929E-3</v>
      </c>
      <c r="I51" s="101">
        <f>IF(ISNUMBER(G51), $B64 * H51, "")</f>
        <v>-423.28042328042932</v>
      </c>
      <c r="J51" s="15">
        <v>95.2</v>
      </c>
      <c r="K51" s="32">
        <f t="shared" si="20"/>
        <v>7.4074074074074372E-3</v>
      </c>
      <c r="L51" s="18">
        <f>IF(ISNUMBER(J51), $B64 * K51, "")</f>
        <v>740.74074074074372</v>
      </c>
      <c r="M51" s="31">
        <v>95.1</v>
      </c>
      <c r="N51" s="32">
        <f t="shared" si="21"/>
        <v>6.3492063492062894E-3</v>
      </c>
      <c r="O51" s="18">
        <f>IF(ISNUMBER(M51), $B64 * N51, "")</f>
        <v>634.92063492062891</v>
      </c>
      <c r="Q51" s="251"/>
      <c r="R51" s="251"/>
      <c r="S51" s="251"/>
    </row>
    <row r="52" spans="1:19" ht="17.25" customHeight="1" thickBot="1">
      <c r="A52" s="162" t="s">
        <v>65</v>
      </c>
      <c r="B52" s="126">
        <v>32</v>
      </c>
      <c r="C52" s="77">
        <v>-4.7619047599999999E-2</v>
      </c>
      <c r="D52" s="15">
        <v>32.4</v>
      </c>
      <c r="E52" s="32">
        <f t="shared" si="18"/>
        <v>1.2499999999999956E-2</v>
      </c>
      <c r="F52" s="18">
        <f>IF(ISNUMBER(D52), $B64 * E52, "")</f>
        <v>1249.9999999999955</v>
      </c>
      <c r="G52" s="31">
        <v>31.8</v>
      </c>
      <c r="H52" s="32">
        <f t="shared" si="19"/>
        <v>-6.2499999999999778E-3</v>
      </c>
      <c r="I52" s="101">
        <f>IF(ISNUMBER(G52), $B64 * H52, "")</f>
        <v>-624.99999999999773</v>
      </c>
      <c r="J52" s="15">
        <v>31.8</v>
      </c>
      <c r="K52" s="32">
        <f t="shared" si="20"/>
        <v>-6.2499999999999778E-3</v>
      </c>
      <c r="L52" s="18">
        <f>IF(ISNUMBER(J52), $B64 * K52, "")</f>
        <v>-624.99999999999773</v>
      </c>
      <c r="M52" s="31">
        <v>31.7</v>
      </c>
      <c r="N52" s="32">
        <f t="shared" si="21"/>
        <v>-9.3750000000000222E-3</v>
      </c>
      <c r="O52" s="18">
        <f>IF(ISNUMBER(M52), $B64 * N52, "")</f>
        <v>-937.50000000000227</v>
      </c>
      <c r="Q52" s="33"/>
      <c r="R52" s="33"/>
    </row>
    <row r="53" spans="1:19" ht="17.25" customHeight="1" thickBot="1">
      <c r="A53" s="130" t="s">
        <v>227</v>
      </c>
      <c r="B53" s="131">
        <v>89</v>
      </c>
      <c r="C53" s="79">
        <v>-4.81283422E-2</v>
      </c>
      <c r="D53" s="24">
        <v>89.6</v>
      </c>
      <c r="E53" s="25">
        <f t="shared" si="18"/>
        <v>6.7415730337078011E-3</v>
      </c>
      <c r="F53" s="104">
        <f>IF(ISNUMBER(D53), $B64 * E53, "")</f>
        <v>674.15730337078014</v>
      </c>
      <c r="G53" s="102">
        <v>88.6</v>
      </c>
      <c r="H53" s="25">
        <f t="shared" si="19"/>
        <v>-4.4943820224719738E-3</v>
      </c>
      <c r="I53" s="103">
        <f>IF(ISNUMBER(G53), $B64 * H53, "")</f>
        <v>-449.43820224719741</v>
      </c>
      <c r="J53" s="24">
        <v>89</v>
      </c>
      <c r="K53" s="25">
        <f t="shared" si="20"/>
        <v>0</v>
      </c>
      <c r="L53" s="104">
        <f>IF(ISNUMBER(J53), $B64 * K53, "")</f>
        <v>0</v>
      </c>
      <c r="M53" s="102">
        <v>88.7</v>
      </c>
      <c r="N53" s="25">
        <f t="shared" si="21"/>
        <v>-3.3707865168539006E-3</v>
      </c>
      <c r="O53" s="104">
        <f>IF(ISNUMBER(M53), $B64 * N53, "")</f>
        <v>-337.07865168539007</v>
      </c>
      <c r="Q53" s="252"/>
      <c r="R53" s="253"/>
      <c r="S53" s="254"/>
    </row>
    <row r="54" spans="1:19" ht="17.25" customHeight="1">
      <c r="A54" s="161" t="s">
        <v>154</v>
      </c>
      <c r="B54" s="124">
        <v>8.67</v>
      </c>
      <c r="C54" s="76">
        <v>-5.1422319500000001E-2</v>
      </c>
      <c r="D54" s="13">
        <v>9.27</v>
      </c>
      <c r="E54" s="14">
        <f>IF(ISNUMBER(D54), (D54 - $B54) / $B54, "")</f>
        <v>6.9204152249134912E-2</v>
      </c>
      <c r="F54" s="16">
        <f>IF(ISNUMBER(D54), $B64 * E54, "")</f>
        <v>6920.4152249134913</v>
      </c>
      <c r="G54" s="29">
        <v>9.0299999999999994</v>
      </c>
      <c r="H54" s="14">
        <f>IF(ISNUMBER(G54), (G54 - $B54) / $B54, "")</f>
        <v>4.1522491349480904E-2</v>
      </c>
      <c r="I54" s="100">
        <f>IF(ISNUMBER(G54), $B64 * H54, "")</f>
        <v>4152.2491349480906</v>
      </c>
      <c r="J54" s="13">
        <v>8.9499999999999993</v>
      </c>
      <c r="K54" s="14">
        <f>IF(ISNUMBER(J54), (J54 - $B54) / $B54, "")</f>
        <v>3.2295271049596237E-2</v>
      </c>
      <c r="L54" s="16">
        <f>IF(ISNUMBER(J54), $B64 * K54, "")</f>
        <v>3229.5271049596236</v>
      </c>
      <c r="M54" s="29">
        <v>8.99</v>
      </c>
      <c r="N54" s="14">
        <f>IF(ISNUMBER(M54), (M54 - $B54) / $B54, "")</f>
        <v>3.6908881199538675E-2</v>
      </c>
      <c r="O54" s="16">
        <f>IF(ISNUMBER(M54), $B64 * N54, "")</f>
        <v>3690.8881199538673</v>
      </c>
      <c r="Q54" s="255"/>
      <c r="R54" s="256"/>
      <c r="S54" s="257"/>
    </row>
    <row r="55" spans="1:19" ht="17.25" customHeight="1" thickBot="1">
      <c r="A55" s="162" t="s">
        <v>225</v>
      </c>
      <c r="B55" s="126">
        <v>8.14</v>
      </c>
      <c r="C55" s="77">
        <v>-5.2386495900000003E-2</v>
      </c>
      <c r="D55" s="15">
        <v>8.61</v>
      </c>
      <c r="E55" s="32">
        <f t="shared" ref="E55:E58" si="22">IF(ISNUMBER(D55), (D55 - $B55) / $B55, "")</f>
        <v>5.7739557739557593E-2</v>
      </c>
      <c r="F55" s="18">
        <f>IF(ISNUMBER(D55), $B64 * E55, "")</f>
        <v>5773.9557739557595</v>
      </c>
      <c r="G55" s="31">
        <v>8.2799999999999994</v>
      </c>
      <c r="H55" s="32">
        <f t="shared" ref="H55:H58" si="23">IF(ISNUMBER(G55), (G55 - $B55) / $B55, "")</f>
        <v>1.719901719901705E-2</v>
      </c>
      <c r="I55" s="101">
        <f>IF(ISNUMBER(G55), $B64 * H55, "")</f>
        <v>1719.9017199017051</v>
      </c>
      <c r="J55" s="15">
        <v>8.2100000000000009</v>
      </c>
      <c r="K55" s="32">
        <f t="shared" ref="K55:K58" si="24">IF(ISNUMBER(J55), (J55 - $B55) / $B55, "")</f>
        <v>8.5995085995086342E-3</v>
      </c>
      <c r="L55" s="18">
        <f>IF(ISNUMBER(J55), $B64 * K55, "")</f>
        <v>859.95085995086345</v>
      </c>
      <c r="M55" s="31">
        <v>8.16</v>
      </c>
      <c r="N55" s="32">
        <f t="shared" ref="N55:N58" si="25">IF(ISNUMBER(M55), (M55 - $B55) / $B55, "")</f>
        <v>2.4570024570024045E-3</v>
      </c>
      <c r="O55" s="18">
        <f>IF(ISNUMBER(M55), $B64 * N55, "")</f>
        <v>245.70024570024046</v>
      </c>
      <c r="Q55" s="258"/>
      <c r="R55" s="259"/>
      <c r="S55" s="260"/>
    </row>
    <row r="56" spans="1:19" ht="17.25" customHeight="1" thickBot="1">
      <c r="A56" s="162" t="s">
        <v>195</v>
      </c>
      <c r="B56" s="126">
        <v>8.61</v>
      </c>
      <c r="C56" s="77">
        <v>-5.2805280500000003E-2</v>
      </c>
      <c r="D56" s="15">
        <v>9.7799999999999994</v>
      </c>
      <c r="E56" s="32">
        <f t="shared" si="22"/>
        <v>0.13588850174216027</v>
      </c>
      <c r="F56" s="18">
        <f>IF(ISNUMBER(D56), $B64 * E56, "")</f>
        <v>13588.850174216028</v>
      </c>
      <c r="G56" s="31">
        <v>9.1999999999999993</v>
      </c>
      <c r="H56" s="32">
        <f t="shared" si="23"/>
        <v>6.8524970963995346E-2</v>
      </c>
      <c r="I56" s="101">
        <f>IF(ISNUMBER(G56), $B64 * H56, "")</f>
        <v>6852.4970963995347</v>
      </c>
      <c r="J56" s="15">
        <v>9.1300000000000008</v>
      </c>
      <c r="K56" s="32">
        <f t="shared" si="24"/>
        <v>6.0394889663182509E-2</v>
      </c>
      <c r="L56" s="18">
        <f>IF(ISNUMBER(J56), $B64 * K56, "")</f>
        <v>6039.4889663182512</v>
      </c>
      <c r="M56" s="31">
        <v>8.98</v>
      </c>
      <c r="N56" s="32">
        <f t="shared" si="25"/>
        <v>4.2973286875726019E-2</v>
      </c>
      <c r="O56" s="18">
        <f>IF(ISNUMBER(M56), $B64 * N56, "")</f>
        <v>4297.3286875726017</v>
      </c>
      <c r="Q56" s="251"/>
      <c r="R56" s="251"/>
      <c r="S56" s="251"/>
    </row>
    <row r="57" spans="1:19" ht="17.25" customHeight="1" thickBot="1">
      <c r="A57" s="162" t="s">
        <v>72</v>
      </c>
      <c r="B57" s="126">
        <v>18.5</v>
      </c>
      <c r="C57" s="77">
        <v>-5.6122448999999998E-2</v>
      </c>
      <c r="D57" s="15">
        <v>18.600000000000001</v>
      </c>
      <c r="E57" s="32">
        <f t="shared" si="22"/>
        <v>5.405405405405482E-3</v>
      </c>
      <c r="F57" s="18">
        <f>IF(ISNUMBER(D57), $B64 * E57, "")</f>
        <v>540.54054054054825</v>
      </c>
      <c r="G57" s="31">
        <v>18.600000000000001</v>
      </c>
      <c r="H57" s="32">
        <f t="shared" si="23"/>
        <v>5.405405405405482E-3</v>
      </c>
      <c r="I57" s="101">
        <f>IF(ISNUMBER(G57), $B64 * H57, "")</f>
        <v>540.54054054054825</v>
      </c>
      <c r="J57" s="15">
        <v>18.7</v>
      </c>
      <c r="K57" s="32">
        <f t="shared" si="24"/>
        <v>1.0810810810810773E-2</v>
      </c>
      <c r="L57" s="18">
        <f>IF(ISNUMBER(J57), $B64 * K57, "")</f>
        <v>1081.0810810810774</v>
      </c>
      <c r="M57" s="31">
        <v>18.5</v>
      </c>
      <c r="N57" s="32">
        <f t="shared" si="25"/>
        <v>0</v>
      </c>
      <c r="O57" s="18">
        <f>IF(ISNUMBER(M57), $B64 * N57, "")</f>
        <v>0</v>
      </c>
      <c r="Q57" s="261"/>
      <c r="R57" s="261"/>
      <c r="S57" s="261"/>
    </row>
    <row r="58" spans="1:19" ht="17.25" customHeight="1" thickBot="1">
      <c r="A58" s="163" t="s">
        <v>208</v>
      </c>
      <c r="B58" s="128">
        <v>84.8</v>
      </c>
      <c r="C58" s="78">
        <v>-5.7777777799999999E-2</v>
      </c>
      <c r="D58" s="20">
        <v>87</v>
      </c>
      <c r="E58" s="21">
        <f t="shared" si="22"/>
        <v>2.594339622641513E-2</v>
      </c>
      <c r="F58" s="22">
        <f>IF(ISNUMBER(D58), $B64 * E58, "")</f>
        <v>2594.339622641513</v>
      </c>
      <c r="G58" s="30">
        <v>86.3</v>
      </c>
      <c r="H58" s="21">
        <f t="shared" si="23"/>
        <v>1.7688679245283018E-2</v>
      </c>
      <c r="I58" s="105">
        <f>IF(ISNUMBER(G58), $B64 * H58, "")</f>
        <v>1768.8679245283017</v>
      </c>
      <c r="J58" s="20">
        <v>86.2</v>
      </c>
      <c r="K58" s="21">
        <f t="shared" si="24"/>
        <v>1.650943396226422E-2</v>
      </c>
      <c r="L58" s="22">
        <f>IF(ISNUMBER(J58), $B64 * K58, "")</f>
        <v>1650.943396226422</v>
      </c>
      <c r="M58" s="30">
        <v>86.6</v>
      </c>
      <c r="N58" s="21">
        <f t="shared" si="25"/>
        <v>2.122641509433959E-2</v>
      </c>
      <c r="O58" s="22">
        <f>IF(ISNUMBER(M58), $B64 * N58, "")</f>
        <v>2122.6415094339591</v>
      </c>
      <c r="Q58" s="261"/>
      <c r="R58" s="261"/>
      <c r="S58" s="261"/>
    </row>
    <row r="59" spans="1:19" ht="17.25" customHeight="1" thickBot="1">
      <c r="A59" s="162" t="s">
        <v>152</v>
      </c>
      <c r="B59" s="129">
        <v>17.5</v>
      </c>
      <c r="C59" s="80">
        <v>-5.9139784899999999E-2</v>
      </c>
      <c r="D59" s="106">
        <v>17.899999999999999</v>
      </c>
      <c r="E59" s="107">
        <f>IF(ISNUMBER(D59), (D59 - $B59) / $B59, "")</f>
        <v>2.2857142857142777E-2</v>
      </c>
      <c r="F59" s="108">
        <f>IF(ISNUMBER(D59), $B64 * E59, "")</f>
        <v>2285.7142857142776</v>
      </c>
      <c r="G59" s="109">
        <v>18</v>
      </c>
      <c r="H59" s="107">
        <f>IF(ISNUMBER(G59), (G59 - $B59) / $B59, "")</f>
        <v>2.8571428571428571E-2</v>
      </c>
      <c r="I59" s="110">
        <f>IF(ISNUMBER(G59), $B64 * H59, "")</f>
        <v>2857.1428571428569</v>
      </c>
      <c r="J59" s="106">
        <v>17.8</v>
      </c>
      <c r="K59" s="107">
        <f>IF(ISNUMBER(J59), (J59 - $B59) / $B59, "")</f>
        <v>1.7142857142857182E-2</v>
      </c>
      <c r="L59" s="108">
        <f>IF(ISNUMBER(J59), $B64 * K59, "")</f>
        <v>1714.2857142857181</v>
      </c>
      <c r="M59" s="109">
        <v>17.899999999999999</v>
      </c>
      <c r="N59" s="107">
        <f>IF(ISNUMBER(M59), (M59 - $B59) / $B59, "")</f>
        <v>2.2857142857142777E-2</v>
      </c>
      <c r="O59" s="108">
        <f>IF(ISNUMBER(M59), $B64 * N59, "")</f>
        <v>2285.7142857142776</v>
      </c>
      <c r="Q59" s="251"/>
      <c r="R59" s="251"/>
      <c r="S59" s="251"/>
    </row>
    <row r="60" spans="1:19" ht="17.25" customHeight="1" thickBot="1">
      <c r="A60" s="162" t="s">
        <v>259</v>
      </c>
      <c r="B60" s="126">
        <v>71.400000000000006</v>
      </c>
      <c r="C60" s="77">
        <v>-5.9288537500000002E-2</v>
      </c>
      <c r="D60" s="15">
        <v>72.2</v>
      </c>
      <c r="E60" s="32">
        <f t="shared" ref="E60:E63" si="26">IF(ISNUMBER(D60), (D60 - $B60) / $B60, "")</f>
        <v>1.1204481792717045E-2</v>
      </c>
      <c r="F60" s="18">
        <f>IF(ISNUMBER(D60), $B64 * E60, "")</f>
        <v>1120.4481792717045</v>
      </c>
      <c r="G60" s="31">
        <v>72.5</v>
      </c>
      <c r="H60" s="32">
        <f t="shared" ref="H60:H63" si="27">IF(ISNUMBER(G60), (G60 - $B60) / $B60, "")</f>
        <v>1.5406162464985914E-2</v>
      </c>
      <c r="I60" s="101">
        <f>IF(ISNUMBER(G60), $B64 * H60, "")</f>
        <v>1540.6162464985914</v>
      </c>
      <c r="J60" s="15">
        <v>72.2</v>
      </c>
      <c r="K60" s="32">
        <f t="shared" ref="K60:K63" si="28">IF(ISNUMBER(J60), (J60 - $B60) / $B60, "")</f>
        <v>1.1204481792717045E-2</v>
      </c>
      <c r="L60" s="18">
        <f>IF(ISNUMBER(J60), $B64 * K60, "")</f>
        <v>1120.4481792717045</v>
      </c>
      <c r="M60" s="31">
        <v>72.5</v>
      </c>
      <c r="N60" s="32">
        <f t="shared" ref="N60:N63" si="29">IF(ISNUMBER(M60), (M60 - $B60) / $B60, "")</f>
        <v>1.5406162464985914E-2</v>
      </c>
      <c r="O60" s="18">
        <f>IF(ISNUMBER(M60), $B64 * N60, "")</f>
        <v>1540.6162464985914</v>
      </c>
      <c r="Q60" s="251"/>
      <c r="R60" s="251"/>
      <c r="S60" s="251"/>
    </row>
    <row r="61" spans="1:19" ht="17.25" customHeight="1" thickBot="1">
      <c r="A61" s="162" t="s">
        <v>212</v>
      </c>
      <c r="B61" s="126">
        <v>9.64</v>
      </c>
      <c r="C61" s="77">
        <v>-6.4077669899999995E-2</v>
      </c>
      <c r="D61" s="15">
        <v>9.9499999999999993</v>
      </c>
      <c r="E61" s="32">
        <f t="shared" si="26"/>
        <v>3.2157676348547583E-2</v>
      </c>
      <c r="F61" s="18">
        <f>IF(ISNUMBER(D61), $B64 * E61, "")</f>
        <v>3215.7676348547584</v>
      </c>
      <c r="G61" s="31">
        <v>9.5500000000000007</v>
      </c>
      <c r="H61" s="32">
        <f t="shared" si="27"/>
        <v>-9.3360995850622248E-3</v>
      </c>
      <c r="I61" s="101">
        <f>IF(ISNUMBER(G61), $B64 * H61, "")</f>
        <v>-933.60995850622248</v>
      </c>
      <c r="J61" s="15">
        <v>9.5500000000000007</v>
      </c>
      <c r="K61" s="32">
        <f t="shared" si="28"/>
        <v>-9.3360995850622248E-3</v>
      </c>
      <c r="L61" s="18">
        <f>IF(ISNUMBER(J61), $B64 * K61, "")</f>
        <v>-933.60995850622248</v>
      </c>
      <c r="M61" s="31">
        <v>9.52</v>
      </c>
      <c r="N61" s="32">
        <f t="shared" si="29"/>
        <v>-1.2448132780083091E-2</v>
      </c>
      <c r="O61" s="18">
        <f>IF(ISNUMBER(M61), $B64 * N61, "")</f>
        <v>-1244.813278008309</v>
      </c>
      <c r="Q61" s="251"/>
      <c r="R61" s="251"/>
      <c r="S61" s="251"/>
    </row>
    <row r="62" spans="1:19" ht="17.25" customHeight="1">
      <c r="A62" s="162" t="s">
        <v>185</v>
      </c>
      <c r="B62" s="126">
        <v>14.3</v>
      </c>
      <c r="C62" s="77">
        <v>-6.5359477099999994E-2</v>
      </c>
      <c r="D62" s="15">
        <v>14.5</v>
      </c>
      <c r="E62" s="32">
        <f t="shared" si="26"/>
        <v>1.3986013986013936E-2</v>
      </c>
      <c r="F62" s="18">
        <f>IF(ISNUMBER(D62), $B64 * E62, "")</f>
        <v>1398.6013986013936</v>
      </c>
      <c r="G62" s="31">
        <v>14.4</v>
      </c>
      <c r="H62" s="32">
        <f t="shared" si="27"/>
        <v>6.9930069930069678E-3</v>
      </c>
      <c r="I62" s="101">
        <f>IF(ISNUMBER(G62), $B64 * H62, "")</f>
        <v>699.30069930069681</v>
      </c>
      <c r="J62" s="15">
        <v>14.4</v>
      </c>
      <c r="K62" s="32">
        <f t="shared" si="28"/>
        <v>6.9930069930069678E-3</v>
      </c>
      <c r="L62" s="18">
        <f>IF(ISNUMBER(J62), $B64 * K62, "")</f>
        <v>699.30069930069681</v>
      </c>
      <c r="M62" s="31">
        <v>14.2</v>
      </c>
      <c r="N62" s="32">
        <f t="shared" si="29"/>
        <v>-6.9930069930070919E-3</v>
      </c>
      <c r="O62" s="18">
        <f>IF(ISNUMBER(M62), $B64 * N62, "")</f>
        <v>-699.3006993007092</v>
      </c>
      <c r="Q62" s="240"/>
      <c r="R62" s="241"/>
      <c r="S62" s="242"/>
    </row>
    <row r="63" spans="1:19" ht="17.25" customHeight="1" thickBot="1">
      <c r="A63" s="130" t="s">
        <v>217</v>
      </c>
      <c r="B63" s="131">
        <v>9.5299999999999994</v>
      </c>
      <c r="C63" s="79">
        <v>-6.5686274500000003E-2</v>
      </c>
      <c r="D63" s="24">
        <v>9.77</v>
      </c>
      <c r="E63" s="25">
        <f t="shared" si="26"/>
        <v>2.518363064008397E-2</v>
      </c>
      <c r="F63" s="104">
        <f>IF(ISNUMBER(D63), $B64 * E63, "")</f>
        <v>2518.363064008397</v>
      </c>
      <c r="G63" s="102">
        <v>9.6199999999999992</v>
      </c>
      <c r="H63" s="25">
        <f t="shared" si="27"/>
        <v>9.4438614900314646E-3</v>
      </c>
      <c r="I63" s="103">
        <f>IF(ISNUMBER(G63), $B64 * H63, "")</f>
        <v>944.38614900314644</v>
      </c>
      <c r="J63" s="24">
        <v>9.61</v>
      </c>
      <c r="K63" s="25">
        <f t="shared" si="28"/>
        <v>8.3945435466946557E-3</v>
      </c>
      <c r="L63" s="104">
        <f>IF(ISNUMBER(J63), $B64 * K63, "")</f>
        <v>839.4543546694656</v>
      </c>
      <c r="M63" s="102">
        <v>9.61</v>
      </c>
      <c r="N63" s="25">
        <f t="shared" si="29"/>
        <v>8.3945435466946557E-3</v>
      </c>
      <c r="O63" s="104">
        <f>IF(ISNUMBER(M63), $B64 * N63, "")</f>
        <v>839.4543546694656</v>
      </c>
      <c r="Q63" s="243"/>
      <c r="R63" s="244"/>
      <c r="S63" s="245"/>
    </row>
    <row r="64" spans="1:19" ht="17.25" customHeight="1" thickBot="1">
      <c r="A64" s="132" t="s">
        <v>295</v>
      </c>
      <c r="B64" s="304">
        <f>$B$37</f>
        <v>100000</v>
      </c>
      <c r="C64" s="305"/>
      <c r="D64" s="26" t="s">
        <v>296</v>
      </c>
      <c r="E64" s="27">
        <f>IF(COUNT(E44:E63), SUM(E44:E63) / COUNT(E44:E63), 0)</f>
        <v>2.2478552251350779E-2</v>
      </c>
      <c r="F64" s="28">
        <f>SUM(F44:F63)</f>
        <v>44957.104502701557</v>
      </c>
      <c r="G64" s="26" t="s">
        <v>296</v>
      </c>
      <c r="H64" s="27">
        <f>IF(COUNT(H44:H63), SUM(H44:H63) / COUNT(H44:H63), 0)</f>
        <v>1.1477921376729186E-2</v>
      </c>
      <c r="I64" s="28">
        <f>SUM(I44:I63)</f>
        <v>22955.842753458364</v>
      </c>
      <c r="J64" s="26" t="s">
        <v>296</v>
      </c>
      <c r="K64" s="27">
        <f>IF(COUNT(K44:K63), SUM(K44:K63) / COUNT(K44:K63), 0)</f>
        <v>9.2474186371574278E-3</v>
      </c>
      <c r="L64" s="28">
        <f>SUM(L44:L63)</f>
        <v>18494.83727431485</v>
      </c>
      <c r="M64" s="26" t="s">
        <v>296</v>
      </c>
      <c r="N64" s="27">
        <f>IF(COUNT(N44:N63), SUM(N44:N63) / COUNT(N44:N63), 0)</f>
        <v>6.5614519986810071E-3</v>
      </c>
      <c r="O64" s="28">
        <f>SUM(O44:O63)</f>
        <v>13122.903997362013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262" t="s">
        <v>45</v>
      </c>
      <c r="B67" s="263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4"/>
      <c r="Q67" s="261"/>
      <c r="R67" s="261"/>
      <c r="S67" s="261"/>
    </row>
    <row r="68" spans="1:19" ht="17.25" thickBot="1">
      <c r="A68" s="224" t="s">
        <v>292</v>
      </c>
      <c r="B68" s="262" t="s">
        <v>49</v>
      </c>
      <c r="C68" s="264"/>
      <c r="D68" s="262" t="s">
        <v>58</v>
      </c>
      <c r="E68" s="263"/>
      <c r="F68" s="264"/>
      <c r="G68" s="265">
        <f>_xlfn.IFNA(VLOOKUP(B68, 현재가테이블!$B$2:$D$200, 2, FALSE), "-")</f>
        <v>40538000</v>
      </c>
      <c r="H68" s="266"/>
      <c r="I68" s="267"/>
      <c r="J68" s="262" t="s">
        <v>59</v>
      </c>
      <c r="K68" s="263"/>
      <c r="L68" s="264"/>
      <c r="M68" s="268">
        <f>_xlfn.IFNA(VLOOKUP(B68, 현재가테이블!$B$2:$D$200, 3, FALSE), "-")</f>
        <v>-3.68275993E-2</v>
      </c>
      <c r="N68" s="269"/>
      <c r="O68" s="270"/>
      <c r="Q68" s="261"/>
      <c r="R68" s="261"/>
      <c r="S68" s="261"/>
    </row>
    <row r="69" spans="1:19" ht="17.25" thickBot="1">
      <c r="A69" s="306" t="s">
        <v>55</v>
      </c>
      <c r="B69" s="302" t="str">
        <f>TEXT($G$1, "[$-ko-KR]yyyy-mm-dd(ddd) ") &amp; "오전 00:00"</f>
        <v>2021-06-17(목) 오전 00:00</v>
      </c>
      <c r="C69" s="303"/>
      <c r="D69" s="275" t="str">
        <f>TEXT($G$1, "[$-ko-KR]yyyy-mm-dd(ddd) ") &amp; "오후 14:00"</f>
        <v>2021-06-17(목) 오후 14:00</v>
      </c>
      <c r="E69" s="276"/>
      <c r="F69" s="277"/>
      <c r="G69" s="275" t="str">
        <f>TEXT($G$1, "[$-ko-KR]yyyy-mm-dd(ddd) ") &amp; "오후 19:00"</f>
        <v>2021-06-17(목) 오후 19:00</v>
      </c>
      <c r="H69" s="276"/>
      <c r="I69" s="277"/>
      <c r="J69" s="275" t="str">
        <f>TEXT($G$1, "[$-ko-KR]yyyy-mm-dd(ddd) ") &amp; "오후 21:00"</f>
        <v>2021-06-17(목) 오후 21:00</v>
      </c>
      <c r="K69" s="276"/>
      <c r="L69" s="277"/>
      <c r="M69" s="275" t="str">
        <f>TEXT($G$1+1, "[$-ko-KR]yyyy-mm-dd(ddd) ") &amp; "오전 00:00"</f>
        <v>2021-06-18(금) 오전 00:00</v>
      </c>
      <c r="N69" s="276"/>
      <c r="O69" s="277"/>
      <c r="Q69" s="261"/>
      <c r="R69" s="261"/>
      <c r="S69" s="261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5" t="s">
        <v>58</v>
      </c>
      <c r="H70" s="226" t="s">
        <v>293</v>
      </c>
      <c r="I70" s="22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1"/>
      <c r="R70" s="251"/>
      <c r="S70" s="251"/>
    </row>
    <row r="71" spans="1:19" ht="17.25" thickBot="1">
      <c r="A71" s="161" t="s">
        <v>229</v>
      </c>
      <c r="B71" s="124">
        <v>102</v>
      </c>
      <c r="C71" s="76">
        <v>7.2555204999999998E-2</v>
      </c>
      <c r="D71" s="13">
        <v>97.2</v>
      </c>
      <c r="E71" s="14">
        <f>IF(ISNUMBER(D71), (D71 - $B71) / $B71, "")</f>
        <v>-4.7058823529411736E-2</v>
      </c>
      <c r="F71" s="16">
        <f>IF(ISNUMBER(D71), $B91 * E71, "")</f>
        <v>-4705.8823529411738</v>
      </c>
      <c r="G71" s="29">
        <v>96.3</v>
      </c>
      <c r="H71" s="14">
        <f>IF(ISNUMBER(G71), (G71 - $B71) / $B71, "")</f>
        <v>-5.5882352941176501E-2</v>
      </c>
      <c r="I71" s="100">
        <f>IF(ISNUMBER(G71), $B91 * H71, "")</f>
        <v>-5588.2352941176505</v>
      </c>
      <c r="J71" s="13">
        <v>95.9</v>
      </c>
      <c r="K71" s="14">
        <f>IF(ISNUMBER(J71), (J71 - $B71) / $B71, "")</f>
        <v>-5.9803921568627398E-2</v>
      </c>
      <c r="L71" s="16">
        <f>IF(ISNUMBER(J71), $B91 * K71, "")</f>
        <v>-5980.3921568627402</v>
      </c>
      <c r="M71" s="29">
        <v>96.2</v>
      </c>
      <c r="N71" s="14">
        <f>IF(ISNUMBER(M71), (M71 - $B71) / $B71, "")</f>
        <v>-5.6862745098039187E-2</v>
      </c>
      <c r="O71" s="16">
        <f>IF(ISNUMBER(M71), $B91 * N71, "")</f>
        <v>-5686.2745098039186</v>
      </c>
      <c r="Q71" s="261"/>
      <c r="R71" s="261"/>
      <c r="S71" s="261"/>
    </row>
    <row r="72" spans="1:19" ht="17.25" thickBot="1">
      <c r="A72" s="162" t="s">
        <v>88</v>
      </c>
      <c r="B72" s="126">
        <v>388</v>
      </c>
      <c r="C72" s="77">
        <v>1.8372703399999999E-2</v>
      </c>
      <c r="D72" s="15">
        <v>383</v>
      </c>
      <c r="E72" s="32">
        <f t="shared" ref="E72:E75" si="30">IF(ISNUMBER(D72), (D72 - $B72) / $B72, "")</f>
        <v>-1.2886597938144329E-2</v>
      </c>
      <c r="F72" s="18">
        <f>IF(ISNUMBER(D72), $B91 * E72, "")</f>
        <v>-1288.659793814433</v>
      </c>
      <c r="G72" s="31">
        <v>381</v>
      </c>
      <c r="H72" s="32">
        <f t="shared" ref="H72:H75" si="31">IF(ISNUMBER(G72), (G72 - $B72) / $B72, "")</f>
        <v>-1.804123711340206E-2</v>
      </c>
      <c r="I72" s="101">
        <f>IF(ISNUMBER(G72), $B91 * H72, "")</f>
        <v>-1804.123711340206</v>
      </c>
      <c r="J72" s="15">
        <v>388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395</v>
      </c>
      <c r="N72" s="32">
        <f t="shared" ref="N72:N75" si="33">IF(ISNUMBER(M72), (M72 - $B72) / $B72, "")</f>
        <v>1.804123711340206E-2</v>
      </c>
      <c r="O72" s="18">
        <f>IF(ISNUMBER(M72), $B91 * N72, "")</f>
        <v>1804.123711340206</v>
      </c>
      <c r="Q72" s="261"/>
      <c r="R72" s="261"/>
      <c r="S72" s="261"/>
    </row>
    <row r="73" spans="1:19" ht="17.25" thickBot="1">
      <c r="A73" s="162" t="s">
        <v>199</v>
      </c>
      <c r="B73" s="126">
        <v>171</v>
      </c>
      <c r="C73" s="77">
        <v>1.7857142900000001E-2</v>
      </c>
      <c r="D73" s="15">
        <v>165</v>
      </c>
      <c r="E73" s="32">
        <f t="shared" si="30"/>
        <v>-3.5087719298245612E-2</v>
      </c>
      <c r="F73" s="18">
        <f>IF(ISNUMBER(D73), $B91 * E73, "")</f>
        <v>-3508.7719298245611</v>
      </c>
      <c r="G73" s="31">
        <v>164</v>
      </c>
      <c r="H73" s="32">
        <f t="shared" si="31"/>
        <v>-4.0935672514619881E-2</v>
      </c>
      <c r="I73" s="101">
        <f>IF(ISNUMBER(G73), $B91 * H73, "")</f>
        <v>-4093.5672514619882</v>
      </c>
      <c r="J73" s="15">
        <v>163</v>
      </c>
      <c r="K73" s="32">
        <f t="shared" si="32"/>
        <v>-4.6783625730994149E-2</v>
      </c>
      <c r="L73" s="18">
        <f>IF(ISNUMBER(J73), $B91 * K73, "")</f>
        <v>-4678.3625730994154</v>
      </c>
      <c r="M73" s="31">
        <v>165</v>
      </c>
      <c r="N73" s="32">
        <f t="shared" si="33"/>
        <v>-3.5087719298245612E-2</v>
      </c>
      <c r="O73" s="18">
        <f>IF(ISNUMBER(M73), $B91 * N73, "")</f>
        <v>-3508.7719298245611</v>
      </c>
      <c r="Q73" s="251"/>
      <c r="R73" s="251"/>
      <c r="S73" s="251"/>
    </row>
    <row r="74" spans="1:19" ht="17.25" thickBot="1">
      <c r="A74" s="162" t="s">
        <v>120</v>
      </c>
      <c r="B74" s="126">
        <v>136</v>
      </c>
      <c r="C74" s="77">
        <v>7.4074073999999997E-3</v>
      </c>
      <c r="D74" s="15">
        <v>135</v>
      </c>
      <c r="E74" s="32">
        <f t="shared" si="30"/>
        <v>-7.3529411764705881E-3</v>
      </c>
      <c r="F74" s="18">
        <f>IF(ISNUMBER(D74), $B91 * E74, "")</f>
        <v>-735.29411764705878</v>
      </c>
      <c r="G74" s="31">
        <v>135</v>
      </c>
      <c r="H74" s="32">
        <f t="shared" si="31"/>
        <v>-7.3529411764705881E-3</v>
      </c>
      <c r="I74" s="101">
        <f>IF(ISNUMBER(G74), $B91 * H74, "")</f>
        <v>-735.29411764705878</v>
      </c>
      <c r="J74" s="15">
        <v>135</v>
      </c>
      <c r="K74" s="32">
        <f t="shared" si="32"/>
        <v>-7.3529411764705881E-3</v>
      </c>
      <c r="L74" s="18">
        <f>IF(ISNUMBER(J74), $B91 * K74, "")</f>
        <v>-735.29411764705878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51"/>
      <c r="R74" s="251"/>
      <c r="S74" s="251"/>
    </row>
    <row r="75" spans="1:19" ht="17.25" thickBot="1">
      <c r="A75" s="163" t="s">
        <v>61</v>
      </c>
      <c r="B75" s="128">
        <v>812</v>
      </c>
      <c r="C75" s="78">
        <v>-1.2165450100000001E-2</v>
      </c>
      <c r="D75" s="20">
        <v>837</v>
      </c>
      <c r="E75" s="21">
        <f t="shared" si="30"/>
        <v>3.0788177339901478E-2</v>
      </c>
      <c r="F75" s="22">
        <f>IF(ISNUMBER(D75), $B91 * E75, "")</f>
        <v>3078.8177339901476</v>
      </c>
      <c r="G75" s="30">
        <v>833</v>
      </c>
      <c r="H75" s="21">
        <f t="shared" si="31"/>
        <v>2.5862068965517241E-2</v>
      </c>
      <c r="I75" s="105">
        <f>IF(ISNUMBER(G75), $B91 * H75, "")</f>
        <v>2586.2068965517242</v>
      </c>
      <c r="J75" s="20">
        <v>827</v>
      </c>
      <c r="K75" s="21">
        <f t="shared" si="32"/>
        <v>1.8472906403940888E-2</v>
      </c>
      <c r="L75" s="22">
        <f>IF(ISNUMBER(J75), $B91 * K75, "")</f>
        <v>1847.2906403940888</v>
      </c>
      <c r="M75" s="30">
        <v>825</v>
      </c>
      <c r="N75" s="21">
        <f t="shared" si="33"/>
        <v>1.600985221674877E-2</v>
      </c>
      <c r="O75" s="22">
        <f>IF(ISNUMBER(M75), $B91 * N75, "")</f>
        <v>1600.985221674877</v>
      </c>
      <c r="Q75" s="251"/>
      <c r="R75" s="251"/>
      <c r="S75" s="251"/>
    </row>
    <row r="76" spans="1:19" ht="17.25" thickBot="1">
      <c r="A76" s="162" t="s">
        <v>136</v>
      </c>
      <c r="B76" s="129">
        <v>122</v>
      </c>
      <c r="C76" s="80">
        <v>-1.6129032299999999E-2</v>
      </c>
      <c r="D76" s="106">
        <v>123</v>
      </c>
      <c r="E76" s="107">
        <f>IF(ISNUMBER(D76), (D76 - $B76) / $B76, "")</f>
        <v>8.1967213114754103E-3</v>
      </c>
      <c r="F76" s="108">
        <f>IF(ISNUMBER(D76), $B91 * E76, "")</f>
        <v>819.67213114754099</v>
      </c>
      <c r="G76" s="109">
        <v>125</v>
      </c>
      <c r="H76" s="107">
        <f>IF(ISNUMBER(G76), (G76 - $B76) / $B76, "")</f>
        <v>2.4590163934426229E-2</v>
      </c>
      <c r="I76" s="110">
        <f>IF(ISNUMBER(G76), $B91 * H76, "")</f>
        <v>2459.0163934426228</v>
      </c>
      <c r="J76" s="106">
        <v>124</v>
      </c>
      <c r="K76" s="107">
        <f>IF(ISNUMBER(J76), (J76 - $B76) / $B76, "")</f>
        <v>1.6393442622950821E-2</v>
      </c>
      <c r="L76" s="108">
        <f>IF(ISNUMBER(J76), $B91 * K76, "")</f>
        <v>1639.344262295082</v>
      </c>
      <c r="M76" s="109">
        <v>126</v>
      </c>
      <c r="N76" s="107">
        <f>IF(ISNUMBER(M76), (M76 - $B76) / $B76, "")</f>
        <v>3.2786885245901641E-2</v>
      </c>
      <c r="O76" s="108">
        <f>IF(ISNUMBER(M76), $B91 * N76, "")</f>
        <v>3278.688524590164</v>
      </c>
      <c r="Q76" s="251"/>
      <c r="R76" s="251"/>
      <c r="S76" s="251"/>
    </row>
    <row r="77" spans="1:19" ht="17.25" thickBot="1">
      <c r="A77" s="162" t="s">
        <v>291</v>
      </c>
      <c r="B77" s="126">
        <v>359</v>
      </c>
      <c r="C77" s="77">
        <v>-2.7100270999999999E-2</v>
      </c>
      <c r="D77" s="15">
        <v>364</v>
      </c>
      <c r="E77" s="32">
        <f t="shared" ref="E77:E80" si="34">IF(ISNUMBER(D77), (D77 - $B77) / $B77, "")</f>
        <v>1.3927576601671309E-2</v>
      </c>
      <c r="F77" s="18">
        <f>IF(ISNUMBER(D77), $B91 * E77, "")</f>
        <v>1392.7576601671308</v>
      </c>
      <c r="G77" s="31">
        <v>363</v>
      </c>
      <c r="H77" s="32">
        <f t="shared" ref="H77:H80" si="35">IF(ISNUMBER(G77), (G77 - $B77) / $B77, "")</f>
        <v>1.1142061281337047E-2</v>
      </c>
      <c r="I77" s="101">
        <f>IF(ISNUMBER(G77), $B91 * H77, "")</f>
        <v>1114.2061281337049</v>
      </c>
      <c r="J77" s="15">
        <v>361</v>
      </c>
      <c r="K77" s="32">
        <f t="shared" ref="K77:K80" si="36">IF(ISNUMBER(J77), (J77 - $B77) / $B77, "")</f>
        <v>5.5710306406685237E-3</v>
      </c>
      <c r="L77" s="18">
        <f>IF(ISNUMBER(J77), $B91 * K77, "")</f>
        <v>557.10306406685243</v>
      </c>
      <c r="M77" s="31">
        <v>362</v>
      </c>
      <c r="N77" s="32">
        <f t="shared" ref="N77:N80" si="37">IF(ISNUMBER(M77), (M77 - $B77) / $B77, "")</f>
        <v>8.356545961002786E-3</v>
      </c>
      <c r="O77" s="18">
        <f>IF(ISNUMBER(M77), $B91 * N77, "")</f>
        <v>835.65459610027858</v>
      </c>
      <c r="Q77" s="251"/>
      <c r="R77" s="251"/>
      <c r="S77" s="251"/>
    </row>
    <row r="78" spans="1:19" ht="17.25" thickBot="1">
      <c r="A78" s="162" t="s">
        <v>132</v>
      </c>
      <c r="B78" s="126">
        <v>125</v>
      </c>
      <c r="C78" s="77">
        <v>-3.1007751900000002E-2</v>
      </c>
      <c r="D78" s="15">
        <v>128</v>
      </c>
      <c r="E78" s="32">
        <f t="shared" si="34"/>
        <v>2.4E-2</v>
      </c>
      <c r="F78" s="18">
        <f>IF(ISNUMBER(D78), $B91 * E78, "")</f>
        <v>2400</v>
      </c>
      <c r="G78" s="31">
        <v>128</v>
      </c>
      <c r="H78" s="32">
        <f t="shared" si="35"/>
        <v>2.4E-2</v>
      </c>
      <c r="I78" s="101">
        <f>IF(ISNUMBER(G78), $B91 * H78, "")</f>
        <v>2400</v>
      </c>
      <c r="J78" s="15">
        <v>128</v>
      </c>
      <c r="K78" s="32">
        <f t="shared" si="36"/>
        <v>2.4E-2</v>
      </c>
      <c r="L78" s="18">
        <f>IF(ISNUMBER(J78), $B91 * K78, "")</f>
        <v>2400</v>
      </c>
      <c r="M78" s="31">
        <v>127</v>
      </c>
      <c r="N78" s="32">
        <f t="shared" si="37"/>
        <v>1.6E-2</v>
      </c>
      <c r="O78" s="18">
        <f>IF(ISNUMBER(M78), $B91 * N78, "")</f>
        <v>1600</v>
      </c>
      <c r="Q78" s="251"/>
      <c r="R78" s="251"/>
      <c r="S78" s="251"/>
    </row>
    <row r="79" spans="1:19" ht="17.25" thickBot="1">
      <c r="A79" s="162" t="s">
        <v>51</v>
      </c>
      <c r="B79" s="126">
        <v>373</v>
      </c>
      <c r="C79" s="77">
        <v>-3.3678756499999997E-2</v>
      </c>
      <c r="D79" s="15">
        <v>379</v>
      </c>
      <c r="E79" s="32">
        <f t="shared" si="34"/>
        <v>1.6085790884718499E-2</v>
      </c>
      <c r="F79" s="18">
        <f>IF(ISNUMBER(D79), $B91 * E79, "")</f>
        <v>1608.5790884718499</v>
      </c>
      <c r="G79" s="31">
        <v>383</v>
      </c>
      <c r="H79" s="32">
        <f t="shared" si="35"/>
        <v>2.6809651474530832E-2</v>
      </c>
      <c r="I79" s="101">
        <f>IF(ISNUMBER(G79), $B91 * H79, "")</f>
        <v>2680.9651474530833</v>
      </c>
      <c r="J79" s="15">
        <v>381</v>
      </c>
      <c r="K79" s="32">
        <f t="shared" si="36"/>
        <v>2.1447721179624665E-2</v>
      </c>
      <c r="L79" s="18">
        <f>IF(ISNUMBER(J79), $B91 * K79, "")</f>
        <v>2144.7721179624664</v>
      </c>
      <c r="M79" s="31">
        <v>380</v>
      </c>
      <c r="N79" s="32">
        <f t="shared" si="37"/>
        <v>1.876675603217158E-2</v>
      </c>
      <c r="O79" s="18">
        <f>IF(ISNUMBER(M79), $B91 * N79, "")</f>
        <v>1876.6756032171581</v>
      </c>
      <c r="Q79" s="33"/>
      <c r="R79" s="33"/>
    </row>
    <row r="80" spans="1:19" ht="17.25" thickBot="1">
      <c r="A80" s="130" t="s">
        <v>80</v>
      </c>
      <c r="B80" s="131">
        <v>769</v>
      </c>
      <c r="C80" s="79">
        <v>-3.3919598000000002E-2</v>
      </c>
      <c r="D80" s="24">
        <v>786</v>
      </c>
      <c r="E80" s="25">
        <f t="shared" si="34"/>
        <v>2.2106631989596878E-2</v>
      </c>
      <c r="F80" s="104">
        <f>IF(ISNUMBER(D80), $B91 * E80, "")</f>
        <v>2210.6631989596876</v>
      </c>
      <c r="G80" s="102">
        <v>794</v>
      </c>
      <c r="H80" s="25">
        <f t="shared" si="35"/>
        <v>3.2509752925877766E-2</v>
      </c>
      <c r="I80" s="103">
        <f>IF(ISNUMBER(G80), $B91 * H80, "")</f>
        <v>3250.9752925877765</v>
      </c>
      <c r="J80" s="24">
        <v>795</v>
      </c>
      <c r="K80" s="25">
        <f t="shared" si="36"/>
        <v>3.3810143042912875E-2</v>
      </c>
      <c r="L80" s="104">
        <f>IF(ISNUMBER(J80), $B91 * K80, "")</f>
        <v>3381.0143042912878</v>
      </c>
      <c r="M80" s="102">
        <v>784</v>
      </c>
      <c r="N80" s="25">
        <f t="shared" si="37"/>
        <v>1.950585175552666E-2</v>
      </c>
      <c r="O80" s="104">
        <f>IF(ISNUMBER(M80), $B91 * N80, "")</f>
        <v>1950.585175552666</v>
      </c>
      <c r="Q80" s="252"/>
      <c r="R80" s="253"/>
      <c r="S80" s="254"/>
    </row>
    <row r="81" spans="1:19">
      <c r="A81" s="161" t="s">
        <v>169</v>
      </c>
      <c r="B81" s="124">
        <v>244</v>
      </c>
      <c r="C81" s="76">
        <v>-3.5573122499999998E-2</v>
      </c>
      <c r="D81" s="13">
        <v>243</v>
      </c>
      <c r="E81" s="14">
        <f>IF(ISNUMBER(D81), (D81 - $B81) / $B81, "")</f>
        <v>-4.0983606557377051E-3</v>
      </c>
      <c r="F81" s="16">
        <f>IF(ISNUMBER(D81), $B91 * E81, "")</f>
        <v>-409.8360655737705</v>
      </c>
      <c r="G81" s="29">
        <v>242</v>
      </c>
      <c r="H81" s="14">
        <f>IF(ISNUMBER(G81), (G81 - $B81) / $B81, "")</f>
        <v>-8.1967213114754103E-3</v>
      </c>
      <c r="I81" s="100">
        <f>IF(ISNUMBER(G81), $B91 * H81, "")</f>
        <v>-819.67213114754099</v>
      </c>
      <c r="J81" s="13">
        <v>243</v>
      </c>
      <c r="K81" s="14">
        <f>IF(ISNUMBER(J81), (J81 - $B81) / $B81, "")</f>
        <v>-4.0983606557377051E-3</v>
      </c>
      <c r="L81" s="16">
        <f>IF(ISNUMBER(J81), $B91 * K81, "")</f>
        <v>-409.8360655737705</v>
      </c>
      <c r="M81" s="29">
        <v>244</v>
      </c>
      <c r="N81" s="14">
        <f>IF(ISNUMBER(M81), (M81 - $B81) / $B81, "")</f>
        <v>0</v>
      </c>
      <c r="O81" s="16">
        <f>IF(ISNUMBER(M81), $B91 * N81, "")</f>
        <v>0</v>
      </c>
      <c r="Q81" s="255"/>
      <c r="R81" s="256"/>
      <c r="S81" s="257"/>
    </row>
    <row r="82" spans="1:19" ht="17.25" thickBot="1">
      <c r="A82" s="162" t="s">
        <v>92</v>
      </c>
      <c r="B82" s="126">
        <v>968</v>
      </c>
      <c r="C82" s="77">
        <v>-3.68159204E-2</v>
      </c>
      <c r="D82" s="15">
        <v>997</v>
      </c>
      <c r="E82" s="32">
        <f t="shared" ref="E82:E85" si="38">IF(ISNUMBER(D82), (D82 - $B82) / $B82, "")</f>
        <v>2.9958677685950414E-2</v>
      </c>
      <c r="F82" s="18">
        <f>IF(ISNUMBER(D82), $B91 * E82, "")</f>
        <v>2995.8677685950415</v>
      </c>
      <c r="G82" s="31">
        <v>998</v>
      </c>
      <c r="H82" s="32">
        <f t="shared" ref="H82:H85" si="39">IF(ISNUMBER(G82), (G82 - $B82) / $B82, "")</f>
        <v>3.0991735537190084E-2</v>
      </c>
      <c r="I82" s="101">
        <f>IF(ISNUMBER(G82), $B91 * H82, "")</f>
        <v>3099.1735537190084</v>
      </c>
      <c r="J82" s="15">
        <v>994</v>
      </c>
      <c r="K82" s="32">
        <f t="shared" ref="K82:K85" si="40">IF(ISNUMBER(J82), (J82 - $B82) / $B82, "")</f>
        <v>2.6859504132231406E-2</v>
      </c>
      <c r="L82" s="18">
        <f>IF(ISNUMBER(J82), $B91 * K82, "")</f>
        <v>2685.9504132231405</v>
      </c>
      <c r="M82" s="31">
        <v>995</v>
      </c>
      <c r="N82" s="32">
        <f t="shared" ref="N82:N85" si="41">IF(ISNUMBER(M82), (M82 - $B82) / $B82, "")</f>
        <v>2.7892561983471075E-2</v>
      </c>
      <c r="O82" s="18">
        <f>IF(ISNUMBER(M82), $B91 * N82, "")</f>
        <v>2789.2561983471073</v>
      </c>
      <c r="Q82" s="258"/>
      <c r="R82" s="259"/>
      <c r="S82" s="260"/>
    </row>
    <row r="83" spans="1:19" ht="17.25" thickBot="1">
      <c r="A83" s="162" t="s">
        <v>251</v>
      </c>
      <c r="B83" s="126">
        <v>144</v>
      </c>
      <c r="C83" s="77">
        <v>-0.04</v>
      </c>
      <c r="D83" s="15">
        <v>142</v>
      </c>
      <c r="E83" s="32">
        <f t="shared" si="38"/>
        <v>-1.3888888888888888E-2</v>
      </c>
      <c r="F83" s="18">
        <f>IF(ISNUMBER(D83), $B91 * E83, "")</f>
        <v>-1388.8888888888889</v>
      </c>
      <c r="G83" s="31">
        <v>142</v>
      </c>
      <c r="H83" s="32">
        <f t="shared" si="39"/>
        <v>-1.3888888888888888E-2</v>
      </c>
      <c r="I83" s="101">
        <f>IF(ISNUMBER(G83), $B91 * H83, "")</f>
        <v>-1388.8888888888889</v>
      </c>
      <c r="J83" s="15">
        <v>144</v>
      </c>
      <c r="K83" s="32">
        <f t="shared" si="40"/>
        <v>0</v>
      </c>
      <c r="L83" s="18">
        <f>IF(ISNUMBER(J83), $B91 * K83, "")</f>
        <v>0</v>
      </c>
      <c r="M83" s="31">
        <v>144</v>
      </c>
      <c r="N83" s="32">
        <f t="shared" si="41"/>
        <v>0</v>
      </c>
      <c r="O83" s="18">
        <f>IF(ISNUMBER(M83), $B91 * N83, "")</f>
        <v>0</v>
      </c>
      <c r="Q83" s="251"/>
      <c r="R83" s="251"/>
      <c r="S83" s="251"/>
    </row>
    <row r="84" spans="1:19" ht="17.25" thickBot="1">
      <c r="A84" s="162" t="s">
        <v>265</v>
      </c>
      <c r="B84" s="126">
        <v>329</v>
      </c>
      <c r="C84" s="77">
        <v>-4.08163265E-2</v>
      </c>
      <c r="D84" s="15">
        <v>341</v>
      </c>
      <c r="E84" s="32">
        <f t="shared" si="38"/>
        <v>3.64741641337386E-2</v>
      </c>
      <c r="F84" s="18">
        <f>IF(ISNUMBER(D84), $B91 * E84, "")</f>
        <v>3647.41641337386</v>
      </c>
      <c r="G84" s="31">
        <v>345</v>
      </c>
      <c r="H84" s="32">
        <f t="shared" si="39"/>
        <v>4.8632218844984802E-2</v>
      </c>
      <c r="I84" s="101">
        <f>IF(ISNUMBER(G84), $B91 * H84, "")</f>
        <v>4863.22188449848</v>
      </c>
      <c r="J84" s="15">
        <v>340</v>
      </c>
      <c r="K84" s="32">
        <f t="shared" si="40"/>
        <v>3.3434650455927049E-2</v>
      </c>
      <c r="L84" s="18">
        <f>IF(ISNUMBER(J84), $B91 * K84, "")</f>
        <v>3343.4650455927049</v>
      </c>
      <c r="M84" s="31">
        <v>329</v>
      </c>
      <c r="N84" s="32">
        <f t="shared" si="41"/>
        <v>0</v>
      </c>
      <c r="O84" s="18">
        <f>IF(ISNUMBER(M84), $B91 * N84, "")</f>
        <v>0</v>
      </c>
      <c r="Q84" s="261"/>
      <c r="R84" s="261"/>
      <c r="S84" s="261"/>
    </row>
    <row r="85" spans="1:19" ht="17.25" thickBot="1">
      <c r="A85" s="163" t="s">
        <v>116</v>
      </c>
      <c r="B85" s="128">
        <v>317</v>
      </c>
      <c r="C85" s="78">
        <v>-4.2296072499999997E-2</v>
      </c>
      <c r="D85" s="20">
        <v>326</v>
      </c>
      <c r="E85" s="21">
        <f t="shared" si="38"/>
        <v>2.8391167192429023E-2</v>
      </c>
      <c r="F85" s="22">
        <f>IF(ISNUMBER(D85), $B91 * E85, "")</f>
        <v>2839.116719242902</v>
      </c>
      <c r="G85" s="30">
        <v>324</v>
      </c>
      <c r="H85" s="21">
        <f t="shared" si="39"/>
        <v>2.2082018927444796E-2</v>
      </c>
      <c r="I85" s="105">
        <f>IF(ISNUMBER(G85), $B91 * H85, "")</f>
        <v>2208.2018927444797</v>
      </c>
      <c r="J85" s="20">
        <v>322</v>
      </c>
      <c r="K85" s="21">
        <f t="shared" si="40"/>
        <v>1.5772870662460567E-2</v>
      </c>
      <c r="L85" s="22">
        <f>IF(ISNUMBER(J85), $B91 * K85, "")</f>
        <v>1577.2870662460566</v>
      </c>
      <c r="M85" s="30">
        <v>324</v>
      </c>
      <c r="N85" s="21">
        <f t="shared" si="41"/>
        <v>2.2082018927444796E-2</v>
      </c>
      <c r="O85" s="22">
        <f>IF(ISNUMBER(M85), $B91 * N85, "")</f>
        <v>2208.2018927444797</v>
      </c>
      <c r="Q85" s="261"/>
      <c r="R85" s="261"/>
      <c r="S85" s="261"/>
    </row>
    <row r="86" spans="1:19" ht="17.25" thickBot="1">
      <c r="A86" s="162" t="s">
        <v>253</v>
      </c>
      <c r="B86" s="129">
        <v>402</v>
      </c>
      <c r="C86" s="80">
        <v>-4.2857142899999999E-2</v>
      </c>
      <c r="D86" s="106">
        <v>400</v>
      </c>
      <c r="E86" s="107">
        <f>IF(ISNUMBER(D86), (D86 - $B86) / $B86, "")</f>
        <v>-4.9751243781094526E-3</v>
      </c>
      <c r="F86" s="108">
        <f>IF(ISNUMBER(D86), $B91 * E86, "")</f>
        <v>-497.51243781094524</v>
      </c>
      <c r="G86" s="109">
        <v>400</v>
      </c>
      <c r="H86" s="107">
        <f>IF(ISNUMBER(G86), (G86 - $B86) / $B86, "")</f>
        <v>-4.9751243781094526E-3</v>
      </c>
      <c r="I86" s="110">
        <f>IF(ISNUMBER(G86), $B91 * H86, "")</f>
        <v>-497.51243781094524</v>
      </c>
      <c r="J86" s="106">
        <v>401</v>
      </c>
      <c r="K86" s="107">
        <f>IF(ISNUMBER(J86), (J86 - $B86) / $B86, "")</f>
        <v>-2.4875621890547263E-3</v>
      </c>
      <c r="L86" s="108">
        <f>IF(ISNUMBER(J86), $B91 * K86, "")</f>
        <v>-248.75621890547262</v>
      </c>
      <c r="M86" s="109">
        <v>398</v>
      </c>
      <c r="N86" s="107">
        <f>IF(ISNUMBER(M86), (M86 - $B86) / $B86, "")</f>
        <v>-9.9502487562189053E-3</v>
      </c>
      <c r="O86" s="108">
        <f>IF(ISNUMBER(M86), $B91 * N86, "")</f>
        <v>-995.02487562189049</v>
      </c>
      <c r="Q86" s="251"/>
      <c r="R86" s="251"/>
      <c r="S86" s="251"/>
    </row>
    <row r="87" spans="1:19" ht="17.25" thickBot="1">
      <c r="A87" s="162" t="s">
        <v>57</v>
      </c>
      <c r="B87" s="126">
        <v>194</v>
      </c>
      <c r="C87" s="77">
        <v>-4.4334975399999997E-2</v>
      </c>
      <c r="D87" s="15">
        <v>195</v>
      </c>
      <c r="E87" s="32">
        <f t="shared" ref="E87:E90" si="42">IF(ISNUMBER(D87), (D87 - $B87) / $B87, "")</f>
        <v>5.1546391752577319E-3</v>
      </c>
      <c r="F87" s="18">
        <f>IF(ISNUMBER(D87), $B91 * E87, "")</f>
        <v>515.46391752577324</v>
      </c>
      <c r="G87" s="31">
        <v>197</v>
      </c>
      <c r="H87" s="32">
        <f t="shared" ref="H87:H90" si="43">IF(ISNUMBER(G87), (G87 - $B87) / $B87, "")</f>
        <v>1.5463917525773196E-2</v>
      </c>
      <c r="I87" s="101">
        <f>IF(ISNUMBER(G87), $B91 * H87, "")</f>
        <v>1546.3917525773197</v>
      </c>
      <c r="J87" s="15">
        <v>195</v>
      </c>
      <c r="K87" s="32">
        <f t="shared" ref="K87:K90" si="44">IF(ISNUMBER(J87), (J87 - $B87) / $B87, "")</f>
        <v>5.1546391752577319E-3</v>
      </c>
      <c r="L87" s="18">
        <f>IF(ISNUMBER(J87), $B91 * K87, "")</f>
        <v>515.46391752577324</v>
      </c>
      <c r="M87" s="31">
        <v>194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51"/>
      <c r="R87" s="251"/>
      <c r="S87" s="251"/>
    </row>
    <row r="88" spans="1:19" ht="17.25" thickBot="1">
      <c r="A88" s="162" t="s">
        <v>242</v>
      </c>
      <c r="B88" s="126">
        <v>250</v>
      </c>
      <c r="C88" s="77">
        <v>-4.9429657799999999E-2</v>
      </c>
      <c r="D88" s="15">
        <v>249</v>
      </c>
      <c r="E88" s="32">
        <f t="shared" si="42"/>
        <v>-4.0000000000000001E-3</v>
      </c>
      <c r="F88" s="18">
        <f>IF(ISNUMBER(D88), $B91 * E88, "")</f>
        <v>-400</v>
      </c>
      <c r="G88" s="31">
        <v>249</v>
      </c>
      <c r="H88" s="32">
        <f t="shared" si="43"/>
        <v>-4.0000000000000001E-3</v>
      </c>
      <c r="I88" s="101">
        <f>IF(ISNUMBER(G88), $B91 * H88, "")</f>
        <v>-400</v>
      </c>
      <c r="J88" s="15">
        <v>247</v>
      </c>
      <c r="K88" s="32">
        <f t="shared" si="44"/>
        <v>-1.2E-2</v>
      </c>
      <c r="L88" s="18">
        <f>IF(ISNUMBER(J88), $B91 * K88, "")</f>
        <v>-1200</v>
      </c>
      <c r="M88" s="31">
        <v>250</v>
      </c>
      <c r="N88" s="32">
        <f t="shared" si="45"/>
        <v>0</v>
      </c>
      <c r="O88" s="18">
        <f>IF(ISNUMBER(M88), $B91 * N88, "")</f>
        <v>0</v>
      </c>
      <c r="Q88" s="251"/>
      <c r="R88" s="251"/>
      <c r="S88" s="251"/>
    </row>
    <row r="89" spans="1:19">
      <c r="A89" s="162" t="s">
        <v>257</v>
      </c>
      <c r="B89" s="126">
        <v>477</v>
      </c>
      <c r="C89" s="77">
        <v>-4.9800796799999998E-2</v>
      </c>
      <c r="D89" s="15">
        <v>482</v>
      </c>
      <c r="E89" s="32">
        <f t="shared" si="42"/>
        <v>1.0482180293501049E-2</v>
      </c>
      <c r="F89" s="18">
        <f>IF(ISNUMBER(D89), $B91 * E89, "")</f>
        <v>1048.2180293501049</v>
      </c>
      <c r="G89" s="31">
        <v>482</v>
      </c>
      <c r="H89" s="32">
        <f t="shared" si="43"/>
        <v>1.0482180293501049E-2</v>
      </c>
      <c r="I89" s="101">
        <f>IF(ISNUMBER(G89), $B91 * H89, "")</f>
        <v>1048.2180293501049</v>
      </c>
      <c r="J89" s="15">
        <v>479</v>
      </c>
      <c r="K89" s="32">
        <f t="shared" si="44"/>
        <v>4.1928721174004195E-3</v>
      </c>
      <c r="L89" s="18">
        <f>IF(ISNUMBER(J89), $B91 * K89, "")</f>
        <v>419.28721174004193</v>
      </c>
      <c r="M89" s="31">
        <v>474</v>
      </c>
      <c r="N89" s="32">
        <f t="shared" si="45"/>
        <v>-6.2893081761006293E-3</v>
      </c>
      <c r="O89" s="18">
        <f>IF(ISNUMBER(M89), $B91 * N89, "")</f>
        <v>-628.93081761006295</v>
      </c>
      <c r="Q89" s="240"/>
      <c r="R89" s="241"/>
      <c r="S89" s="242"/>
    </row>
    <row r="90" spans="1:19" ht="17.25" thickBot="1">
      <c r="A90" s="130" t="s">
        <v>181</v>
      </c>
      <c r="B90" s="131">
        <v>228</v>
      </c>
      <c r="C90" s="79">
        <v>-0.05</v>
      </c>
      <c r="D90" s="24">
        <v>229</v>
      </c>
      <c r="E90" s="25">
        <f t="shared" si="42"/>
        <v>4.3859649122807015E-3</v>
      </c>
      <c r="F90" s="104">
        <f>IF(ISNUMBER(D90), $B91 * E90, "")</f>
        <v>438.59649122807014</v>
      </c>
      <c r="G90" s="102">
        <v>229</v>
      </c>
      <c r="H90" s="25">
        <f t="shared" si="43"/>
        <v>4.3859649122807015E-3</v>
      </c>
      <c r="I90" s="103">
        <f>IF(ISNUMBER(G90), $B91 * H90, "")</f>
        <v>438.59649122807014</v>
      </c>
      <c r="J90" s="24">
        <v>230</v>
      </c>
      <c r="K90" s="25">
        <f t="shared" si="44"/>
        <v>8.771929824561403E-3</v>
      </c>
      <c r="L90" s="104">
        <f>IF(ISNUMBER(J90), $B91 * K90, "")</f>
        <v>877.19298245614027</v>
      </c>
      <c r="M90" s="102">
        <v>227</v>
      </c>
      <c r="N90" s="25">
        <f t="shared" si="45"/>
        <v>-4.3859649122807015E-3</v>
      </c>
      <c r="O90" s="104">
        <f>IF(ISNUMBER(M90), $B91 * N90, "")</f>
        <v>-438.59649122807014</v>
      </c>
      <c r="Q90" s="243"/>
      <c r="R90" s="244"/>
      <c r="S90" s="245"/>
    </row>
    <row r="91" spans="1:19" ht="17.25" thickBot="1">
      <c r="A91" s="132" t="s">
        <v>295</v>
      </c>
      <c r="B91" s="304">
        <f>$B$37</f>
        <v>100000</v>
      </c>
      <c r="C91" s="305"/>
      <c r="D91" s="26" t="s">
        <v>296</v>
      </c>
      <c r="E91" s="27">
        <f>IF(COUNT(E71:E90), SUM(E71:E90) / COUNT(E71:E90), 0)</f>
        <v>5.0301617827756386E-3</v>
      </c>
      <c r="F91" s="28">
        <f>SUM(F71:F90)</f>
        <v>10060.323565551274</v>
      </c>
      <c r="G91" s="26" t="s">
        <v>296</v>
      </c>
      <c r="H91" s="27">
        <f>IF(COUNT(H71:H90), SUM(H71:H90) / COUNT(H71:H90), 0)</f>
        <v>6.1839398149360469E-3</v>
      </c>
      <c r="I91" s="28">
        <f>SUM(I71:I90)</f>
        <v>12367.879629872097</v>
      </c>
      <c r="J91" s="26" t="s">
        <v>296</v>
      </c>
      <c r="K91" s="27">
        <f>IF(COUNT(K71:K90), SUM(K71:K90) / COUNT(K71:K90), 0)</f>
        <v>4.0677649468525891E-3</v>
      </c>
      <c r="L91" s="28">
        <f>SUM(L71:L90)</f>
        <v>8135.5298937051775</v>
      </c>
      <c r="M91" s="26" t="s">
        <v>296</v>
      </c>
      <c r="N91" s="27">
        <f>IF(COUNT(N71:N90), SUM(N71:N90) / COUNT(N71:N90), 0)</f>
        <v>2.9756390909156877E-3</v>
      </c>
      <c r="O91" s="28">
        <f>SUM(O71:O90)</f>
        <v>5951.2781818313742</v>
      </c>
      <c r="Q91" s="246"/>
      <c r="R91" s="247"/>
      <c r="S91" s="248"/>
    </row>
    <row r="93" spans="1:19" ht="17.25" thickBot="1"/>
    <row r="94" spans="1:19" ht="17.25" thickBot="1">
      <c r="A94" s="262" t="s">
        <v>46</v>
      </c>
      <c r="B94" s="263"/>
      <c r="C94" s="263"/>
      <c r="D94" s="263"/>
      <c r="E94" s="263"/>
      <c r="F94" s="263"/>
      <c r="G94" s="263"/>
      <c r="H94" s="263"/>
      <c r="I94" s="263"/>
      <c r="J94" s="263"/>
      <c r="K94" s="263"/>
      <c r="L94" s="263"/>
      <c r="M94" s="263"/>
      <c r="N94" s="263"/>
      <c r="O94" s="264"/>
      <c r="Q94" s="261"/>
      <c r="R94" s="261"/>
      <c r="S94" s="261"/>
    </row>
    <row r="95" spans="1:19" ht="17.25" thickBot="1">
      <c r="A95" s="224" t="s">
        <v>292</v>
      </c>
      <c r="B95" s="262" t="s">
        <v>49</v>
      </c>
      <c r="C95" s="264"/>
      <c r="D95" s="262" t="s">
        <v>58</v>
      </c>
      <c r="E95" s="263"/>
      <c r="F95" s="264"/>
      <c r="G95" s="265">
        <f>_xlfn.IFNA(VLOOKUP(B95, 현재가테이블!$B$2:$D$200, 2, FALSE), "-")</f>
        <v>40538000</v>
      </c>
      <c r="H95" s="266"/>
      <c r="I95" s="267"/>
      <c r="J95" s="262" t="s">
        <v>59</v>
      </c>
      <c r="K95" s="263"/>
      <c r="L95" s="264"/>
      <c r="M95" s="268">
        <f>_xlfn.IFNA(VLOOKUP(B95, 현재가테이블!$B$2:$D$200, 3, FALSE), "-")</f>
        <v>-3.68275993E-2</v>
      </c>
      <c r="N95" s="269"/>
      <c r="O95" s="270"/>
      <c r="Q95" s="261"/>
      <c r="R95" s="261"/>
      <c r="S95" s="261"/>
    </row>
    <row r="96" spans="1:19" ht="17.25" thickBot="1">
      <c r="A96" s="306" t="s">
        <v>55</v>
      </c>
      <c r="B96" s="302" t="str">
        <f>TEXT($G$1, "[$-ko-KR]yyyy-mm-dd(ddd) ") &amp; "오전 00:00"</f>
        <v>2021-06-17(목) 오전 00:00</v>
      </c>
      <c r="C96" s="303"/>
      <c r="D96" s="275" t="str">
        <f>TEXT($G$1, "[$-ko-KR]yyyy-mm-dd(ddd) ") &amp; "오후 14:00"</f>
        <v>2021-06-17(목) 오후 14:00</v>
      </c>
      <c r="E96" s="276"/>
      <c r="F96" s="277"/>
      <c r="G96" s="275" t="str">
        <f>TEXT($G$1, "[$-ko-KR]yyyy-mm-dd(ddd) ") &amp; "오후 19:00"</f>
        <v>2021-06-17(목) 오후 19:00</v>
      </c>
      <c r="H96" s="276"/>
      <c r="I96" s="277"/>
      <c r="J96" s="275" t="str">
        <f>TEXT($G$1, "[$-ko-KR]yyyy-mm-dd(ddd) ") &amp; "오후 21:00"</f>
        <v>2021-06-17(목) 오후 21:00</v>
      </c>
      <c r="K96" s="276"/>
      <c r="L96" s="277"/>
      <c r="M96" s="275" t="str">
        <f>TEXT($G$1+1, "[$-ko-KR]yyyy-mm-dd(ddd) ") &amp; "오전 00:00"</f>
        <v>2021-06-18(금) 오전 00:00</v>
      </c>
      <c r="N96" s="276"/>
      <c r="O96" s="277"/>
      <c r="Q96" s="261"/>
      <c r="R96" s="261"/>
      <c r="S96" s="261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5" t="s">
        <v>58</v>
      </c>
      <c r="H97" s="226" t="s">
        <v>293</v>
      </c>
      <c r="I97" s="22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1"/>
      <c r="R97" s="251"/>
      <c r="S97" s="251"/>
    </row>
    <row r="98" spans="1:19" ht="17.25" thickBot="1">
      <c r="A98" s="161" t="s">
        <v>229</v>
      </c>
      <c r="B98" s="124">
        <v>102</v>
      </c>
      <c r="C98" s="76">
        <v>7.2555204999999998E-2</v>
      </c>
      <c r="D98" s="13">
        <v>97.2</v>
      </c>
      <c r="E98" s="14">
        <f>IF(ISNUMBER(D98), (D98 - $B98) / $B98, "")</f>
        <v>-4.7058823529411736E-2</v>
      </c>
      <c r="F98" s="16">
        <f>IF(ISNUMBER(D98), $B118 * E98, "")</f>
        <v>-4705.8823529411738</v>
      </c>
      <c r="G98" s="29">
        <v>96.3</v>
      </c>
      <c r="H98" s="14">
        <f>IF(ISNUMBER(G98), (G98 - $B98) / $B98, "")</f>
        <v>-5.5882352941176501E-2</v>
      </c>
      <c r="I98" s="100">
        <f>IF(ISNUMBER(G98), $B118 * H98, "")</f>
        <v>-5588.2352941176505</v>
      </c>
      <c r="J98" s="13">
        <v>95.9</v>
      </c>
      <c r="K98" s="14">
        <f>IF(ISNUMBER(J98), (J98 - $B98) / $B98, "")</f>
        <v>-5.9803921568627398E-2</v>
      </c>
      <c r="L98" s="16">
        <f>IF(ISNUMBER(J98), $B118 * K98, "")</f>
        <v>-5980.3921568627402</v>
      </c>
      <c r="M98" s="29">
        <v>96.2</v>
      </c>
      <c r="N98" s="14">
        <f>IF(ISNUMBER(M98), (M98 - $B98) / $B98, "")</f>
        <v>-5.6862745098039187E-2</v>
      </c>
      <c r="O98" s="16">
        <f>IF(ISNUMBER(M98), $B118 * N98, "")</f>
        <v>-5686.2745098039186</v>
      </c>
      <c r="Q98" s="261"/>
      <c r="R98" s="261"/>
      <c r="S98" s="261"/>
    </row>
    <row r="99" spans="1:19" ht="17.25" thickBot="1">
      <c r="A99" s="162" t="s">
        <v>118</v>
      </c>
      <c r="B99" s="126">
        <v>5000</v>
      </c>
      <c r="C99" s="77">
        <v>6.7235859100000003E-2</v>
      </c>
      <c r="D99" s="15">
        <v>4865</v>
      </c>
      <c r="E99" s="32">
        <f t="shared" ref="E99:E102" si="46">IF(ISNUMBER(D99), (D99 - $B99) / $B99, "")</f>
        <v>-2.7E-2</v>
      </c>
      <c r="F99" s="18">
        <f>IF(ISNUMBER(D99), $B118 * E99, "")</f>
        <v>-2700</v>
      </c>
      <c r="G99" s="31">
        <v>4865</v>
      </c>
      <c r="H99" s="32">
        <f t="shared" ref="H99:H102" si="47">IF(ISNUMBER(G99), (G99 - $B99) / $B99, "")</f>
        <v>-2.7E-2</v>
      </c>
      <c r="I99" s="101">
        <f>IF(ISNUMBER(G99), $B118 * H99, "")</f>
        <v>-2700</v>
      </c>
      <c r="J99" s="15">
        <v>4845</v>
      </c>
      <c r="K99" s="32">
        <f t="shared" ref="K99:K102" si="48">IF(ISNUMBER(J99), (J99 - $B99) / $B99, "")</f>
        <v>-3.1E-2</v>
      </c>
      <c r="L99" s="18">
        <f>IF(ISNUMBER(J99), $B118 * K99, "")</f>
        <v>-3100</v>
      </c>
      <c r="M99" s="31">
        <v>4810</v>
      </c>
      <c r="N99" s="32">
        <f t="shared" ref="N99:N102" si="49">IF(ISNUMBER(M99), (M99 - $B99) / $B99, "")</f>
        <v>-3.7999999999999999E-2</v>
      </c>
      <c r="O99" s="18">
        <f>IF(ISNUMBER(M99), $B118 * N99, "")</f>
        <v>-3800</v>
      </c>
      <c r="Q99" s="261"/>
      <c r="R99" s="261"/>
      <c r="S99" s="261"/>
    </row>
    <row r="100" spans="1:19" ht="17.25" thickBot="1">
      <c r="A100" s="162" t="s">
        <v>163</v>
      </c>
      <c r="B100" s="126">
        <v>19910</v>
      </c>
      <c r="C100" s="77">
        <v>3.8601982299999997E-2</v>
      </c>
      <c r="D100" s="15">
        <v>20740</v>
      </c>
      <c r="E100" s="32">
        <f t="shared" si="46"/>
        <v>4.1687594173782018E-2</v>
      </c>
      <c r="F100" s="18">
        <f>IF(ISNUMBER(D100), $B118 * E100, "")</f>
        <v>4168.7594173782018</v>
      </c>
      <c r="G100" s="31">
        <v>21080</v>
      </c>
      <c r="H100" s="32">
        <f t="shared" si="47"/>
        <v>5.8764439979909593E-2</v>
      </c>
      <c r="I100" s="101">
        <f>IF(ISNUMBER(G100), $B118 * H100, "")</f>
        <v>5876.4439979909594</v>
      </c>
      <c r="J100" s="15">
        <v>21380</v>
      </c>
      <c r="K100" s="32">
        <f t="shared" si="48"/>
        <v>7.3832245102963337E-2</v>
      </c>
      <c r="L100" s="18">
        <f>IF(ISNUMBER(J100), $B118 * K100, "")</f>
        <v>7383.2245102963334</v>
      </c>
      <c r="M100" s="31">
        <v>21950</v>
      </c>
      <c r="N100" s="32">
        <f t="shared" si="49"/>
        <v>0.10246107483676545</v>
      </c>
      <c r="O100" s="18">
        <f>IF(ISNUMBER(M100), $B118 * N100, "")</f>
        <v>10246.107483676546</v>
      </c>
      <c r="Q100" s="251"/>
      <c r="R100" s="251"/>
      <c r="S100" s="251"/>
    </row>
    <row r="101" spans="1:19" ht="17.25" thickBot="1">
      <c r="A101" s="162" t="s">
        <v>150</v>
      </c>
      <c r="B101" s="126">
        <v>2625</v>
      </c>
      <c r="C101" s="77">
        <v>3.7549407100000001E-2</v>
      </c>
      <c r="D101" s="15">
        <v>2690</v>
      </c>
      <c r="E101" s="32">
        <f t="shared" si="46"/>
        <v>2.4761904761904763E-2</v>
      </c>
      <c r="F101" s="18">
        <f>IF(ISNUMBER(D101), $B118 * E101, "")</f>
        <v>2476.1904761904761</v>
      </c>
      <c r="G101" s="31">
        <v>2660</v>
      </c>
      <c r="H101" s="32">
        <f t="shared" si="47"/>
        <v>1.3333333333333334E-2</v>
      </c>
      <c r="I101" s="101">
        <f>IF(ISNUMBER(G101), $B118 * H101, "")</f>
        <v>1333.3333333333335</v>
      </c>
      <c r="J101" s="15">
        <v>2670</v>
      </c>
      <c r="K101" s="32">
        <f t="shared" si="48"/>
        <v>1.7142857142857144E-2</v>
      </c>
      <c r="L101" s="18">
        <f>IF(ISNUMBER(J101), $B118 * K101, "")</f>
        <v>1714.2857142857144</v>
      </c>
      <c r="M101" s="31">
        <v>2660</v>
      </c>
      <c r="N101" s="32">
        <f t="shared" si="49"/>
        <v>1.3333333333333334E-2</v>
      </c>
      <c r="O101" s="18">
        <f>IF(ISNUMBER(M101), $B118 * N101, "")</f>
        <v>1333.3333333333335</v>
      </c>
      <c r="Q101" s="251"/>
      <c r="R101" s="251"/>
      <c r="S101" s="251"/>
    </row>
    <row r="102" spans="1:19" ht="17.25" thickBot="1">
      <c r="A102" s="163" t="s">
        <v>175</v>
      </c>
      <c r="B102" s="128">
        <v>1050</v>
      </c>
      <c r="C102" s="78">
        <v>2.4390243900000001E-2</v>
      </c>
      <c r="D102" s="20">
        <v>1050</v>
      </c>
      <c r="E102" s="21">
        <f t="shared" si="46"/>
        <v>0</v>
      </c>
      <c r="F102" s="22">
        <f>IF(ISNUMBER(D102), $B118 * E102, "")</f>
        <v>0</v>
      </c>
      <c r="G102" s="30">
        <v>1070</v>
      </c>
      <c r="H102" s="21">
        <f t="shared" si="47"/>
        <v>1.9047619047619049E-2</v>
      </c>
      <c r="I102" s="105">
        <f>IF(ISNUMBER(G102), $B118 * H102, "")</f>
        <v>1904.761904761905</v>
      </c>
      <c r="J102" s="20">
        <v>1070</v>
      </c>
      <c r="K102" s="21">
        <f t="shared" si="48"/>
        <v>1.9047619047619049E-2</v>
      </c>
      <c r="L102" s="22">
        <f>IF(ISNUMBER(J102), $B118 * K102, "")</f>
        <v>1904.761904761905</v>
      </c>
      <c r="M102" s="30">
        <v>1060</v>
      </c>
      <c r="N102" s="21">
        <f t="shared" si="49"/>
        <v>9.5238095238095247E-3</v>
      </c>
      <c r="O102" s="22">
        <f>IF(ISNUMBER(M102), $B118 * N102, "")</f>
        <v>952.38095238095252</v>
      </c>
      <c r="Q102" s="251"/>
      <c r="R102" s="251"/>
      <c r="S102" s="251"/>
    </row>
    <row r="103" spans="1:19" ht="17.25" thickBot="1">
      <c r="A103" s="162" t="s">
        <v>160</v>
      </c>
      <c r="B103" s="129">
        <v>1655</v>
      </c>
      <c r="C103" s="80">
        <v>1.8461538499999999E-2</v>
      </c>
      <c r="D103" s="106">
        <v>1700</v>
      </c>
      <c r="E103" s="107">
        <f>IF(ISNUMBER(D103), (D103 - $B103) / $B103, "")</f>
        <v>2.7190332326283987E-2</v>
      </c>
      <c r="F103" s="108">
        <f>IF(ISNUMBER(D103), $B118 * E103, "")</f>
        <v>2719.0332326283988</v>
      </c>
      <c r="G103" s="109">
        <v>1675</v>
      </c>
      <c r="H103" s="107">
        <f>IF(ISNUMBER(G103), (G103 - $B103) / $B103, "")</f>
        <v>1.2084592145015106E-2</v>
      </c>
      <c r="I103" s="110">
        <f>IF(ISNUMBER(G103), $B118 * H103, "")</f>
        <v>1208.4592145015106</v>
      </c>
      <c r="J103" s="106">
        <v>1685</v>
      </c>
      <c r="K103" s="107">
        <f>IF(ISNUMBER(J103), (J103 - $B103) / $B103, "")</f>
        <v>1.812688821752266E-2</v>
      </c>
      <c r="L103" s="108">
        <f>IF(ISNUMBER(J103), $B118 * K103, "")</f>
        <v>1812.688821752266</v>
      </c>
      <c r="M103" s="109">
        <v>1680</v>
      </c>
      <c r="N103" s="107">
        <f>IF(ISNUMBER(M103), (M103 - $B103) / $B103, "")</f>
        <v>1.5105740181268883E-2</v>
      </c>
      <c r="O103" s="108">
        <f>IF(ISNUMBER(M103), $B118 * N103, "")</f>
        <v>1510.5740181268884</v>
      </c>
      <c r="Q103" s="251"/>
      <c r="R103" s="251"/>
      <c r="S103" s="251"/>
    </row>
    <row r="104" spans="1:19" ht="17.25" thickBot="1">
      <c r="A104" s="162" t="s">
        <v>88</v>
      </c>
      <c r="B104" s="126">
        <v>388</v>
      </c>
      <c r="C104" s="77">
        <v>1.8372703399999999E-2</v>
      </c>
      <c r="D104" s="15">
        <v>383</v>
      </c>
      <c r="E104" s="32">
        <f t="shared" ref="E104:E107" si="50">IF(ISNUMBER(D104), (D104 - $B104) / $B104, "")</f>
        <v>-1.2886597938144329E-2</v>
      </c>
      <c r="F104" s="18">
        <f>IF(ISNUMBER(D104), $B118 * E104, "")</f>
        <v>-1288.659793814433</v>
      </c>
      <c r="G104" s="31">
        <v>381</v>
      </c>
      <c r="H104" s="32">
        <f t="shared" ref="H104:H107" si="51">IF(ISNUMBER(G104), (G104 - $B104) / $B104, "")</f>
        <v>-1.804123711340206E-2</v>
      </c>
      <c r="I104" s="101">
        <f>IF(ISNUMBER(G104), $B118 * H104, "")</f>
        <v>-1804.123711340206</v>
      </c>
      <c r="J104" s="15">
        <v>388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395</v>
      </c>
      <c r="N104" s="32">
        <f t="shared" ref="N104:N107" si="53">IF(ISNUMBER(M104), (M104 - $B104) / $B104, "")</f>
        <v>1.804123711340206E-2</v>
      </c>
      <c r="O104" s="18">
        <f>IF(ISNUMBER(M104), $B118 * N104, "")</f>
        <v>1804.123711340206</v>
      </c>
      <c r="Q104" s="251"/>
      <c r="R104" s="251"/>
      <c r="S104" s="251"/>
    </row>
    <row r="105" spans="1:19" ht="17.25" thickBot="1">
      <c r="A105" s="162" t="s">
        <v>199</v>
      </c>
      <c r="B105" s="126">
        <v>171</v>
      </c>
      <c r="C105" s="77">
        <v>1.7857142900000001E-2</v>
      </c>
      <c r="D105" s="15">
        <v>165</v>
      </c>
      <c r="E105" s="32">
        <f t="shared" si="50"/>
        <v>-3.5087719298245612E-2</v>
      </c>
      <c r="F105" s="18">
        <f>IF(ISNUMBER(D105), $B118 * E105, "")</f>
        <v>-3508.7719298245611</v>
      </c>
      <c r="G105" s="31">
        <v>164</v>
      </c>
      <c r="H105" s="32">
        <f t="shared" si="51"/>
        <v>-4.0935672514619881E-2</v>
      </c>
      <c r="I105" s="101">
        <f>IF(ISNUMBER(G105), $B118 * H105, "")</f>
        <v>-4093.5672514619882</v>
      </c>
      <c r="J105" s="15">
        <v>163</v>
      </c>
      <c r="K105" s="32">
        <f t="shared" si="52"/>
        <v>-4.6783625730994149E-2</v>
      </c>
      <c r="L105" s="18">
        <f>IF(ISNUMBER(J105), $B118 * K105, "")</f>
        <v>-4678.3625730994154</v>
      </c>
      <c r="M105" s="31">
        <v>165</v>
      </c>
      <c r="N105" s="32">
        <f t="shared" si="53"/>
        <v>-3.5087719298245612E-2</v>
      </c>
      <c r="O105" s="18">
        <f>IF(ISNUMBER(M105), $B118 * N105, "")</f>
        <v>-3508.7719298245611</v>
      </c>
      <c r="Q105" s="251"/>
      <c r="R105" s="251"/>
      <c r="S105" s="251"/>
    </row>
    <row r="106" spans="1:19" ht="17.25" thickBot="1">
      <c r="A106" s="162" t="s">
        <v>120</v>
      </c>
      <c r="B106" s="126">
        <v>136</v>
      </c>
      <c r="C106" s="77">
        <v>7.4074073999999997E-3</v>
      </c>
      <c r="D106" s="15">
        <v>135</v>
      </c>
      <c r="E106" s="32">
        <f t="shared" si="50"/>
        <v>-7.3529411764705881E-3</v>
      </c>
      <c r="F106" s="18">
        <f>IF(ISNUMBER(D106), $B118 * E106, "")</f>
        <v>-735.29411764705878</v>
      </c>
      <c r="G106" s="31">
        <v>135</v>
      </c>
      <c r="H106" s="32">
        <f t="shared" si="51"/>
        <v>-7.3529411764705881E-3</v>
      </c>
      <c r="I106" s="101">
        <f>IF(ISNUMBER(G106), $B118 * H106, "")</f>
        <v>-735.29411764705878</v>
      </c>
      <c r="J106" s="15">
        <v>135</v>
      </c>
      <c r="K106" s="32">
        <f t="shared" si="52"/>
        <v>-7.3529411764705881E-3</v>
      </c>
      <c r="L106" s="18">
        <f>IF(ISNUMBER(J106), $B118 * K106, "")</f>
        <v>-735.29411764705878</v>
      </c>
      <c r="M106" s="31">
        <v>135</v>
      </c>
      <c r="N106" s="32">
        <f t="shared" si="53"/>
        <v>-7.3529411764705881E-3</v>
      </c>
      <c r="O106" s="18">
        <f>IF(ISNUMBER(M106), $B118 * N106, "")</f>
        <v>-735.29411764705878</v>
      </c>
      <c r="Q106" s="33"/>
      <c r="R106" s="33"/>
    </row>
    <row r="107" spans="1:19" ht="17.25" thickBot="1">
      <c r="A107" s="130" t="s">
        <v>140</v>
      </c>
      <c r="B107" s="131">
        <v>2160</v>
      </c>
      <c r="C107" s="79">
        <v>2.3201856E-3</v>
      </c>
      <c r="D107" s="24">
        <v>2390</v>
      </c>
      <c r="E107" s="25">
        <f t="shared" si="50"/>
        <v>0.10648148148148148</v>
      </c>
      <c r="F107" s="104">
        <f>IF(ISNUMBER(D107), $B118 * E107, "")</f>
        <v>10648.148148148148</v>
      </c>
      <c r="G107" s="102">
        <v>2370</v>
      </c>
      <c r="H107" s="25">
        <f t="shared" si="51"/>
        <v>9.7222222222222224E-2</v>
      </c>
      <c r="I107" s="103">
        <f>IF(ISNUMBER(G107), $B118 * H107, "")</f>
        <v>9722.2222222222226</v>
      </c>
      <c r="J107" s="24">
        <v>2330</v>
      </c>
      <c r="K107" s="25">
        <f t="shared" si="52"/>
        <v>7.8703703703703706E-2</v>
      </c>
      <c r="L107" s="104">
        <f>IF(ISNUMBER(J107), $B118 * K107, "")</f>
        <v>7870.3703703703704</v>
      </c>
      <c r="M107" s="102">
        <v>2320</v>
      </c>
      <c r="N107" s="25">
        <f t="shared" si="53"/>
        <v>7.407407407407407E-2</v>
      </c>
      <c r="O107" s="104">
        <f>IF(ISNUMBER(M107), $B118 * N107, "")</f>
        <v>7407.4074074074069</v>
      </c>
      <c r="Q107" s="252"/>
      <c r="R107" s="253"/>
      <c r="S107" s="254"/>
    </row>
    <row r="108" spans="1:19">
      <c r="A108" s="161" t="s">
        <v>197</v>
      </c>
      <c r="B108" s="124">
        <v>14.7</v>
      </c>
      <c r="C108" s="76">
        <v>-6.7567568000000003E-3</v>
      </c>
      <c r="D108" s="13">
        <v>13.9</v>
      </c>
      <c r="E108" s="14">
        <f>IF(ISNUMBER(D108), (D108 - $B108) / $B108, "")</f>
        <v>-5.4421768707482922E-2</v>
      </c>
      <c r="F108" s="16">
        <f>IF(ISNUMBER(D108), $B118 * E108, "")</f>
        <v>-5442.1768707482925</v>
      </c>
      <c r="G108" s="29">
        <v>13.9</v>
      </c>
      <c r="H108" s="14">
        <f>IF(ISNUMBER(G108), (G108 - $B108) / $B108, "")</f>
        <v>-5.4421768707482922E-2</v>
      </c>
      <c r="I108" s="100">
        <f>IF(ISNUMBER(G108), $B118 * H108, "")</f>
        <v>-5442.1768707482925</v>
      </c>
      <c r="J108" s="13">
        <v>13.9</v>
      </c>
      <c r="K108" s="14">
        <f>IF(ISNUMBER(J108), (J108 - $B108) / $B108, "")</f>
        <v>-5.4421768707482922E-2</v>
      </c>
      <c r="L108" s="16">
        <f>IF(ISNUMBER(J108), $B118 * K108, "")</f>
        <v>-5442.1768707482925</v>
      </c>
      <c r="M108" s="29">
        <v>13.7</v>
      </c>
      <c r="N108" s="14">
        <f>IF(ISNUMBER(M108), (M108 - $B108) / $B108, "")</f>
        <v>-6.8027210884353748E-2</v>
      </c>
      <c r="O108" s="16">
        <f>IF(ISNUMBER(M108), $B118 * N108, "")</f>
        <v>-6802.7210884353744</v>
      </c>
      <c r="Q108" s="255"/>
      <c r="R108" s="256"/>
      <c r="S108" s="257"/>
    </row>
    <row r="109" spans="1:19" ht="17.25" thickBot="1">
      <c r="A109" s="162" t="s">
        <v>144</v>
      </c>
      <c r="B109" s="126">
        <v>5955</v>
      </c>
      <c r="C109" s="77">
        <v>-8.3263946999999998E-3</v>
      </c>
      <c r="D109" s="15">
        <v>6095</v>
      </c>
      <c r="E109" s="32">
        <f t="shared" ref="E109:E112" si="54">IF(ISNUMBER(D109), (D109 - $B109) / $B109, "")</f>
        <v>2.3509655751469353E-2</v>
      </c>
      <c r="F109" s="18">
        <f>IF(ISNUMBER(D109), $B118 * E109, "")</f>
        <v>2350.9655751469354</v>
      </c>
      <c r="G109" s="31">
        <v>6190</v>
      </c>
      <c r="H109" s="32">
        <f t="shared" ref="H109:H112" si="55">IF(ISNUMBER(G109), (G109 - $B109) / $B109, "")</f>
        <v>3.9462636439966413E-2</v>
      </c>
      <c r="I109" s="101">
        <f>IF(ISNUMBER(G109), $B118 * H109, "")</f>
        <v>3946.2636439966413</v>
      </c>
      <c r="J109" s="15">
        <v>6105</v>
      </c>
      <c r="K109" s="32">
        <f t="shared" ref="K109:K112" si="56">IF(ISNUMBER(J109), (J109 - $B109) / $B109, "")</f>
        <v>2.5188916876574308E-2</v>
      </c>
      <c r="L109" s="18">
        <f>IF(ISNUMBER(J109), $B118 * K109, "")</f>
        <v>2518.8916876574308</v>
      </c>
      <c r="M109" s="31">
        <v>6115</v>
      </c>
      <c r="N109" s="32">
        <f t="shared" ref="N109:N112" si="57">IF(ISNUMBER(M109), (M109 - $B109) / $B109, "")</f>
        <v>2.686817800167926E-2</v>
      </c>
      <c r="O109" s="18">
        <f>IF(ISNUMBER(M109), $B118 * N109, "")</f>
        <v>2686.8178001679262</v>
      </c>
      <c r="Q109" s="258"/>
      <c r="R109" s="259"/>
      <c r="S109" s="260"/>
    </row>
    <row r="110" spans="1:19" ht="17.25" thickBot="1">
      <c r="A110" s="162" t="s">
        <v>189</v>
      </c>
      <c r="B110" s="126">
        <v>51990</v>
      </c>
      <c r="C110" s="77">
        <v>-9.5256239000000003E-3</v>
      </c>
      <c r="D110" s="15">
        <v>52020</v>
      </c>
      <c r="E110" s="32">
        <f t="shared" si="54"/>
        <v>5.7703404500865547E-4</v>
      </c>
      <c r="F110" s="18">
        <f>IF(ISNUMBER(D110), $B118 * E110, "")</f>
        <v>57.703404500865545</v>
      </c>
      <c r="G110" s="31">
        <v>52190</v>
      </c>
      <c r="H110" s="32">
        <f t="shared" si="55"/>
        <v>3.8468936333910368E-3</v>
      </c>
      <c r="I110" s="101">
        <f>IF(ISNUMBER(G110), $B118 * H110, "")</f>
        <v>384.68936333910369</v>
      </c>
      <c r="J110" s="15">
        <v>52190</v>
      </c>
      <c r="K110" s="32">
        <f t="shared" si="56"/>
        <v>3.8468936333910368E-3</v>
      </c>
      <c r="L110" s="18">
        <f>IF(ISNUMBER(J110), $B118 * K110, "")</f>
        <v>384.68936333910369</v>
      </c>
      <c r="M110" s="31">
        <v>52250</v>
      </c>
      <c r="N110" s="32">
        <f t="shared" si="57"/>
        <v>5.0009617234083479E-3</v>
      </c>
      <c r="O110" s="18">
        <f>IF(ISNUMBER(M110), $B118 * N110, "")</f>
        <v>500.09617234083481</v>
      </c>
      <c r="Q110" s="251"/>
      <c r="R110" s="251"/>
      <c r="S110" s="251"/>
    </row>
    <row r="111" spans="1:19" ht="17.25" thickBot="1">
      <c r="A111" s="162" t="s">
        <v>61</v>
      </c>
      <c r="B111" s="126">
        <v>812</v>
      </c>
      <c r="C111" s="77">
        <v>-1.2165450100000001E-2</v>
      </c>
      <c r="D111" s="15">
        <v>837</v>
      </c>
      <c r="E111" s="32">
        <f t="shared" si="54"/>
        <v>3.0788177339901478E-2</v>
      </c>
      <c r="F111" s="18">
        <f>IF(ISNUMBER(D111), $B118 * E111, "")</f>
        <v>3078.8177339901476</v>
      </c>
      <c r="G111" s="31">
        <v>833</v>
      </c>
      <c r="H111" s="32">
        <f t="shared" si="55"/>
        <v>2.5862068965517241E-2</v>
      </c>
      <c r="I111" s="101">
        <f>IF(ISNUMBER(G111), $B118 * H111, "")</f>
        <v>2586.2068965517242</v>
      </c>
      <c r="J111" s="15">
        <v>827</v>
      </c>
      <c r="K111" s="32">
        <f t="shared" si="56"/>
        <v>1.8472906403940888E-2</v>
      </c>
      <c r="L111" s="18">
        <f>IF(ISNUMBER(J111), $B118 * K111, "")</f>
        <v>1847.2906403940888</v>
      </c>
      <c r="M111" s="31">
        <v>825</v>
      </c>
      <c r="N111" s="32">
        <f t="shared" si="57"/>
        <v>1.600985221674877E-2</v>
      </c>
      <c r="O111" s="18">
        <f>IF(ISNUMBER(M111), $B118 * N111, "")</f>
        <v>1600.985221674877</v>
      </c>
      <c r="Q111" s="261"/>
      <c r="R111" s="261"/>
      <c r="S111" s="261"/>
    </row>
    <row r="112" spans="1:19" ht="17.25" thickBot="1">
      <c r="A112" s="163" t="s">
        <v>136</v>
      </c>
      <c r="B112" s="128">
        <v>122</v>
      </c>
      <c r="C112" s="78">
        <v>-1.6129032299999999E-2</v>
      </c>
      <c r="D112" s="20">
        <v>123</v>
      </c>
      <c r="E112" s="21">
        <f t="shared" si="54"/>
        <v>8.1967213114754103E-3</v>
      </c>
      <c r="F112" s="22">
        <f>IF(ISNUMBER(D112), $B118 * E112, "")</f>
        <v>819.67213114754099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124</v>
      </c>
      <c r="K112" s="21">
        <f t="shared" si="56"/>
        <v>1.6393442622950821E-2</v>
      </c>
      <c r="L112" s="22">
        <f>IF(ISNUMBER(J112), $B118 * K112, "")</f>
        <v>1639.344262295082</v>
      </c>
      <c r="M112" s="30">
        <v>126</v>
      </c>
      <c r="N112" s="21">
        <f t="shared" si="57"/>
        <v>3.2786885245901641E-2</v>
      </c>
      <c r="O112" s="22">
        <f>IF(ISNUMBER(M112), $B118 * N112, "")</f>
        <v>3278.688524590164</v>
      </c>
      <c r="Q112" s="261"/>
      <c r="R112" s="261"/>
      <c r="S112" s="261"/>
    </row>
    <row r="113" spans="1:19" ht="17.25" thickBot="1">
      <c r="A113" s="162" t="s">
        <v>240</v>
      </c>
      <c r="B113" s="129">
        <v>1475</v>
      </c>
      <c r="C113" s="80">
        <v>-1.9933554799999999E-2</v>
      </c>
      <c r="D113" s="106">
        <v>1485</v>
      </c>
      <c r="E113" s="107">
        <f>IF(ISNUMBER(D113), (D113 - $B113) / $B113, "")</f>
        <v>6.7796610169491523E-3</v>
      </c>
      <c r="F113" s="108">
        <f>IF(ISNUMBER(D113), $B118 * E113, "")</f>
        <v>677.96610169491521</v>
      </c>
      <c r="G113" s="109">
        <v>1475</v>
      </c>
      <c r="H113" s="107">
        <f>IF(ISNUMBER(G113), (G113 - $B113) / $B113, "")</f>
        <v>0</v>
      </c>
      <c r="I113" s="110">
        <f>IF(ISNUMBER(G113), $B118 * H113, "")</f>
        <v>0</v>
      </c>
      <c r="J113" s="106">
        <v>1475</v>
      </c>
      <c r="K113" s="107">
        <f>IF(ISNUMBER(J113), (J113 - $B113) / $B113, "")</f>
        <v>0</v>
      </c>
      <c r="L113" s="108">
        <f>IF(ISNUMBER(J113), $B118 * K113, "")</f>
        <v>0</v>
      </c>
      <c r="M113" s="109">
        <v>1475</v>
      </c>
      <c r="N113" s="107">
        <f>IF(ISNUMBER(M113), (M113 - $B113) / $B113, "")</f>
        <v>0</v>
      </c>
      <c r="O113" s="108">
        <f>IF(ISNUMBER(M113), $B118 * N113, "")</f>
        <v>0</v>
      </c>
      <c r="Q113" s="251"/>
      <c r="R113" s="251"/>
      <c r="S113" s="251"/>
    </row>
    <row r="114" spans="1:19" ht="17.25" thickBot="1">
      <c r="A114" s="162" t="s">
        <v>114</v>
      </c>
      <c r="B114" s="126">
        <v>10010</v>
      </c>
      <c r="C114" s="77">
        <v>-2.24609375E-2</v>
      </c>
      <c r="D114" s="15">
        <v>10750</v>
      </c>
      <c r="E114" s="32">
        <f t="shared" ref="E114:E117" si="58">IF(ISNUMBER(D114), (D114 - $B114) / $B114, "")</f>
        <v>7.3926073926073921E-2</v>
      </c>
      <c r="F114" s="18">
        <f>IF(ISNUMBER(D114), $B118 * E114, "")</f>
        <v>7392.6073926073923</v>
      </c>
      <c r="G114" s="31">
        <v>11060</v>
      </c>
      <c r="H114" s="32">
        <f t="shared" ref="H114:H117" si="59">IF(ISNUMBER(G114), (G114 - $B114) / $B114, "")</f>
        <v>0.1048951048951049</v>
      </c>
      <c r="I114" s="101">
        <f>IF(ISNUMBER(G114), $B118 * H114, "")</f>
        <v>10489.510489510489</v>
      </c>
      <c r="J114" s="15">
        <v>10900</v>
      </c>
      <c r="K114" s="32">
        <f t="shared" ref="K114:K117" si="60">IF(ISNUMBER(J114), (J114 - $B114) / $B114, "")</f>
        <v>8.8911088911088912E-2</v>
      </c>
      <c r="L114" s="18">
        <f>IF(ISNUMBER(J114), $B118 * K114, "")</f>
        <v>8891.1088911088918</v>
      </c>
      <c r="M114" s="31">
        <v>11050</v>
      </c>
      <c r="N114" s="32">
        <f t="shared" ref="N114:N117" si="61">IF(ISNUMBER(M114), (M114 - $B114) / $B114, "")</f>
        <v>0.1038961038961039</v>
      </c>
      <c r="O114" s="18">
        <f>IF(ISNUMBER(M114), $B118 * N114, "")</f>
        <v>10389.61038961039</v>
      </c>
      <c r="Q114" s="251"/>
      <c r="R114" s="251"/>
      <c r="S114" s="251"/>
    </row>
    <row r="115" spans="1:19" ht="17.25" thickBot="1">
      <c r="A115" s="162" t="s">
        <v>106</v>
      </c>
      <c r="B115" s="126">
        <v>1010</v>
      </c>
      <c r="C115" s="77">
        <v>-2.4154589399999999E-2</v>
      </c>
      <c r="D115" s="15">
        <v>1040</v>
      </c>
      <c r="E115" s="32">
        <f t="shared" si="58"/>
        <v>2.9702970297029702E-2</v>
      </c>
      <c r="F115" s="18">
        <f>IF(ISNUMBER(D115), $B118 * E115, "")</f>
        <v>2970.2970297029701</v>
      </c>
      <c r="G115" s="31">
        <v>1040</v>
      </c>
      <c r="H115" s="32">
        <f t="shared" si="59"/>
        <v>2.9702970297029702E-2</v>
      </c>
      <c r="I115" s="101">
        <f>IF(ISNUMBER(G115), $B118 * H115, "")</f>
        <v>2970.2970297029701</v>
      </c>
      <c r="J115" s="15">
        <v>1040</v>
      </c>
      <c r="K115" s="32">
        <f t="shared" si="60"/>
        <v>2.9702970297029702E-2</v>
      </c>
      <c r="L115" s="18">
        <f>IF(ISNUMBER(J115), $B118 * K115, "")</f>
        <v>2970.2970297029701</v>
      </c>
      <c r="M115" s="31">
        <v>1030</v>
      </c>
      <c r="N115" s="32">
        <f t="shared" si="61"/>
        <v>1.9801980198019802E-2</v>
      </c>
      <c r="O115" s="18">
        <f>IF(ISNUMBER(M115), $B118 * N115, "")</f>
        <v>1980.1980198019803</v>
      </c>
      <c r="Q115" s="251"/>
      <c r="R115" s="251"/>
      <c r="S115" s="251"/>
    </row>
    <row r="116" spans="1:19">
      <c r="A116" s="162" t="s">
        <v>236</v>
      </c>
      <c r="B116" s="126">
        <v>88.5</v>
      </c>
      <c r="C116" s="77">
        <v>-2.5330396500000001E-2</v>
      </c>
      <c r="D116" s="15">
        <v>87.1</v>
      </c>
      <c r="E116" s="32">
        <f t="shared" si="58"/>
        <v>-1.5819209039548088E-2</v>
      </c>
      <c r="F116" s="18">
        <f>IF(ISNUMBER(D116), $B118 * E116, "")</f>
        <v>-1581.9209039548089</v>
      </c>
      <c r="G116" s="31">
        <v>86.8</v>
      </c>
      <c r="H116" s="32">
        <f t="shared" si="59"/>
        <v>-1.9209039548022631E-2</v>
      </c>
      <c r="I116" s="101">
        <f>IF(ISNUMBER(G116), $B118 * H116, "")</f>
        <v>-1920.9039548022631</v>
      </c>
      <c r="J116" s="15">
        <v>86.2</v>
      </c>
      <c r="K116" s="32">
        <f t="shared" si="60"/>
        <v>-2.5988700564971719E-2</v>
      </c>
      <c r="L116" s="18">
        <f>IF(ISNUMBER(J116), $B118 * K116, "")</f>
        <v>-2598.8700564971718</v>
      </c>
      <c r="M116" s="31">
        <v>85.7</v>
      </c>
      <c r="N116" s="32">
        <f t="shared" si="61"/>
        <v>-3.1638418079096016E-2</v>
      </c>
      <c r="O116" s="18">
        <f>IF(ISNUMBER(M116), $B118 * N116, "")</f>
        <v>-3163.8418079096018</v>
      </c>
      <c r="Q116" s="240"/>
      <c r="R116" s="241"/>
      <c r="S116" s="242"/>
    </row>
    <row r="117" spans="1:19" ht="17.25" thickBot="1">
      <c r="A117" s="130" t="s">
        <v>49</v>
      </c>
      <c r="B117" s="131">
        <v>45213000</v>
      </c>
      <c r="C117" s="79">
        <v>-2.5350837500000001E-2</v>
      </c>
      <c r="D117" s="24">
        <v>45310000</v>
      </c>
      <c r="E117" s="25">
        <f t="shared" si="58"/>
        <v>2.1454006591024705E-3</v>
      </c>
      <c r="F117" s="104">
        <f>IF(ISNUMBER(D117), $B118 * E117, "")</f>
        <v>214.54006591024705</v>
      </c>
      <c r="G117" s="102">
        <v>45980000</v>
      </c>
      <c r="H117" s="25">
        <f t="shared" si="59"/>
        <v>1.6964147479707165E-2</v>
      </c>
      <c r="I117" s="103">
        <f>IF(ISNUMBER(G117), $B118 * H117, "")</f>
        <v>1696.4147479707165</v>
      </c>
      <c r="J117" s="24">
        <v>45706000</v>
      </c>
      <c r="K117" s="25">
        <f t="shared" si="60"/>
        <v>1.0903943556056886E-2</v>
      </c>
      <c r="L117" s="104">
        <f>IF(ISNUMBER(J117), $B118 * K117, "")</f>
        <v>1090.3943556056886</v>
      </c>
      <c r="M117" s="102">
        <v>45567000</v>
      </c>
      <c r="N117" s="25">
        <f t="shared" si="61"/>
        <v>7.8296065290956139E-3</v>
      </c>
      <c r="O117" s="104">
        <f>IF(ISNUMBER(M117), $B118 * N117, "")</f>
        <v>782.96065290956142</v>
      </c>
      <c r="Q117" s="243"/>
      <c r="R117" s="244"/>
      <c r="S117" s="245"/>
    </row>
    <row r="118" spans="1:19" ht="17.25" thickBot="1">
      <c r="A118" s="132" t="s">
        <v>295</v>
      </c>
      <c r="B118" s="304">
        <f>$B$37</f>
        <v>100000</v>
      </c>
      <c r="C118" s="305"/>
      <c r="D118" s="26" t="s">
        <v>296</v>
      </c>
      <c r="E118" s="27">
        <f>IF(COUNT(E98:E117), SUM(E98:E117) / COUNT(E98:E117), 0)</f>
        <v>8.8059973700579559E-3</v>
      </c>
      <c r="F118" s="28">
        <f>SUM(F98:F117)</f>
        <v>17611.994740115915</v>
      </c>
      <c r="G118" s="26" t="s">
        <v>296</v>
      </c>
      <c r="H118" s="27">
        <f>IF(COUNT(H98:H117), SUM(H98:H117) / COUNT(H98:H117), 0)</f>
        <v>1.114665901860337E-2</v>
      </c>
      <c r="I118" s="28">
        <f>SUM(I98:I117)</f>
        <v>22293.31803720674</v>
      </c>
      <c r="J118" s="26" t="s">
        <v>296</v>
      </c>
      <c r="K118" s="27">
        <f>IF(COUNT(K98:K117), SUM(K98:K117) / COUNT(K98:K117), 0)</f>
        <v>8.7461258883575858E-3</v>
      </c>
      <c r="L118" s="28">
        <f>SUM(L98:L117)</f>
        <v>17492.251776715166</v>
      </c>
      <c r="M118" s="26" t="s">
        <v>296</v>
      </c>
      <c r="N118" s="27">
        <f>IF(COUNT(N98:N117), SUM(N98:N117) / COUNT(N98:N117), 0)</f>
        <v>1.0388190116870276E-2</v>
      </c>
      <c r="O118" s="28">
        <f>SUM(O98:O117)</f>
        <v>20776.38023374055</v>
      </c>
      <c r="Q118" s="246"/>
      <c r="R118" s="247"/>
      <c r="S118" s="248"/>
    </row>
    <row r="120" spans="1:19" ht="17.25" thickBot="1"/>
    <row r="121" spans="1:19" ht="17.25" thickBot="1">
      <c r="A121" s="262" t="s">
        <v>283</v>
      </c>
      <c r="B121" s="263"/>
      <c r="C121" s="263"/>
      <c r="D121" s="263"/>
      <c r="E121" s="263"/>
      <c r="F121" s="263"/>
      <c r="G121" s="263"/>
      <c r="H121" s="263"/>
      <c r="I121" s="263"/>
      <c r="J121" s="263"/>
      <c r="K121" s="263"/>
      <c r="L121" s="263"/>
      <c r="M121" s="263"/>
      <c r="N121" s="263"/>
      <c r="O121" s="264"/>
      <c r="Q121" s="261"/>
      <c r="R121" s="261"/>
      <c r="S121" s="261"/>
    </row>
    <row r="122" spans="1:19" ht="17.25" thickBot="1">
      <c r="A122" s="224" t="s">
        <v>292</v>
      </c>
      <c r="B122" s="262" t="s">
        <v>49</v>
      </c>
      <c r="C122" s="264"/>
      <c r="D122" s="262" t="s">
        <v>58</v>
      </c>
      <c r="E122" s="263"/>
      <c r="F122" s="264"/>
      <c r="G122" s="265">
        <f>_xlfn.IFNA(VLOOKUP(B122, 현재가테이블!$B$2:$D$200, 2, FALSE), "-")</f>
        <v>40538000</v>
      </c>
      <c r="H122" s="266"/>
      <c r="I122" s="267"/>
      <c r="J122" s="262" t="s">
        <v>59</v>
      </c>
      <c r="K122" s="263"/>
      <c r="L122" s="264"/>
      <c r="M122" s="268">
        <f>_xlfn.IFNA(VLOOKUP(B122, 현재가테이블!$B$2:$D$200, 3, FALSE), "-")</f>
        <v>-3.68275993E-2</v>
      </c>
      <c r="N122" s="269"/>
      <c r="O122" s="270"/>
      <c r="Q122" s="261"/>
      <c r="R122" s="261"/>
      <c r="S122" s="261"/>
    </row>
    <row r="123" spans="1:19" ht="17.25" thickBot="1">
      <c r="A123" s="306" t="s">
        <v>55</v>
      </c>
      <c r="B123" s="302" t="str">
        <f>TEXT($G$1, "[$-ko-KR]yyyy-mm-dd(ddd) ") &amp; "오전 00:00"</f>
        <v>2021-06-17(목) 오전 00:00</v>
      </c>
      <c r="C123" s="303"/>
      <c r="D123" s="275" t="str">
        <f>TEXT($G$1, "[$-ko-KR]yyyy-mm-dd(ddd) ") &amp; "오후 14:00"</f>
        <v>2021-06-17(목) 오후 14:00</v>
      </c>
      <c r="E123" s="276"/>
      <c r="F123" s="277"/>
      <c r="G123" s="275" t="str">
        <f>TEXT($G$1, "[$-ko-KR]yyyy-mm-dd(ddd) ") &amp; "오후 19:00"</f>
        <v>2021-06-17(목) 오후 19:00</v>
      </c>
      <c r="H123" s="276"/>
      <c r="I123" s="277"/>
      <c r="J123" s="275" t="str">
        <f>TEXT($G$1, "[$-ko-KR]yyyy-mm-dd(ddd) ") &amp; "오후 21:00"</f>
        <v>2021-06-17(목) 오후 21:00</v>
      </c>
      <c r="K123" s="276"/>
      <c r="L123" s="277"/>
      <c r="M123" s="275" t="str">
        <f>TEXT($G$1+1, "[$-ko-KR]yyyy-mm-dd(ddd) ") &amp; "오전 00:00"</f>
        <v>2021-06-18(금) 오전 00:00</v>
      </c>
      <c r="N123" s="276"/>
      <c r="O123" s="277"/>
      <c r="Q123" s="261"/>
      <c r="R123" s="261"/>
      <c r="S123" s="261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5" t="s">
        <v>58</v>
      </c>
      <c r="H124" s="226" t="s">
        <v>293</v>
      </c>
      <c r="I124" s="22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1"/>
      <c r="R124" s="251"/>
      <c r="S124" s="251"/>
    </row>
    <row r="125" spans="1:19" ht="17.25" thickBot="1">
      <c r="A125" s="161" t="s">
        <v>259</v>
      </c>
      <c r="B125" s="124">
        <v>71.400000000000006</v>
      </c>
      <c r="C125" s="76">
        <v>-5.9288537500000002E-2</v>
      </c>
      <c r="D125" s="13">
        <v>72.2</v>
      </c>
      <c r="E125" s="14">
        <f>IF(ISNUMBER(D125), (D125 - $B125) / $B125, "")</f>
        <v>1.1204481792717045E-2</v>
      </c>
      <c r="F125" s="16">
        <f>IF(ISNUMBER(D125), $B145 * E125, "")</f>
        <v>1120.4481792717045</v>
      </c>
      <c r="G125" s="29">
        <v>72.5</v>
      </c>
      <c r="H125" s="14">
        <f>IF(ISNUMBER(G125), (G125 - $B125) / $B125, "")</f>
        <v>1.5406162464985914E-2</v>
      </c>
      <c r="I125" s="100">
        <f>IF(ISNUMBER(G125), $B145 * H125, "")</f>
        <v>1540.6162464985914</v>
      </c>
      <c r="J125" s="13">
        <v>72.2</v>
      </c>
      <c r="K125" s="14">
        <f>IF(ISNUMBER(J125), (J125 - $B125) / $B125, "")</f>
        <v>1.1204481792717045E-2</v>
      </c>
      <c r="L125" s="16">
        <f>IF(ISNUMBER(J125), $B145 * K125, "")</f>
        <v>1120.4481792717045</v>
      </c>
      <c r="M125" s="29">
        <v>72.5</v>
      </c>
      <c r="N125" s="14">
        <f>IF(ISNUMBER(M125), (M125 - $B125) / $B125, "")</f>
        <v>1.5406162464985914E-2</v>
      </c>
      <c r="O125" s="16">
        <f>IF(ISNUMBER(M125), $B145 * N125, "")</f>
        <v>1540.6162464985914</v>
      </c>
      <c r="Q125" s="261"/>
      <c r="R125" s="261"/>
      <c r="S125" s="261"/>
    </row>
    <row r="126" spans="1:19" ht="17.25" thickBot="1">
      <c r="A126" s="162" t="s">
        <v>212</v>
      </c>
      <c r="B126" s="126">
        <v>9.64</v>
      </c>
      <c r="C126" s="77">
        <v>-6.4077669899999995E-2</v>
      </c>
      <c r="D126" s="15">
        <v>9.9499999999999993</v>
      </c>
      <c r="E126" s="32">
        <f t="shared" ref="E126:E129" si="62">IF(ISNUMBER(D126), (D126 - $B126) / $B126, "")</f>
        <v>3.2157676348547583E-2</v>
      </c>
      <c r="F126" s="18">
        <f>IF(ISNUMBER(D126), $B145 * E126, "")</f>
        <v>3215.7676348547584</v>
      </c>
      <c r="G126" s="31">
        <v>9.5500000000000007</v>
      </c>
      <c r="H126" s="32">
        <f t="shared" ref="H126:H129" si="63">IF(ISNUMBER(G126), (G126 - $B126) / $B126, "")</f>
        <v>-9.3360995850622248E-3</v>
      </c>
      <c r="I126" s="101">
        <f>IF(ISNUMBER(G126), $B145 * H126, "")</f>
        <v>-933.60995850622248</v>
      </c>
      <c r="J126" s="15">
        <v>9.5500000000000007</v>
      </c>
      <c r="K126" s="32">
        <f t="shared" ref="K126:K129" si="64">IF(ISNUMBER(J126), (J126 - $B126) / $B126, "")</f>
        <v>-9.3360995850622248E-3</v>
      </c>
      <c r="L126" s="18">
        <f>IF(ISNUMBER(J126), $B145 * K126, "")</f>
        <v>-933.60995850622248</v>
      </c>
      <c r="M126" s="31">
        <v>9.52</v>
      </c>
      <c r="N126" s="32">
        <f t="shared" ref="N126:N129" si="65">IF(ISNUMBER(M126), (M126 - $B126) / $B126, "")</f>
        <v>-1.2448132780083091E-2</v>
      </c>
      <c r="O126" s="18">
        <f>IF(ISNUMBER(M126), $B145 * N126, "")</f>
        <v>-1244.813278008309</v>
      </c>
      <c r="Q126" s="261"/>
      <c r="R126" s="261"/>
      <c r="S126" s="261"/>
    </row>
    <row r="127" spans="1:19" ht="17.25" thickBot="1">
      <c r="A127" s="162" t="s">
        <v>185</v>
      </c>
      <c r="B127" s="126">
        <v>14.3</v>
      </c>
      <c r="C127" s="77">
        <v>-6.5359477099999994E-2</v>
      </c>
      <c r="D127" s="15">
        <v>14.5</v>
      </c>
      <c r="E127" s="32">
        <f t="shared" si="62"/>
        <v>1.3986013986013936E-2</v>
      </c>
      <c r="F127" s="18">
        <f>IF(ISNUMBER(D127), $B145 * E127, "")</f>
        <v>1398.6013986013936</v>
      </c>
      <c r="G127" s="31">
        <v>14.4</v>
      </c>
      <c r="H127" s="32">
        <f t="shared" si="63"/>
        <v>6.9930069930069678E-3</v>
      </c>
      <c r="I127" s="101">
        <f>IF(ISNUMBER(G127), $B145 * H127, "")</f>
        <v>699.30069930069681</v>
      </c>
      <c r="J127" s="15">
        <v>14.4</v>
      </c>
      <c r="K127" s="32">
        <f t="shared" si="64"/>
        <v>6.9930069930069678E-3</v>
      </c>
      <c r="L127" s="18">
        <f>IF(ISNUMBER(J127), $B145 * K127, "")</f>
        <v>699.30069930069681</v>
      </c>
      <c r="M127" s="31">
        <v>14.2</v>
      </c>
      <c r="N127" s="32">
        <f t="shared" si="65"/>
        <v>-6.9930069930070919E-3</v>
      </c>
      <c r="O127" s="18">
        <f>IF(ISNUMBER(M127), $B145 * N127, "")</f>
        <v>-699.3006993007092</v>
      </c>
      <c r="Q127" s="251"/>
      <c r="R127" s="251"/>
      <c r="S127" s="251"/>
    </row>
    <row r="128" spans="1:19" ht="17.25" thickBot="1">
      <c r="A128" s="162" t="s">
        <v>217</v>
      </c>
      <c r="B128" s="126">
        <v>9.5299999999999994</v>
      </c>
      <c r="C128" s="77">
        <v>-6.5686274500000003E-2</v>
      </c>
      <c r="D128" s="15">
        <v>9.77</v>
      </c>
      <c r="E128" s="32">
        <f t="shared" si="62"/>
        <v>2.518363064008397E-2</v>
      </c>
      <c r="F128" s="18">
        <f>IF(ISNUMBER(D128), $B145 * E128, "")</f>
        <v>2518.363064008397</v>
      </c>
      <c r="G128" s="31">
        <v>9.6199999999999992</v>
      </c>
      <c r="H128" s="32">
        <f t="shared" si="63"/>
        <v>9.4438614900314646E-3</v>
      </c>
      <c r="I128" s="101">
        <f>IF(ISNUMBER(G128), $B145 * H128, "")</f>
        <v>944.38614900314644</v>
      </c>
      <c r="J128" s="15">
        <v>9.61</v>
      </c>
      <c r="K128" s="32">
        <f t="shared" si="64"/>
        <v>8.3945435466946557E-3</v>
      </c>
      <c r="L128" s="18">
        <f>IF(ISNUMBER(J128), $B145 * K128, "")</f>
        <v>839.4543546694656</v>
      </c>
      <c r="M128" s="31">
        <v>9.61</v>
      </c>
      <c r="N128" s="32">
        <f t="shared" si="65"/>
        <v>8.3945435466946557E-3</v>
      </c>
      <c r="O128" s="18">
        <f>IF(ISNUMBER(M128), $B145 * N128, "")</f>
        <v>839.4543546694656</v>
      </c>
      <c r="Q128" s="251"/>
      <c r="R128" s="251"/>
      <c r="S128" s="251"/>
    </row>
    <row r="129" spans="1:19" ht="17.25" thickBot="1">
      <c r="A129" s="163" t="s">
        <v>255</v>
      </c>
      <c r="B129" s="128">
        <v>56.6</v>
      </c>
      <c r="C129" s="78">
        <v>-6.7545304799999997E-2</v>
      </c>
      <c r="D129" s="20">
        <v>56.3</v>
      </c>
      <c r="E129" s="21">
        <f t="shared" si="62"/>
        <v>-5.3003533568905343E-3</v>
      </c>
      <c r="F129" s="22">
        <f>IF(ISNUMBER(D129), $B145 * E129, "")</f>
        <v>-530.03533568905345</v>
      </c>
      <c r="G129" s="30">
        <v>56.4</v>
      </c>
      <c r="H129" s="21">
        <f t="shared" si="63"/>
        <v>-3.5335689045936898E-3</v>
      </c>
      <c r="I129" s="105">
        <f>IF(ISNUMBER(G129), $B145 * H129, "")</f>
        <v>-353.35689045936897</v>
      </c>
      <c r="J129" s="20">
        <v>56</v>
      </c>
      <c r="K129" s="21">
        <f t="shared" si="64"/>
        <v>-1.0600706713780944E-2</v>
      </c>
      <c r="L129" s="22">
        <f>IF(ISNUMBER(J129), $B145 * K129, "")</f>
        <v>-1060.0706713780944</v>
      </c>
      <c r="M129" s="30">
        <v>56.1</v>
      </c>
      <c r="N129" s="21">
        <f t="shared" si="65"/>
        <v>-8.8339222614840993E-3</v>
      </c>
      <c r="O129" s="22">
        <f>IF(ISNUMBER(M129), $B145 * N129, "")</f>
        <v>-883.39222614840992</v>
      </c>
      <c r="Q129" s="251"/>
      <c r="R129" s="251"/>
      <c r="S129" s="251"/>
    </row>
    <row r="130" spans="1:19" ht="17.25" thickBot="1">
      <c r="A130" s="162" t="s">
        <v>201</v>
      </c>
      <c r="B130" s="129">
        <v>87.8</v>
      </c>
      <c r="C130" s="80">
        <v>-6.7940552000000001E-2</v>
      </c>
      <c r="D130" s="106">
        <v>88.4</v>
      </c>
      <c r="E130" s="107">
        <f>IF(ISNUMBER(D130), (D130 - $B130) / $B130, "")</f>
        <v>6.833712984054767E-3</v>
      </c>
      <c r="F130" s="108">
        <f>IF(ISNUMBER(D130), $B145 * E130, "")</f>
        <v>683.37129840547675</v>
      </c>
      <c r="G130" s="109">
        <v>84.6</v>
      </c>
      <c r="H130" s="107">
        <f>IF(ISNUMBER(G130), (G130 - $B130) / $B130, "")</f>
        <v>-3.6446469248291605E-2</v>
      </c>
      <c r="I130" s="110">
        <f>IF(ISNUMBER(G130), $B145 * H130, "")</f>
        <v>-3644.6469248291605</v>
      </c>
      <c r="J130" s="106">
        <v>84.7</v>
      </c>
      <c r="K130" s="107">
        <f>IF(ISNUMBER(J130), (J130 - $B130) / $B130, "")</f>
        <v>-3.5307517084282397E-2</v>
      </c>
      <c r="L130" s="108">
        <f>IF(ISNUMBER(J130), $B145 * K130, "")</f>
        <v>-3530.7517084282399</v>
      </c>
      <c r="M130" s="109">
        <v>84.9</v>
      </c>
      <c r="N130" s="107">
        <f>IF(ISNUMBER(M130), (M130 - $B130) / $B130, "")</f>
        <v>-3.3029612756264141E-2</v>
      </c>
      <c r="O130" s="108">
        <f>IF(ISNUMBER(M130), $B145 * N130, "")</f>
        <v>-3302.9612756264141</v>
      </c>
      <c r="Q130" s="251"/>
      <c r="R130" s="251"/>
      <c r="S130" s="251"/>
    </row>
    <row r="131" spans="1:19" ht="17.25" thickBot="1">
      <c r="A131" s="162" t="s">
        <v>261</v>
      </c>
      <c r="B131" s="126">
        <v>53</v>
      </c>
      <c r="C131" s="77">
        <v>-7.1803852900000006E-2</v>
      </c>
      <c r="D131" s="15">
        <v>53.3</v>
      </c>
      <c r="E131" s="32">
        <f t="shared" ref="E131:E134" si="66">IF(ISNUMBER(D131), (D131 - $B131) / $B131, "")</f>
        <v>5.6603773584905127E-3</v>
      </c>
      <c r="F131" s="18">
        <f>IF(ISNUMBER(D131), $B145 * E131, "")</f>
        <v>566.03773584905127</v>
      </c>
      <c r="G131" s="31">
        <v>53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52.8</v>
      </c>
      <c r="K131" s="32">
        <f t="shared" ref="K131:K134" si="68">IF(ISNUMBER(J131), (J131 - $B131) / $B131, "")</f>
        <v>-3.7735849056604312E-3</v>
      </c>
      <c r="L131" s="18">
        <f>IF(ISNUMBER(J131), $B145 * K131, "")</f>
        <v>-377.35849056604314</v>
      </c>
      <c r="M131" s="31">
        <v>53.3</v>
      </c>
      <c r="N131" s="32">
        <f t="shared" ref="N131:N134" si="69">IF(ISNUMBER(M131), (M131 - $B131) / $B131, "")</f>
        <v>5.6603773584905127E-3</v>
      </c>
      <c r="O131" s="18">
        <f>IF(ISNUMBER(M131), $B145 * N131, "")</f>
        <v>566.03773584905127</v>
      </c>
      <c r="Q131" s="251"/>
      <c r="R131" s="251"/>
      <c r="S131" s="251"/>
    </row>
    <row r="132" spans="1:19" ht="17.25" thickBot="1">
      <c r="A132" s="162" t="s">
        <v>126</v>
      </c>
      <c r="B132" s="126">
        <v>23.9</v>
      </c>
      <c r="C132" s="77">
        <v>-8.0769230799999994E-2</v>
      </c>
      <c r="D132" s="15">
        <v>24.8</v>
      </c>
      <c r="E132" s="32">
        <f t="shared" si="66"/>
        <v>3.7656903765690468E-2</v>
      </c>
      <c r="F132" s="18">
        <f>IF(ISNUMBER(D132), $B145 * E132, "")</f>
        <v>3765.6903765690467</v>
      </c>
      <c r="G132" s="31">
        <v>25.2</v>
      </c>
      <c r="H132" s="32">
        <f t="shared" si="67"/>
        <v>5.4393305439330575E-2</v>
      </c>
      <c r="I132" s="101">
        <f>IF(ISNUMBER(G132), $B145 * H132, "")</f>
        <v>5439.3305439330579</v>
      </c>
      <c r="J132" s="15">
        <v>24.8</v>
      </c>
      <c r="K132" s="32">
        <f t="shared" si="68"/>
        <v>3.7656903765690468E-2</v>
      </c>
      <c r="L132" s="18">
        <f>IF(ISNUMBER(J132), $B145 * K132, "")</f>
        <v>3765.6903765690467</v>
      </c>
      <c r="M132" s="31">
        <v>24.6</v>
      </c>
      <c r="N132" s="32">
        <f t="shared" si="69"/>
        <v>2.9288702928870414E-2</v>
      </c>
      <c r="O132" s="18">
        <f>IF(ISNUMBER(M132), $B145 * N132, "")</f>
        <v>2928.8702928870416</v>
      </c>
      <c r="Q132" s="251"/>
      <c r="R132" s="251"/>
      <c r="S132" s="251"/>
    </row>
    <row r="133" spans="1:19" ht="17.25" thickBot="1">
      <c r="A133" s="162" t="s">
        <v>219</v>
      </c>
      <c r="B133" s="126">
        <v>8.35</v>
      </c>
      <c r="C133" s="77">
        <v>-8.2417582399999995E-2</v>
      </c>
      <c r="D133" s="15">
        <v>10.5</v>
      </c>
      <c r="E133" s="32">
        <f t="shared" si="66"/>
        <v>0.25748502994011979</v>
      </c>
      <c r="F133" s="18">
        <f>IF(ISNUMBER(D133), $B145 * E133, "")</f>
        <v>25748.502994011978</v>
      </c>
      <c r="G133" s="31">
        <v>9.7799999999999994</v>
      </c>
      <c r="H133" s="32">
        <f t="shared" si="67"/>
        <v>0.17125748502994009</v>
      </c>
      <c r="I133" s="101">
        <f>IF(ISNUMBER(G133), $B145 * H133, "")</f>
        <v>17125.748502994011</v>
      </c>
      <c r="J133" s="15">
        <v>9.99</v>
      </c>
      <c r="K133" s="32">
        <f t="shared" si="68"/>
        <v>0.1964071856287426</v>
      </c>
      <c r="L133" s="18">
        <f>IF(ISNUMBER(J133), $B145 * K133, "")</f>
        <v>19640.718562874259</v>
      </c>
      <c r="M133" s="31">
        <v>9.81</v>
      </c>
      <c r="N133" s="32">
        <f t="shared" si="69"/>
        <v>0.1748502994011977</v>
      </c>
      <c r="O133" s="18">
        <f>IF(ISNUMBER(M133), $B145 * N133, "")</f>
        <v>17485.02994011977</v>
      </c>
      <c r="Q133" s="33"/>
      <c r="R133" s="33"/>
    </row>
    <row r="134" spans="1:19" ht="17.25" thickBot="1">
      <c r="A134" s="130" t="s">
        <v>210</v>
      </c>
      <c r="B134" s="131">
        <v>54</v>
      </c>
      <c r="C134" s="79">
        <v>-8.4745762700000005E-2</v>
      </c>
      <c r="D134" s="24">
        <v>55.1</v>
      </c>
      <c r="E134" s="25">
        <f t="shared" si="66"/>
        <v>2.0370370370370396E-2</v>
      </c>
      <c r="F134" s="104">
        <f>IF(ISNUMBER(D134), $B145 * E134, "")</f>
        <v>2037.0370370370397</v>
      </c>
      <c r="G134" s="102">
        <v>54.3</v>
      </c>
      <c r="H134" s="25">
        <f t="shared" si="67"/>
        <v>5.5555555555555029E-3</v>
      </c>
      <c r="I134" s="103">
        <f>IF(ISNUMBER(G134), $B145 * H134, "")</f>
        <v>555.55555555555031</v>
      </c>
      <c r="J134" s="24">
        <v>53.9</v>
      </c>
      <c r="K134" s="25">
        <f t="shared" si="68"/>
        <v>-1.8518518518518782E-3</v>
      </c>
      <c r="L134" s="104">
        <f>IF(ISNUMBER(J134), $B145 * K134, "")</f>
        <v>-185.18518518518781</v>
      </c>
      <c r="M134" s="102">
        <v>53.3</v>
      </c>
      <c r="N134" s="25">
        <f t="shared" si="69"/>
        <v>-1.2962962962963016E-2</v>
      </c>
      <c r="O134" s="104">
        <f>IF(ISNUMBER(M134), $B145 * N134, "")</f>
        <v>-1296.2962962963015</v>
      </c>
      <c r="Q134" s="252"/>
      <c r="R134" s="253"/>
      <c r="S134" s="254"/>
    </row>
    <row r="135" spans="1:19">
      <c r="A135" s="161" t="s">
        <v>234</v>
      </c>
      <c r="B135" s="124">
        <v>87.2</v>
      </c>
      <c r="C135" s="76">
        <v>-0.13663366339999999</v>
      </c>
      <c r="D135" s="13">
        <v>81.8</v>
      </c>
      <c r="E135" s="14">
        <f>IF(ISNUMBER(D135), (D135 - $B135) / $B135, "")</f>
        <v>-6.1926605504587222E-2</v>
      </c>
      <c r="F135" s="16">
        <f>IF(ISNUMBER(D135), $B145 * E135, "")</f>
        <v>-6192.6605504587224</v>
      </c>
      <c r="G135" s="29">
        <v>78.2</v>
      </c>
      <c r="H135" s="14">
        <f>IF(ISNUMBER(G135), (G135 - $B135) / $B135, "")</f>
        <v>-0.10321100917431192</v>
      </c>
      <c r="I135" s="100">
        <f>IF(ISNUMBER(G135), $B145 * H135, "")</f>
        <v>-10321.100917431191</v>
      </c>
      <c r="J135" s="13">
        <v>79.099999999999994</v>
      </c>
      <c r="K135" s="14">
        <f>IF(ISNUMBER(J135), (J135 - $B135) / $B135, "")</f>
        <v>-9.2889908256880829E-2</v>
      </c>
      <c r="L135" s="16">
        <f>IF(ISNUMBER(J135), $B145 * K135, "")</f>
        <v>-9288.9908256880826</v>
      </c>
      <c r="M135" s="29">
        <v>78.7</v>
      </c>
      <c r="N135" s="14">
        <f>IF(ISNUMBER(M135), (M135 - $B135) / $B135, "")</f>
        <v>-9.7477064220183485E-2</v>
      </c>
      <c r="O135" s="16">
        <f>IF(ISNUMBER(M135), $B145 * N135, "")</f>
        <v>-9747.7064220183493</v>
      </c>
      <c r="Q135" s="255"/>
      <c r="R135" s="256"/>
      <c r="S135" s="257"/>
    </row>
    <row r="136" spans="1:19" ht="17.25" thickBot="1">
      <c r="A136" s="162" t="s">
        <v>122</v>
      </c>
      <c r="B136" s="126">
        <v>23.6</v>
      </c>
      <c r="C136" s="77">
        <v>-0.15714285710000001</v>
      </c>
      <c r="D136" s="15">
        <v>19.3</v>
      </c>
      <c r="E136" s="32">
        <f t="shared" ref="E136:E139" si="70">IF(ISNUMBER(D136), (D136 - $B136) / $B136, "")</f>
        <v>-0.18220338983050849</v>
      </c>
      <c r="F136" s="18">
        <f>IF(ISNUMBER(D136), $B145 * E136, "")</f>
        <v>-18220.338983050849</v>
      </c>
      <c r="G136" s="31">
        <v>19.5</v>
      </c>
      <c r="H136" s="32">
        <f t="shared" ref="H136:H139" si="71">IF(ISNUMBER(G136), (G136 - $B136) / $B136, "")</f>
        <v>-0.17372881355932207</v>
      </c>
      <c r="I136" s="101">
        <f>IF(ISNUMBER(G136), $B145 * H136, "")</f>
        <v>-17372.881355932208</v>
      </c>
      <c r="J136" s="15">
        <v>18.899999999999999</v>
      </c>
      <c r="K136" s="32">
        <f t="shared" ref="K136:K139" si="72">IF(ISNUMBER(J136), (J136 - $B136) / $B136, "")</f>
        <v>-0.19915254237288146</v>
      </c>
      <c r="L136" s="18">
        <f>IF(ISNUMBER(J136), $B145 * K136, "")</f>
        <v>-19915.254237288147</v>
      </c>
      <c r="M136" s="31">
        <v>18.899999999999999</v>
      </c>
      <c r="N136" s="32">
        <f t="shared" ref="N136:N139" si="73">IF(ISNUMBER(M136), (M136 - $B136) / $B136, "")</f>
        <v>-0.19915254237288146</v>
      </c>
      <c r="O136" s="18">
        <f>IF(ISNUMBER(M136), $B145 * N136, "")</f>
        <v>-19915.254237288147</v>
      </c>
      <c r="Q136" s="258"/>
      <c r="R136" s="259"/>
      <c r="S136" s="260"/>
    </row>
    <row r="137" spans="1:19" ht="17.25" thickBot="1">
      <c r="A137" s="162" t="s">
        <v>171</v>
      </c>
      <c r="B137" s="126">
        <v>4.82</v>
      </c>
      <c r="C137" s="77">
        <v>-0.17039586919999999</v>
      </c>
      <c r="D137" s="15">
        <v>4.2699999999999996</v>
      </c>
      <c r="E137" s="32">
        <f t="shared" si="70"/>
        <v>-0.11410788381742752</v>
      </c>
      <c r="F137" s="18">
        <f>IF(ISNUMBER(D137), $B145 * E137, "")</f>
        <v>-11410.788381742752</v>
      </c>
      <c r="G137" s="31">
        <v>4.2300000000000004</v>
      </c>
      <c r="H137" s="32">
        <f t="shared" si="71"/>
        <v>-0.12240663900414935</v>
      </c>
      <c r="I137" s="101">
        <f>IF(ISNUMBER(G137), $B145 * H137, "")</f>
        <v>-12240.663900414935</v>
      </c>
      <c r="J137" s="15">
        <v>4.13</v>
      </c>
      <c r="K137" s="32">
        <f t="shared" si="72"/>
        <v>-0.14315352697095443</v>
      </c>
      <c r="L137" s="18">
        <f>IF(ISNUMBER(J137), $B145 * K137, "")</f>
        <v>-14315.352697095443</v>
      </c>
      <c r="M137" s="31">
        <v>4.0999999999999996</v>
      </c>
      <c r="N137" s="32">
        <f t="shared" si="73"/>
        <v>-0.14937759336099599</v>
      </c>
      <c r="O137" s="18">
        <f>IF(ISNUMBER(M137), $B145 * N137, "")</f>
        <v>-14937.759336099598</v>
      </c>
      <c r="Q137" s="251"/>
      <c r="R137" s="251"/>
      <c r="S137" s="251"/>
    </row>
    <row r="138" spans="1:19" ht="17.25" thickBot="1">
      <c r="A138" s="162" t="s">
        <v>263</v>
      </c>
      <c r="B138" s="126">
        <v>26.7</v>
      </c>
      <c r="C138" s="77">
        <v>-0.1759259259</v>
      </c>
      <c r="D138" s="15">
        <v>25</v>
      </c>
      <c r="E138" s="32">
        <f t="shared" si="70"/>
        <v>-6.3670411985018702E-2</v>
      </c>
      <c r="F138" s="18">
        <f>IF(ISNUMBER(D138), $B145 * E138, "")</f>
        <v>-6367.04119850187</v>
      </c>
      <c r="G138" s="31">
        <v>24.7</v>
      </c>
      <c r="H138" s="32">
        <f t="shared" si="71"/>
        <v>-7.4906367041198504E-2</v>
      </c>
      <c r="I138" s="101">
        <f>IF(ISNUMBER(G138), $B145 * H138, "")</f>
        <v>-7490.63670411985</v>
      </c>
      <c r="J138" s="15">
        <v>24.6</v>
      </c>
      <c r="K138" s="32">
        <f t="shared" si="72"/>
        <v>-7.8651685393258355E-2</v>
      </c>
      <c r="L138" s="18">
        <f>IF(ISNUMBER(J138), $B145 * K138, "")</f>
        <v>-7865.1685393258358</v>
      </c>
      <c r="M138" s="31">
        <v>24.8</v>
      </c>
      <c r="N138" s="32">
        <f t="shared" si="73"/>
        <v>-7.1161048689138529E-2</v>
      </c>
      <c r="O138" s="18">
        <f>IF(ISNUMBER(M138), $B145 * N138, "")</f>
        <v>-7116.1048689138524</v>
      </c>
      <c r="Q138" s="261"/>
      <c r="R138" s="261"/>
      <c r="S138" s="261"/>
    </row>
    <row r="139" spans="1:19" ht="17.25" thickBot="1">
      <c r="A139" s="163" t="s">
        <v>206</v>
      </c>
      <c r="B139" s="128">
        <v>89.4</v>
      </c>
      <c r="C139" s="78">
        <v>-0.17981651379999999</v>
      </c>
      <c r="D139" s="20">
        <v>75.7</v>
      </c>
      <c r="E139" s="21">
        <f t="shared" si="70"/>
        <v>-0.15324384787472037</v>
      </c>
      <c r="F139" s="22">
        <f>IF(ISNUMBER(D139), $B145 * E139, "")</f>
        <v>-15324.384787472038</v>
      </c>
      <c r="G139" s="30">
        <v>74</v>
      </c>
      <c r="H139" s="21">
        <f t="shared" si="71"/>
        <v>-0.17225950782997768</v>
      </c>
      <c r="I139" s="105">
        <f>IF(ISNUMBER(G139), $B145 * H139, "")</f>
        <v>-17225.950782997767</v>
      </c>
      <c r="J139" s="20">
        <v>72.7</v>
      </c>
      <c r="K139" s="21">
        <f t="shared" si="72"/>
        <v>-0.18680089485458615</v>
      </c>
      <c r="L139" s="22">
        <f>IF(ISNUMBER(J139), $B145 * K139, "")</f>
        <v>-18680.089485458615</v>
      </c>
      <c r="M139" s="30">
        <v>72</v>
      </c>
      <c r="N139" s="21">
        <f t="shared" si="73"/>
        <v>-0.19463087248322153</v>
      </c>
      <c r="O139" s="22">
        <f>IF(ISNUMBER(M139), $B145 * N139, "")</f>
        <v>-19463.087248322154</v>
      </c>
      <c r="Q139" s="261"/>
      <c r="R139" s="261"/>
      <c r="S139" s="261"/>
    </row>
    <row r="140" spans="1:19" ht="17.25" thickBot="1">
      <c r="A140" s="162" t="s">
        <v>249</v>
      </c>
      <c r="B140" s="129">
        <v>19.600000000000001</v>
      </c>
      <c r="C140" s="80">
        <v>-0.19008264459999999</v>
      </c>
      <c r="D140" s="106">
        <v>17.5</v>
      </c>
      <c r="E140" s="107">
        <f>IF(ISNUMBER(D140), (D140 - $B140) / $B140, "")</f>
        <v>-0.10714285714285721</v>
      </c>
      <c r="F140" s="108">
        <f>IF(ISNUMBER(D140), $B145 * E140, "")</f>
        <v>-10714.285714285721</v>
      </c>
      <c r="G140" s="109">
        <v>17</v>
      </c>
      <c r="H140" s="107">
        <f>IF(ISNUMBER(G140), (G140 - $B140) / $B140, "")</f>
        <v>-0.13265306122448986</v>
      </c>
      <c r="I140" s="110">
        <f>IF(ISNUMBER(G140), $B145 * H140, "")</f>
        <v>-13265.306122448987</v>
      </c>
      <c r="J140" s="106">
        <v>16.399999999999999</v>
      </c>
      <c r="K140" s="107">
        <f>IF(ISNUMBER(J140), (J140 - $B140) / $B140, "")</f>
        <v>-0.16326530612244911</v>
      </c>
      <c r="L140" s="108">
        <f>IF(ISNUMBER(J140), $B145 * K140, "")</f>
        <v>-16326.530612244911</v>
      </c>
      <c r="M140" s="109">
        <v>16.399999999999999</v>
      </c>
      <c r="N140" s="107">
        <f>IF(ISNUMBER(M140), (M140 - $B140) / $B140, "")</f>
        <v>-0.16326530612244911</v>
      </c>
      <c r="O140" s="108">
        <f>IF(ISNUMBER(M140), $B145 * N140, "")</f>
        <v>-16326.530612244911</v>
      </c>
      <c r="Q140" s="251"/>
      <c r="R140" s="251"/>
      <c r="S140" s="251"/>
    </row>
    <row r="141" spans="1:19" ht="17.25" thickBot="1">
      <c r="A141" s="162" t="s">
        <v>215</v>
      </c>
      <c r="B141" s="126">
        <v>5.55</v>
      </c>
      <c r="C141" s="77">
        <v>-0.1909620991</v>
      </c>
      <c r="D141" s="15">
        <v>4.97</v>
      </c>
      <c r="E141" s="32">
        <f t="shared" ref="E141:E144" si="74">IF(ISNUMBER(D141), (D141 - $B141) / $B141, "")</f>
        <v>-0.10450450450450452</v>
      </c>
      <c r="F141" s="18">
        <f>IF(ISNUMBER(D141), $B145 * E141, "")</f>
        <v>-10450.450450450451</v>
      </c>
      <c r="G141" s="31">
        <v>4.67</v>
      </c>
      <c r="H141" s="32">
        <f t="shared" ref="H141:H144" si="75">IF(ISNUMBER(G141), (G141 - $B141) / $B141, "")</f>
        <v>-0.15855855855855855</v>
      </c>
      <c r="I141" s="101">
        <f>IF(ISNUMBER(G141), $B145 * H141, "")</f>
        <v>-15855.855855855854</v>
      </c>
      <c r="J141" s="15">
        <v>4.55</v>
      </c>
      <c r="K141" s="32">
        <f t="shared" ref="K141:K144" si="76">IF(ISNUMBER(J141), (J141 - $B141) / $B141, "")</f>
        <v>-0.1801801801801802</v>
      </c>
      <c r="L141" s="18">
        <f>IF(ISNUMBER(J141), $B145 * K141, "")</f>
        <v>-18018.018018018021</v>
      </c>
      <c r="M141" s="31">
        <v>4.55</v>
      </c>
      <c r="N141" s="32">
        <f t="shared" ref="N141:N144" si="77">IF(ISNUMBER(M141), (M141 - $B141) / $B141, "")</f>
        <v>-0.1801801801801802</v>
      </c>
      <c r="O141" s="18">
        <f>IF(ISNUMBER(M141), $B145 * N141, "")</f>
        <v>-18018.018018018021</v>
      </c>
      <c r="Q141" s="251"/>
      <c r="R141" s="251"/>
      <c r="S141" s="251"/>
    </row>
    <row r="142" spans="1:19" ht="17.25" thickBot="1">
      <c r="A142" s="162" t="s">
        <v>233</v>
      </c>
      <c r="B142" s="126">
        <v>17.7</v>
      </c>
      <c r="C142" s="77">
        <v>-0.19178082190000001</v>
      </c>
      <c r="D142" s="15">
        <v>15</v>
      </c>
      <c r="E142" s="32">
        <f t="shared" si="74"/>
        <v>-0.15254237288135589</v>
      </c>
      <c r="F142" s="18">
        <f>IF(ISNUMBER(D142), $B145 * E142, "")</f>
        <v>-15254.23728813559</v>
      </c>
      <c r="G142" s="31">
        <v>15.8</v>
      </c>
      <c r="H142" s="32">
        <f t="shared" si="75"/>
        <v>-0.10734463276836151</v>
      </c>
      <c r="I142" s="101">
        <f>IF(ISNUMBER(G142), $B145 * H142, "")</f>
        <v>-10734.463276836152</v>
      </c>
      <c r="J142" s="15">
        <v>15.5</v>
      </c>
      <c r="K142" s="32">
        <f t="shared" si="76"/>
        <v>-0.12429378531073443</v>
      </c>
      <c r="L142" s="18">
        <f>IF(ISNUMBER(J142), $B145 * K142, "")</f>
        <v>-12429.378531073442</v>
      </c>
      <c r="M142" s="31">
        <v>15.1</v>
      </c>
      <c r="N142" s="32">
        <f t="shared" si="77"/>
        <v>-0.14689265536723162</v>
      </c>
      <c r="O142" s="18">
        <f>IF(ISNUMBER(M142), $B145 * N142, "")</f>
        <v>-14689.265536723162</v>
      </c>
      <c r="Q142" s="251"/>
      <c r="R142" s="251"/>
      <c r="S142" s="251"/>
    </row>
    <row r="143" spans="1:19">
      <c r="A143" s="162" t="s">
        <v>246</v>
      </c>
      <c r="B143" s="126">
        <v>61.9</v>
      </c>
      <c r="C143" s="77">
        <v>-0.1929595828</v>
      </c>
      <c r="D143" s="15">
        <v>52.7</v>
      </c>
      <c r="E143" s="32">
        <f t="shared" si="74"/>
        <v>-0.1486268174474959</v>
      </c>
      <c r="F143" s="18">
        <f>IF(ISNUMBER(D143), $B145 * E143, "")</f>
        <v>-14862.681744749589</v>
      </c>
      <c r="G143" s="31">
        <v>53.1</v>
      </c>
      <c r="H143" s="32">
        <f t="shared" si="75"/>
        <v>-0.14216478190630044</v>
      </c>
      <c r="I143" s="101">
        <f>IF(ISNUMBER(G143), $B145 * H143, "")</f>
        <v>-14216.478190630045</v>
      </c>
      <c r="J143" s="15">
        <v>52.7</v>
      </c>
      <c r="K143" s="32">
        <f t="shared" si="76"/>
        <v>-0.1486268174474959</v>
      </c>
      <c r="L143" s="18">
        <f>IF(ISNUMBER(J143), $B145 * K143, "")</f>
        <v>-14862.681744749589</v>
      </c>
      <c r="M143" s="31">
        <v>53.1</v>
      </c>
      <c r="N143" s="32">
        <f t="shared" si="77"/>
        <v>-0.14216478190630044</v>
      </c>
      <c r="O143" s="18">
        <f>IF(ISNUMBER(M143), $B145 * N143, "")</f>
        <v>-14216.478190630045</v>
      </c>
      <c r="Q143" s="240"/>
      <c r="R143" s="241"/>
      <c r="S143" s="242"/>
    </row>
    <row r="144" spans="1:19" ht="17.25" thickBot="1">
      <c r="A144" s="130" t="s">
        <v>277</v>
      </c>
      <c r="B144" s="131">
        <v>55.2</v>
      </c>
      <c r="C144" s="79">
        <v>-0.19650655019999999</v>
      </c>
      <c r="D144" s="24">
        <v>49.3</v>
      </c>
      <c r="E144" s="25">
        <f t="shared" si="74"/>
        <v>-0.10688405797101459</v>
      </c>
      <c r="F144" s="104">
        <f>IF(ISNUMBER(D144), $B145 * E144, "")</f>
        <v>-10688.405797101459</v>
      </c>
      <c r="G144" s="102">
        <v>49.2</v>
      </c>
      <c r="H144" s="25">
        <f t="shared" si="75"/>
        <v>-0.10869565217391304</v>
      </c>
      <c r="I144" s="103">
        <f>IF(ISNUMBER(G144), $B145 * H144, "")</f>
        <v>-10869.565217391304</v>
      </c>
      <c r="J144" s="24">
        <v>47.9</v>
      </c>
      <c r="K144" s="25">
        <f t="shared" si="76"/>
        <v>-0.13224637681159426</v>
      </c>
      <c r="L144" s="104">
        <f>IF(ISNUMBER(J144), $B145 * K144, "")</f>
        <v>-13224.637681159425</v>
      </c>
      <c r="M144" s="102">
        <v>48</v>
      </c>
      <c r="N144" s="25">
        <f t="shared" si="77"/>
        <v>-0.1304347826086957</v>
      </c>
      <c r="O144" s="104">
        <f>IF(ISNUMBER(M144), $B145 * N144, "")</f>
        <v>-13043.47826086957</v>
      </c>
      <c r="Q144" s="243"/>
      <c r="R144" s="244"/>
      <c r="S144" s="245"/>
    </row>
    <row r="145" spans="1:19" ht="17.25" thickBot="1">
      <c r="A145" s="132" t="s">
        <v>295</v>
      </c>
      <c r="B145" s="304">
        <f>$B$37</f>
        <v>100000</v>
      </c>
      <c r="C145" s="305"/>
      <c r="D145" s="26" t="s">
        <v>296</v>
      </c>
      <c r="E145" s="27">
        <f>IF(COUNT(E125:E144), SUM(E125:E144) / COUNT(E125:E144), 0)</f>
        <v>-3.9480745256514627E-2</v>
      </c>
      <c r="F145" s="28">
        <f>SUM(F125:F144)</f>
        <v>-78961.490513029246</v>
      </c>
      <c r="G145" s="26" t="s">
        <v>296</v>
      </c>
      <c r="H145" s="27">
        <f>IF(COUNT(H125:H144), SUM(H125:H144) / COUNT(H125:H144), 0)</f>
        <v>-5.4109789200283996E-2</v>
      </c>
      <c r="I145" s="28">
        <f>SUM(I125:I144)</f>
        <v>-108219.57840056799</v>
      </c>
      <c r="J145" s="26" t="s">
        <v>296</v>
      </c>
      <c r="K145" s="27">
        <f>IF(COUNT(K125:K144), SUM(K125:K144) / COUNT(K125:K144), 0)</f>
        <v>-6.2473733106740072E-2</v>
      </c>
      <c r="L145" s="28">
        <f>SUM(L125:L144)</f>
        <v>-124947.4662134801</v>
      </c>
      <c r="M145" s="26" t="s">
        <v>296</v>
      </c>
      <c r="N145" s="27">
        <f>IF(COUNT(N125:N144), SUM(N125:N144) / COUNT(N125:N144), 0)</f>
        <v>-6.577021896824202E-2</v>
      </c>
      <c r="O145" s="28">
        <f>SUM(O125:O144)</f>
        <v>-131540.43793648406</v>
      </c>
      <c r="Q145" s="246"/>
      <c r="R145" s="247"/>
      <c r="S145" s="248"/>
    </row>
    <row r="147" spans="1:19" ht="17.25" thickBot="1"/>
    <row r="148" spans="1:19" ht="17.25" thickBot="1">
      <c r="A148" s="262" t="s">
        <v>284</v>
      </c>
      <c r="B148" s="263"/>
      <c r="C148" s="263"/>
      <c r="D148" s="263"/>
      <c r="E148" s="263"/>
      <c r="F148" s="263"/>
      <c r="G148" s="263"/>
      <c r="H148" s="263"/>
      <c r="I148" s="263"/>
      <c r="J148" s="263"/>
      <c r="K148" s="263"/>
      <c r="L148" s="263"/>
      <c r="M148" s="263"/>
      <c r="N148" s="263"/>
      <c r="O148" s="264"/>
      <c r="Q148" s="261"/>
      <c r="R148" s="261"/>
      <c r="S148" s="261"/>
    </row>
    <row r="149" spans="1:19" ht="17.25" thickBot="1">
      <c r="A149" s="224" t="s">
        <v>292</v>
      </c>
      <c r="B149" s="262" t="s">
        <v>49</v>
      </c>
      <c r="C149" s="264"/>
      <c r="D149" s="262" t="s">
        <v>58</v>
      </c>
      <c r="E149" s="263"/>
      <c r="F149" s="264"/>
      <c r="G149" s="265">
        <f>_xlfn.IFNA(VLOOKUP(B149, 현재가테이블!$B$2:$D$200, 2, FALSE), "-")</f>
        <v>40538000</v>
      </c>
      <c r="H149" s="266"/>
      <c r="I149" s="267"/>
      <c r="J149" s="262" t="s">
        <v>59</v>
      </c>
      <c r="K149" s="263"/>
      <c r="L149" s="264"/>
      <c r="M149" s="268">
        <f>_xlfn.IFNA(VLOOKUP(B149, 현재가테이블!$B$2:$D$200, 3, FALSE), "-")</f>
        <v>-3.68275993E-2</v>
      </c>
      <c r="N149" s="269"/>
      <c r="O149" s="270"/>
      <c r="Q149" s="261"/>
      <c r="R149" s="261"/>
      <c r="S149" s="261"/>
    </row>
    <row r="150" spans="1:19" ht="17.25" thickBot="1">
      <c r="A150" s="306" t="s">
        <v>55</v>
      </c>
      <c r="B150" s="302" t="str">
        <f>TEXT($G$1, "[$-ko-KR]yyyy-mm-dd(ddd) ") &amp; "오전 00:00"</f>
        <v>2021-06-17(목) 오전 00:00</v>
      </c>
      <c r="C150" s="303"/>
      <c r="D150" s="275" t="str">
        <f>TEXT($G$1, "[$-ko-KR]yyyy-mm-dd(ddd) ") &amp; "오후 14:00"</f>
        <v>2021-06-17(목) 오후 14:00</v>
      </c>
      <c r="E150" s="276"/>
      <c r="F150" s="277"/>
      <c r="G150" s="275" t="str">
        <f>TEXT($G$1, "[$-ko-KR]yyyy-mm-dd(ddd) ") &amp; "오후 19:00"</f>
        <v>2021-06-17(목) 오후 19:00</v>
      </c>
      <c r="H150" s="276"/>
      <c r="I150" s="277"/>
      <c r="J150" s="275" t="str">
        <f>TEXT($G$1, "[$-ko-KR]yyyy-mm-dd(ddd) ") &amp; "오후 21:00"</f>
        <v>2021-06-17(목) 오후 21:00</v>
      </c>
      <c r="K150" s="276"/>
      <c r="L150" s="277"/>
      <c r="M150" s="275" t="str">
        <f>TEXT($G$1+1, "[$-ko-KR]yyyy-mm-dd(ddd) ") &amp; "오전 00:00"</f>
        <v>2021-06-18(금) 오전 00:00</v>
      </c>
      <c r="N150" s="276"/>
      <c r="O150" s="277"/>
      <c r="Q150" s="261"/>
      <c r="R150" s="261"/>
      <c r="S150" s="261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5" t="s">
        <v>58</v>
      </c>
      <c r="H151" s="226" t="s">
        <v>293</v>
      </c>
      <c r="I151" s="22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1"/>
      <c r="R151" s="251"/>
      <c r="S151" s="251"/>
    </row>
    <row r="152" spans="1:19" ht="17.25" thickBot="1">
      <c r="A152" s="161" t="s">
        <v>116</v>
      </c>
      <c r="B152" s="124">
        <v>317</v>
      </c>
      <c r="C152" s="76">
        <v>-4.2296072499999997E-2</v>
      </c>
      <c r="D152" s="13">
        <v>326</v>
      </c>
      <c r="E152" s="14">
        <f>IF(ISNUMBER(D152), (D152 - $B152) / $B152, "")</f>
        <v>2.8391167192429023E-2</v>
      </c>
      <c r="F152" s="16">
        <f>IF(ISNUMBER(D152), $B172 * E152, "")</f>
        <v>2839.116719242902</v>
      </c>
      <c r="G152" s="29">
        <v>324</v>
      </c>
      <c r="H152" s="14">
        <f>IF(ISNUMBER(G152), (G152 - $B152) / $B152, "")</f>
        <v>2.2082018927444796E-2</v>
      </c>
      <c r="I152" s="100">
        <f>IF(ISNUMBER(G152), $B172 * H152, "")</f>
        <v>2208.2018927444797</v>
      </c>
      <c r="J152" s="13">
        <v>322</v>
      </c>
      <c r="K152" s="14">
        <f>IF(ISNUMBER(J152), (J152 - $B152) / $B152, "")</f>
        <v>1.5772870662460567E-2</v>
      </c>
      <c r="L152" s="16">
        <f>IF(ISNUMBER(J152), $B172 * K152, "")</f>
        <v>1577.2870662460566</v>
      </c>
      <c r="M152" s="29">
        <v>324</v>
      </c>
      <c r="N152" s="14">
        <f>IF(ISNUMBER(M152), (M152 - $B152) / $B152, "")</f>
        <v>2.2082018927444796E-2</v>
      </c>
      <c r="O152" s="16">
        <f>IF(ISNUMBER(M152), $B172 * N152, "")</f>
        <v>2208.2018927444797</v>
      </c>
      <c r="Q152" s="261"/>
      <c r="R152" s="261"/>
      <c r="S152" s="261"/>
    </row>
    <row r="153" spans="1:19" ht="17.25" thickBot="1">
      <c r="A153" s="162" t="s">
        <v>253</v>
      </c>
      <c r="B153" s="126">
        <v>402</v>
      </c>
      <c r="C153" s="77">
        <v>-4.2857142899999999E-2</v>
      </c>
      <c r="D153" s="15">
        <v>400</v>
      </c>
      <c r="E153" s="32">
        <f t="shared" ref="E153:E156" si="78">IF(ISNUMBER(D153), (D153 - $B153) / $B153, "")</f>
        <v>-4.9751243781094526E-3</v>
      </c>
      <c r="F153" s="18">
        <f>IF(ISNUMBER(D153), $B172 * E153, "")</f>
        <v>-497.51243781094524</v>
      </c>
      <c r="G153" s="31">
        <v>400</v>
      </c>
      <c r="H153" s="32">
        <f t="shared" ref="H153:H156" si="79">IF(ISNUMBER(G153), (G153 - $B153) / $B153, "")</f>
        <v>-4.9751243781094526E-3</v>
      </c>
      <c r="I153" s="101">
        <f>IF(ISNUMBER(G153), $B172 * H153, "")</f>
        <v>-497.51243781094524</v>
      </c>
      <c r="J153" s="15">
        <v>401</v>
      </c>
      <c r="K153" s="32">
        <f t="shared" ref="K153:K156" si="80">IF(ISNUMBER(J153), (J153 - $B153) / $B153, "")</f>
        <v>-2.4875621890547263E-3</v>
      </c>
      <c r="L153" s="18">
        <f>IF(ISNUMBER(J153), $B172 * K153, "")</f>
        <v>-248.75621890547262</v>
      </c>
      <c r="M153" s="31">
        <v>398</v>
      </c>
      <c r="N153" s="32">
        <f t="shared" ref="N153:N156" si="81">IF(ISNUMBER(M153), (M153 - $B153) / $B153, "")</f>
        <v>-9.9502487562189053E-3</v>
      </c>
      <c r="O153" s="18">
        <f>IF(ISNUMBER(M153), $B172 * N153, "")</f>
        <v>-995.02487562189049</v>
      </c>
      <c r="Q153" s="261"/>
      <c r="R153" s="261"/>
      <c r="S153" s="261"/>
    </row>
    <row r="154" spans="1:19" ht="17.25" thickBot="1">
      <c r="A154" s="162" t="s">
        <v>57</v>
      </c>
      <c r="B154" s="126">
        <v>194</v>
      </c>
      <c r="C154" s="77">
        <v>-4.4334975399999997E-2</v>
      </c>
      <c r="D154" s="15">
        <v>195</v>
      </c>
      <c r="E154" s="32">
        <f t="shared" si="78"/>
        <v>5.1546391752577319E-3</v>
      </c>
      <c r="F154" s="18">
        <f>IF(ISNUMBER(D154), $B172 * E154, "")</f>
        <v>515.46391752577324</v>
      </c>
      <c r="G154" s="31">
        <v>197</v>
      </c>
      <c r="H154" s="32">
        <f t="shared" si="79"/>
        <v>1.5463917525773196E-2</v>
      </c>
      <c r="I154" s="101">
        <f>IF(ISNUMBER(G154), $B172 * H154, "")</f>
        <v>1546.3917525773197</v>
      </c>
      <c r="J154" s="15">
        <v>195</v>
      </c>
      <c r="K154" s="32">
        <f t="shared" si="80"/>
        <v>5.1546391752577319E-3</v>
      </c>
      <c r="L154" s="18">
        <f>IF(ISNUMBER(J154), $B172 * K154, "")</f>
        <v>515.46391752577324</v>
      </c>
      <c r="M154" s="31">
        <v>194</v>
      </c>
      <c r="N154" s="32">
        <f t="shared" si="81"/>
        <v>0</v>
      </c>
      <c r="O154" s="18">
        <f>IF(ISNUMBER(M154), $B172 * N154, "")</f>
        <v>0</v>
      </c>
      <c r="Q154" s="251"/>
      <c r="R154" s="251"/>
      <c r="S154" s="251"/>
    </row>
    <row r="155" spans="1:19" ht="17.25" thickBot="1">
      <c r="A155" s="162" t="s">
        <v>242</v>
      </c>
      <c r="B155" s="126">
        <v>250</v>
      </c>
      <c r="C155" s="77">
        <v>-4.9429657799999999E-2</v>
      </c>
      <c r="D155" s="15">
        <v>249</v>
      </c>
      <c r="E155" s="32">
        <f t="shared" si="78"/>
        <v>-4.0000000000000001E-3</v>
      </c>
      <c r="F155" s="18">
        <f>IF(ISNUMBER(D155), $B172 * E155, "")</f>
        <v>-400</v>
      </c>
      <c r="G155" s="31">
        <v>249</v>
      </c>
      <c r="H155" s="32">
        <f t="shared" si="79"/>
        <v>-4.0000000000000001E-3</v>
      </c>
      <c r="I155" s="101">
        <f>IF(ISNUMBER(G155), $B172 * H155, "")</f>
        <v>-400</v>
      </c>
      <c r="J155" s="15">
        <v>247</v>
      </c>
      <c r="K155" s="32">
        <f t="shared" si="80"/>
        <v>-1.2E-2</v>
      </c>
      <c r="L155" s="18">
        <f>IF(ISNUMBER(J155), $B172 * K155, "")</f>
        <v>-1200</v>
      </c>
      <c r="M155" s="31">
        <v>250</v>
      </c>
      <c r="N155" s="32">
        <f t="shared" si="81"/>
        <v>0</v>
      </c>
      <c r="O155" s="18">
        <f>IF(ISNUMBER(M155), $B172 * N155, "")</f>
        <v>0</v>
      </c>
      <c r="Q155" s="251"/>
      <c r="R155" s="251"/>
      <c r="S155" s="251"/>
    </row>
    <row r="156" spans="1:19" ht="17.25" thickBot="1">
      <c r="A156" s="163" t="s">
        <v>257</v>
      </c>
      <c r="B156" s="128">
        <v>477</v>
      </c>
      <c r="C156" s="78">
        <v>-4.9800796799999998E-2</v>
      </c>
      <c r="D156" s="20">
        <v>482</v>
      </c>
      <c r="E156" s="21">
        <f t="shared" si="78"/>
        <v>1.0482180293501049E-2</v>
      </c>
      <c r="F156" s="22">
        <f>IF(ISNUMBER(D156), $B172 * E156, "")</f>
        <v>1048.2180293501049</v>
      </c>
      <c r="G156" s="30">
        <v>482</v>
      </c>
      <c r="H156" s="21">
        <f t="shared" si="79"/>
        <v>1.0482180293501049E-2</v>
      </c>
      <c r="I156" s="105">
        <f>IF(ISNUMBER(G156), $B172 * H156, "")</f>
        <v>1048.2180293501049</v>
      </c>
      <c r="J156" s="20">
        <v>479</v>
      </c>
      <c r="K156" s="21">
        <f t="shared" si="80"/>
        <v>4.1928721174004195E-3</v>
      </c>
      <c r="L156" s="22">
        <f>IF(ISNUMBER(J156), $B172 * K156, "")</f>
        <v>419.28721174004193</v>
      </c>
      <c r="M156" s="30">
        <v>474</v>
      </c>
      <c r="N156" s="21">
        <f t="shared" si="81"/>
        <v>-6.2893081761006293E-3</v>
      </c>
      <c r="O156" s="22">
        <f>IF(ISNUMBER(M156), $B172 * N156, "")</f>
        <v>-628.93081761006295</v>
      </c>
      <c r="Q156" s="251"/>
      <c r="R156" s="251"/>
      <c r="S156" s="251"/>
    </row>
    <row r="157" spans="1:19" ht="17.25" thickBot="1">
      <c r="A157" s="162" t="s">
        <v>181</v>
      </c>
      <c r="B157" s="129">
        <v>228</v>
      </c>
      <c r="C157" s="80">
        <v>-0.05</v>
      </c>
      <c r="D157" s="106">
        <v>229</v>
      </c>
      <c r="E157" s="107">
        <f>IF(ISNUMBER(D157), (D157 - $B157) / $B157, "")</f>
        <v>4.3859649122807015E-3</v>
      </c>
      <c r="F157" s="108">
        <f>IF(ISNUMBER(D157), $B172 * E157, "")</f>
        <v>438.59649122807014</v>
      </c>
      <c r="G157" s="109">
        <v>229</v>
      </c>
      <c r="H157" s="107">
        <f>IF(ISNUMBER(G157), (G157 - $B157) / $B157, "")</f>
        <v>4.3859649122807015E-3</v>
      </c>
      <c r="I157" s="110">
        <f>IF(ISNUMBER(G157), $B172 * H157, "")</f>
        <v>438.59649122807014</v>
      </c>
      <c r="J157" s="106">
        <v>230</v>
      </c>
      <c r="K157" s="107">
        <f>IF(ISNUMBER(J157), (J157 - $B157) / $B157, "")</f>
        <v>8.771929824561403E-3</v>
      </c>
      <c r="L157" s="108">
        <f>IF(ISNUMBER(J157), $B172 * K157, "")</f>
        <v>877.19298245614027</v>
      </c>
      <c r="M157" s="109">
        <v>227</v>
      </c>
      <c r="N157" s="107">
        <f>IF(ISNUMBER(M157), (M157 - $B157) / $B157, "")</f>
        <v>-4.3859649122807015E-3</v>
      </c>
      <c r="O157" s="108">
        <f>IF(ISNUMBER(M157), $B172 * N157, "")</f>
        <v>-438.59649122807014</v>
      </c>
      <c r="Q157" s="251"/>
      <c r="R157" s="251"/>
      <c r="S157" s="251"/>
    </row>
    <row r="158" spans="1:19" ht="17.25" thickBot="1">
      <c r="A158" s="162" t="s">
        <v>128</v>
      </c>
      <c r="B158" s="126">
        <v>296</v>
      </c>
      <c r="C158" s="77">
        <v>-5.1282051299999999E-2</v>
      </c>
      <c r="D158" s="15">
        <v>300</v>
      </c>
      <c r="E158" s="32">
        <f t="shared" ref="E158:E161" si="82">IF(ISNUMBER(D158), (D158 - $B158) / $B158, "")</f>
        <v>1.3513513513513514E-2</v>
      </c>
      <c r="F158" s="18">
        <f>IF(ISNUMBER(D158), $B172 * E158, "")</f>
        <v>1351.3513513513515</v>
      </c>
      <c r="G158" s="31">
        <v>300</v>
      </c>
      <c r="H158" s="32">
        <f t="shared" ref="H158:H161" si="83">IF(ISNUMBER(G158), (G158 - $B158) / $B158, "")</f>
        <v>1.3513513513513514E-2</v>
      </c>
      <c r="I158" s="101">
        <f>IF(ISNUMBER(G158), $B172 * H158, "")</f>
        <v>1351.3513513513515</v>
      </c>
      <c r="J158" s="15">
        <v>300</v>
      </c>
      <c r="K158" s="32">
        <f t="shared" ref="K158:K161" si="84">IF(ISNUMBER(J158), (J158 - $B158) / $B158, "")</f>
        <v>1.3513513513513514E-2</v>
      </c>
      <c r="L158" s="18">
        <f>IF(ISNUMBER(J158), $B172 * K158, "")</f>
        <v>1351.3513513513515</v>
      </c>
      <c r="M158" s="31">
        <v>300</v>
      </c>
      <c r="N158" s="32">
        <f t="shared" ref="N158:N161" si="85">IF(ISNUMBER(M158), (M158 - $B158) / $B158, "")</f>
        <v>1.3513513513513514E-2</v>
      </c>
      <c r="O158" s="18">
        <f>IF(ISNUMBER(M158), $B172 * N158, "")</f>
        <v>1351.3513513513515</v>
      </c>
      <c r="Q158" s="251"/>
      <c r="R158" s="251"/>
      <c r="S158" s="251"/>
    </row>
    <row r="159" spans="1:19" ht="17.25" thickBot="1">
      <c r="A159" s="162" t="s">
        <v>191</v>
      </c>
      <c r="B159" s="126">
        <v>948</v>
      </c>
      <c r="C159" s="77">
        <v>-5.1999999999999998E-2</v>
      </c>
      <c r="D159" s="15">
        <v>955</v>
      </c>
      <c r="E159" s="32">
        <f t="shared" si="82"/>
        <v>7.3839662447257384E-3</v>
      </c>
      <c r="F159" s="18">
        <f>IF(ISNUMBER(D159), $B172 * E159, "")</f>
        <v>738.39662447257388</v>
      </c>
      <c r="G159" s="31">
        <v>956</v>
      </c>
      <c r="H159" s="32">
        <f t="shared" si="83"/>
        <v>8.4388185654008432E-3</v>
      </c>
      <c r="I159" s="101">
        <f>IF(ISNUMBER(G159), $B172 * H159, "")</f>
        <v>843.8818565400843</v>
      </c>
      <c r="J159" s="15">
        <v>954</v>
      </c>
      <c r="K159" s="32">
        <f t="shared" si="84"/>
        <v>6.3291139240506328E-3</v>
      </c>
      <c r="L159" s="18">
        <f>IF(ISNUMBER(J159), $B172 * K159, "")</f>
        <v>632.91139240506322</v>
      </c>
      <c r="M159" s="31">
        <v>951</v>
      </c>
      <c r="N159" s="32">
        <f t="shared" si="85"/>
        <v>3.1645569620253164E-3</v>
      </c>
      <c r="O159" s="18">
        <f>IF(ISNUMBER(M159), $B172 * N159, "")</f>
        <v>316.45569620253161</v>
      </c>
      <c r="Q159" s="251"/>
      <c r="R159" s="251"/>
      <c r="S159" s="251"/>
    </row>
    <row r="160" spans="1:19" ht="17.25" thickBot="1">
      <c r="A160" s="162" t="s">
        <v>275</v>
      </c>
      <c r="B160" s="126">
        <v>801</v>
      </c>
      <c r="C160" s="77">
        <v>-5.31914894E-2</v>
      </c>
      <c r="D160" s="15">
        <v>806</v>
      </c>
      <c r="E160" s="32">
        <f t="shared" si="82"/>
        <v>6.2421972534332081E-3</v>
      </c>
      <c r="F160" s="18">
        <f>IF(ISNUMBER(D160), $B172 * E160, "")</f>
        <v>624.21972534332076</v>
      </c>
      <c r="G160" s="31">
        <v>815</v>
      </c>
      <c r="H160" s="32">
        <f t="shared" si="83"/>
        <v>1.7478152309612985E-2</v>
      </c>
      <c r="I160" s="101">
        <f>IF(ISNUMBER(G160), $B172 * H160, "")</f>
        <v>1747.8152309612985</v>
      </c>
      <c r="J160" s="15">
        <v>815</v>
      </c>
      <c r="K160" s="32">
        <f t="shared" si="84"/>
        <v>1.7478152309612985E-2</v>
      </c>
      <c r="L160" s="18">
        <f>IF(ISNUMBER(J160), $B172 * K160, "")</f>
        <v>1747.8152309612985</v>
      </c>
      <c r="M160" s="31">
        <v>811</v>
      </c>
      <c r="N160" s="32">
        <f t="shared" si="85"/>
        <v>1.2484394506866416E-2</v>
      </c>
      <c r="O160" s="18">
        <f>IF(ISNUMBER(M160), $B172 * N160, "")</f>
        <v>1248.4394506866415</v>
      </c>
      <c r="Q160" s="33"/>
      <c r="R160" s="33"/>
    </row>
    <row r="161" spans="1:19" ht="17.25" thickBot="1">
      <c r="A161" s="130" t="s">
        <v>223</v>
      </c>
      <c r="B161" s="131">
        <v>211</v>
      </c>
      <c r="C161" s="79">
        <v>-5.38116592E-2</v>
      </c>
      <c r="D161" s="24">
        <v>211</v>
      </c>
      <c r="E161" s="25">
        <f t="shared" si="82"/>
        <v>0</v>
      </c>
      <c r="F161" s="104">
        <f>IF(ISNUMBER(D161), $B172 * E161, "")</f>
        <v>0</v>
      </c>
      <c r="G161" s="102">
        <v>210</v>
      </c>
      <c r="H161" s="25">
        <f t="shared" si="83"/>
        <v>-4.7393364928909956E-3</v>
      </c>
      <c r="I161" s="103">
        <f>IF(ISNUMBER(G161), $B172 * H161, "")</f>
        <v>-473.93364928909955</v>
      </c>
      <c r="J161" s="24">
        <v>211</v>
      </c>
      <c r="K161" s="25">
        <f t="shared" si="84"/>
        <v>0</v>
      </c>
      <c r="L161" s="104">
        <f>IF(ISNUMBER(J161), $B172 * K161, "")</f>
        <v>0</v>
      </c>
      <c r="M161" s="102">
        <v>210</v>
      </c>
      <c r="N161" s="25">
        <f t="shared" si="85"/>
        <v>-4.7393364928909956E-3</v>
      </c>
      <c r="O161" s="104">
        <f>IF(ISNUMBER(M161), $B172 * N161, "")</f>
        <v>-473.93364928909955</v>
      </c>
      <c r="Q161" s="252"/>
      <c r="R161" s="253"/>
      <c r="S161" s="254"/>
    </row>
    <row r="162" spans="1:19">
      <c r="A162" s="161" t="s">
        <v>142</v>
      </c>
      <c r="B162" s="124">
        <v>571</v>
      </c>
      <c r="C162" s="76">
        <v>-5.6198347099999997E-2</v>
      </c>
      <c r="D162" s="13">
        <v>600</v>
      </c>
      <c r="E162" s="14">
        <f>IF(ISNUMBER(D162), (D162 - $B162) / $B162, "")</f>
        <v>5.0788091068301226E-2</v>
      </c>
      <c r="F162" s="16">
        <f>IF(ISNUMBER(D162), $B172 * E162, "")</f>
        <v>5078.8091068301228</v>
      </c>
      <c r="G162" s="29">
        <v>625</v>
      </c>
      <c r="H162" s="14">
        <f>IF(ISNUMBER(G162), (G162 - $B162) / $B162, "")</f>
        <v>9.4570928196147111E-2</v>
      </c>
      <c r="I162" s="100">
        <f>IF(ISNUMBER(G162), $B172 * H162, "")</f>
        <v>9457.0928196147106</v>
      </c>
      <c r="J162" s="13">
        <v>618</v>
      </c>
      <c r="K162" s="14">
        <f>IF(ISNUMBER(J162), (J162 - $B162) / $B162, "")</f>
        <v>8.2311733800350256E-2</v>
      </c>
      <c r="L162" s="16">
        <f>IF(ISNUMBER(J162), $B172 * K162, "")</f>
        <v>8231.1733800350248</v>
      </c>
      <c r="M162" s="29">
        <v>641</v>
      </c>
      <c r="N162" s="14">
        <f>IF(ISNUMBER(M162), (M162 - $B162) / $B162, "")</f>
        <v>0.12259194395796848</v>
      </c>
      <c r="O162" s="16">
        <f>IF(ISNUMBER(M162), $B172 * N162, "")</f>
        <v>12259.194395796847</v>
      </c>
      <c r="Q162" s="255"/>
      <c r="R162" s="256"/>
      <c r="S162" s="257"/>
    </row>
    <row r="163" spans="1:19" ht="17.25" thickBot="1">
      <c r="A163" s="162" t="s">
        <v>214</v>
      </c>
      <c r="B163" s="126">
        <v>234</v>
      </c>
      <c r="C163" s="77">
        <v>-5.6451612900000003E-2</v>
      </c>
      <c r="D163" s="15">
        <v>238</v>
      </c>
      <c r="E163" s="32">
        <f t="shared" ref="E163:E166" si="86">IF(ISNUMBER(D163), (D163 - $B163) / $B163, "")</f>
        <v>1.7094017094017096E-2</v>
      </c>
      <c r="F163" s="18">
        <f>IF(ISNUMBER(D163), $B172 * E163, "")</f>
        <v>1709.4017094017095</v>
      </c>
      <c r="G163" s="31">
        <v>240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238</v>
      </c>
      <c r="K163" s="32">
        <f t="shared" ref="K163:K166" si="88">IF(ISNUMBER(J163), (J163 - $B163) / $B163, "")</f>
        <v>1.7094017094017096E-2</v>
      </c>
      <c r="L163" s="18">
        <f>IF(ISNUMBER(J163), $B172 * K163, "")</f>
        <v>1709.4017094017095</v>
      </c>
      <c r="M163" s="31">
        <v>239</v>
      </c>
      <c r="N163" s="32">
        <f t="shared" ref="N163:N166" si="89">IF(ISNUMBER(M163), (M163 - $B163) / $B163, "")</f>
        <v>2.1367521367521368E-2</v>
      </c>
      <c r="O163" s="18">
        <f>IF(ISNUMBER(M163), $B172 * N163, "")</f>
        <v>2136.7521367521367</v>
      </c>
      <c r="Q163" s="258"/>
      <c r="R163" s="259"/>
      <c r="S163" s="260"/>
    </row>
    <row r="164" spans="1:19" ht="17.25" thickBot="1">
      <c r="A164" s="162" t="s">
        <v>112</v>
      </c>
      <c r="B164" s="126">
        <v>131</v>
      </c>
      <c r="C164" s="77">
        <v>-5.75539568E-2</v>
      </c>
      <c r="D164" s="15">
        <v>128</v>
      </c>
      <c r="E164" s="32">
        <f t="shared" si="86"/>
        <v>-2.2900763358778626E-2</v>
      </c>
      <c r="F164" s="18">
        <f>IF(ISNUMBER(D164), $B172 * E164, "")</f>
        <v>-2290.0763358778627</v>
      </c>
      <c r="G164" s="31">
        <v>126</v>
      </c>
      <c r="H164" s="32">
        <f t="shared" si="87"/>
        <v>-3.8167938931297711E-2</v>
      </c>
      <c r="I164" s="101">
        <f>IF(ISNUMBER(G164), $B172 * H164, "")</f>
        <v>-3816.7938931297713</v>
      </c>
      <c r="J164" s="15">
        <v>126</v>
      </c>
      <c r="K164" s="32">
        <f t="shared" si="88"/>
        <v>-3.8167938931297711E-2</v>
      </c>
      <c r="L164" s="18">
        <f>IF(ISNUMBER(J164), $B172 * K164, "")</f>
        <v>-3816.7938931297713</v>
      </c>
      <c r="M164" s="31">
        <v>125</v>
      </c>
      <c r="N164" s="32">
        <f t="shared" si="89"/>
        <v>-4.5801526717557252E-2</v>
      </c>
      <c r="O164" s="18">
        <f>IF(ISNUMBER(M164), $B172 * N164, "")</f>
        <v>-4580.1526717557254</v>
      </c>
      <c r="Q164" s="251"/>
      <c r="R164" s="251"/>
      <c r="S164" s="251"/>
    </row>
    <row r="165" spans="1:19" ht="17.25" thickBot="1">
      <c r="A165" s="162" t="s">
        <v>54</v>
      </c>
      <c r="B165" s="126">
        <v>229</v>
      </c>
      <c r="C165" s="77">
        <v>-6.53061224E-2</v>
      </c>
      <c r="D165" s="15">
        <v>236</v>
      </c>
      <c r="E165" s="32">
        <f t="shared" si="86"/>
        <v>3.0567685589519649E-2</v>
      </c>
      <c r="F165" s="18">
        <f>IF(ISNUMBER(D165), $B172 * E165, "")</f>
        <v>3056.7685589519651</v>
      </c>
      <c r="G165" s="31">
        <v>240</v>
      </c>
      <c r="H165" s="32">
        <f t="shared" si="87"/>
        <v>4.8034934497816595E-2</v>
      </c>
      <c r="I165" s="101">
        <f>IF(ISNUMBER(G165), $B172 * H165, "")</f>
        <v>4803.4934497816594</v>
      </c>
      <c r="J165" s="15">
        <v>238</v>
      </c>
      <c r="K165" s="32">
        <f t="shared" si="88"/>
        <v>3.9301310043668124E-2</v>
      </c>
      <c r="L165" s="18">
        <f>IF(ISNUMBER(J165), $B172 * K165, "")</f>
        <v>3930.1310043668122</v>
      </c>
      <c r="M165" s="31">
        <v>238</v>
      </c>
      <c r="N165" s="32">
        <f t="shared" si="89"/>
        <v>3.9301310043668124E-2</v>
      </c>
      <c r="O165" s="18">
        <f>IF(ISNUMBER(M165), $B172 * N165, "")</f>
        <v>3930.1310043668122</v>
      </c>
      <c r="Q165" s="261"/>
      <c r="R165" s="261"/>
      <c r="S165" s="261"/>
    </row>
    <row r="166" spans="1:19" ht="17.25" thickBot="1">
      <c r="A166" s="163" t="s">
        <v>173</v>
      </c>
      <c r="B166" s="128">
        <v>121</v>
      </c>
      <c r="C166" s="78">
        <v>-6.92307692E-2</v>
      </c>
      <c r="D166" s="20">
        <v>113</v>
      </c>
      <c r="E166" s="21">
        <f t="shared" si="86"/>
        <v>-6.6115702479338845E-2</v>
      </c>
      <c r="F166" s="22">
        <f>IF(ISNUMBER(D166), $B172 * E166, "")</f>
        <v>-6611.5702479338843</v>
      </c>
      <c r="G166" s="30">
        <v>111</v>
      </c>
      <c r="H166" s="21">
        <f t="shared" si="87"/>
        <v>-8.2644628099173556E-2</v>
      </c>
      <c r="I166" s="105">
        <f>IF(ISNUMBER(G166), $B172 * H166, "")</f>
        <v>-8264.4628099173551</v>
      </c>
      <c r="J166" s="20">
        <v>112</v>
      </c>
      <c r="K166" s="21">
        <f t="shared" si="88"/>
        <v>-7.43801652892562E-2</v>
      </c>
      <c r="L166" s="22">
        <f>IF(ISNUMBER(J166), $B172 * K166, "")</f>
        <v>-7438.0165289256202</v>
      </c>
      <c r="M166" s="30">
        <v>112</v>
      </c>
      <c r="N166" s="21">
        <f t="shared" si="89"/>
        <v>-7.43801652892562E-2</v>
      </c>
      <c r="O166" s="22">
        <f>IF(ISNUMBER(M166), $B172 * N166, "")</f>
        <v>-7438.0165289256202</v>
      </c>
      <c r="Q166" s="261"/>
      <c r="R166" s="261"/>
      <c r="S166" s="261"/>
    </row>
    <row r="167" spans="1:19" ht="17.25" thickBot="1">
      <c r="A167" s="162" t="s">
        <v>279</v>
      </c>
      <c r="B167" s="129">
        <v>192</v>
      </c>
      <c r="C167" s="80">
        <v>-7.2463768100000006E-2</v>
      </c>
      <c r="D167" s="106">
        <v>193</v>
      </c>
      <c r="E167" s="107">
        <f>IF(ISNUMBER(D167), (D167 - $B167) / $B167, "")</f>
        <v>5.208333333333333E-3</v>
      </c>
      <c r="F167" s="108">
        <f>IF(ISNUMBER(D167), $B172 * E167, "")</f>
        <v>520.83333333333326</v>
      </c>
      <c r="G167" s="109">
        <v>196</v>
      </c>
      <c r="H167" s="107">
        <f>IF(ISNUMBER(G167), (G167 - $B167) / $B167, "")</f>
        <v>2.0833333333333332E-2</v>
      </c>
      <c r="I167" s="110">
        <f>IF(ISNUMBER(G167), $B172 * H167, "")</f>
        <v>2083.333333333333</v>
      </c>
      <c r="J167" s="106">
        <v>195</v>
      </c>
      <c r="K167" s="107">
        <f>IF(ISNUMBER(J167), (J167 - $B167) / $B167, "")</f>
        <v>1.5625E-2</v>
      </c>
      <c r="L167" s="108">
        <f>IF(ISNUMBER(J167), $B172 * K167, "")</f>
        <v>1562.5</v>
      </c>
      <c r="M167" s="109">
        <v>193</v>
      </c>
      <c r="N167" s="107">
        <f>IF(ISNUMBER(M167), (M167 - $B167) / $B167, "")</f>
        <v>5.208333333333333E-3</v>
      </c>
      <c r="O167" s="108">
        <f>IF(ISNUMBER(M167), $B172 * N167, "")</f>
        <v>520.83333333333326</v>
      </c>
      <c r="Q167" s="251"/>
      <c r="R167" s="251"/>
      <c r="S167" s="251"/>
    </row>
    <row r="168" spans="1:19" ht="17.25" thickBot="1">
      <c r="A168" s="162" t="s">
        <v>82</v>
      </c>
      <c r="B168" s="126">
        <v>789</v>
      </c>
      <c r="C168" s="77">
        <v>-0.1281767956</v>
      </c>
      <c r="D168" s="15">
        <v>790</v>
      </c>
      <c r="E168" s="32">
        <f t="shared" ref="E168:E171" si="90">IF(ISNUMBER(D168), (D168 - $B168) / $B168, "")</f>
        <v>1.2674271229404308E-3</v>
      </c>
      <c r="F168" s="18">
        <f>IF(ISNUMBER(D168), $B172 * E168, "")</f>
        <v>126.74271229404309</v>
      </c>
      <c r="G168" s="31">
        <v>1025</v>
      </c>
      <c r="H168" s="32">
        <f t="shared" ref="H168:H171" si="91">IF(ISNUMBER(G168), (G168 - $B168) / $B168, "")</f>
        <v>0.29911280101394172</v>
      </c>
      <c r="I168" s="101">
        <f>IF(ISNUMBER(G168), $B172 * H168, "")</f>
        <v>29911.280101394172</v>
      </c>
      <c r="J168" s="15">
        <v>913</v>
      </c>
      <c r="K168" s="32">
        <f t="shared" ref="K168:K171" si="92">IF(ISNUMBER(J168), (J168 - $B168) / $B168, "")</f>
        <v>0.15716096324461343</v>
      </c>
      <c r="L168" s="18">
        <f>IF(ISNUMBER(J168), $B172 * K168, "")</f>
        <v>15716.096324461343</v>
      </c>
      <c r="M168" s="31">
        <v>856</v>
      </c>
      <c r="N168" s="32">
        <f t="shared" ref="N168:N171" si="93">IF(ISNUMBER(M168), (M168 - $B168) / $B168, "")</f>
        <v>8.4917617237008872E-2</v>
      </c>
      <c r="O168" s="18">
        <f>IF(ISNUMBER(M168), $B172 * N168, "")</f>
        <v>8491.7617237008872</v>
      </c>
      <c r="Q168" s="251"/>
      <c r="R168" s="251"/>
      <c r="S168" s="251"/>
    </row>
    <row r="169" spans="1:19" ht="17.25" thickBot="1">
      <c r="A169" s="162" t="s">
        <v>161</v>
      </c>
      <c r="B169" s="126">
        <v>732</v>
      </c>
      <c r="C169" s="77">
        <v>-0.1378091873</v>
      </c>
      <c r="D169" s="15">
        <v>664</v>
      </c>
      <c r="E169" s="32">
        <f t="shared" si="90"/>
        <v>-9.2896174863387984E-2</v>
      </c>
      <c r="F169" s="18">
        <f>IF(ISNUMBER(D169), $B172 * E169, "")</f>
        <v>-9289.6174863387987</v>
      </c>
      <c r="G169" s="31">
        <v>642</v>
      </c>
      <c r="H169" s="32">
        <f t="shared" si="91"/>
        <v>-0.12295081967213115</v>
      </c>
      <c r="I169" s="101">
        <f>IF(ISNUMBER(G169), $B172 * H169, "")</f>
        <v>-12295.081967213115</v>
      </c>
      <c r="J169" s="15">
        <v>616</v>
      </c>
      <c r="K169" s="32">
        <f t="shared" si="92"/>
        <v>-0.15846994535519127</v>
      </c>
      <c r="L169" s="18">
        <f>IF(ISNUMBER(J169), $B172 * K169, "")</f>
        <v>-15846.994535519127</v>
      </c>
      <c r="M169" s="31">
        <v>619</v>
      </c>
      <c r="N169" s="32">
        <f t="shared" si="93"/>
        <v>-0.15437158469945356</v>
      </c>
      <c r="O169" s="18">
        <f>IF(ISNUMBER(M169), $B172 * N169, "")</f>
        <v>-15437.158469945356</v>
      </c>
      <c r="Q169" s="251"/>
      <c r="R169" s="251"/>
      <c r="S169" s="251"/>
    </row>
    <row r="170" spans="1:19">
      <c r="A170" s="162" t="s">
        <v>248</v>
      </c>
      <c r="B170" s="126">
        <v>100</v>
      </c>
      <c r="C170" s="77">
        <v>-0.2</v>
      </c>
      <c r="D170" s="15">
        <v>85.5</v>
      </c>
      <c r="E170" s="32">
        <f t="shared" si="90"/>
        <v>-0.14499999999999999</v>
      </c>
      <c r="F170" s="18">
        <f>IF(ISNUMBER(D170), $B172 * E170, "")</f>
        <v>-14499.999999999998</v>
      </c>
      <c r="G170" s="31">
        <v>85.2</v>
      </c>
      <c r="H170" s="32">
        <f t="shared" si="91"/>
        <v>-0.14799999999999996</v>
      </c>
      <c r="I170" s="101">
        <f>IF(ISNUMBER(G170), $B172 * H170, "")</f>
        <v>-14799.999999999996</v>
      </c>
      <c r="J170" s="15">
        <v>86.4</v>
      </c>
      <c r="K170" s="32">
        <f t="shared" si="92"/>
        <v>-0.13599999999999995</v>
      </c>
      <c r="L170" s="18">
        <f>IF(ISNUMBER(J170), $B172 * K170, "")</f>
        <v>-13599.999999999995</v>
      </c>
      <c r="M170" s="31">
        <v>85.2</v>
      </c>
      <c r="N170" s="32">
        <f t="shared" si="93"/>
        <v>-0.14799999999999996</v>
      </c>
      <c r="O170" s="18">
        <f>IF(ISNUMBER(M170), $B172 * N170, "")</f>
        <v>-14799.999999999996</v>
      </c>
      <c r="Q170" s="240"/>
      <c r="R170" s="241"/>
      <c r="S170" s="242"/>
    </row>
    <row r="171" spans="1:19" ht="17.25" thickBot="1">
      <c r="A171" s="130" t="s">
        <v>231</v>
      </c>
      <c r="B171" s="131">
        <v>308</v>
      </c>
      <c r="C171" s="79">
        <v>-0.20618556699999999</v>
      </c>
      <c r="D171" s="24">
        <v>269</v>
      </c>
      <c r="E171" s="25">
        <f t="shared" si="90"/>
        <v>-0.12662337662337661</v>
      </c>
      <c r="F171" s="104">
        <f>IF(ISNUMBER(D171), $B172 * E171, "")</f>
        <v>-12662.337662337661</v>
      </c>
      <c r="G171" s="102">
        <v>268</v>
      </c>
      <c r="H171" s="25">
        <f t="shared" si="91"/>
        <v>-0.12987012987012986</v>
      </c>
      <c r="I171" s="103">
        <f>IF(ISNUMBER(G171), $B172 * H171, "")</f>
        <v>-12987.012987012986</v>
      </c>
      <c r="J171" s="24">
        <v>263</v>
      </c>
      <c r="K171" s="25">
        <f t="shared" si="92"/>
        <v>-0.1461038961038961</v>
      </c>
      <c r="L171" s="104">
        <f>IF(ISNUMBER(J171), $B172 * K171, "")</f>
        <v>-14610.38961038961</v>
      </c>
      <c r="M171" s="102">
        <v>270</v>
      </c>
      <c r="N171" s="25">
        <f t="shared" si="93"/>
        <v>-0.12337662337662338</v>
      </c>
      <c r="O171" s="104">
        <f>IF(ISNUMBER(M171), $B172 * N171, "")</f>
        <v>-12337.662337662337</v>
      </c>
      <c r="Q171" s="243"/>
      <c r="R171" s="244"/>
      <c r="S171" s="245"/>
    </row>
    <row r="172" spans="1:19" ht="17.25" thickBot="1">
      <c r="A172" s="132" t="s">
        <v>295</v>
      </c>
      <c r="B172" s="304">
        <f>$B$37</f>
        <v>100000</v>
      </c>
      <c r="C172" s="305"/>
      <c r="D172" s="26" t="s">
        <v>296</v>
      </c>
      <c r="E172" s="27">
        <f>IF(COUNT(E152:E171), SUM(E152:E171) / COUNT(E152:E171), 0)</f>
        <v>-1.4101597945486937E-2</v>
      </c>
      <c r="F172" s="28">
        <f>SUM(F152:F171)</f>
        <v>-28203.195890973882</v>
      </c>
      <c r="G172" s="26" t="s">
        <v>296</v>
      </c>
      <c r="H172" s="27">
        <f>IF(COUNT(H152:H171), SUM(H152:H171) / COUNT(H152:H171), 0)</f>
        <v>2.2344805643029373E-3</v>
      </c>
      <c r="I172" s="28">
        <f>SUM(I152:I171)</f>
        <v>4468.9611286058825</v>
      </c>
      <c r="J172" s="26" t="s">
        <v>296</v>
      </c>
      <c r="K172" s="27">
        <f>IF(COUNT(K152:K171), SUM(K152:K171) / COUNT(K152:K171), 0)</f>
        <v>-9.2451696079594893E-3</v>
      </c>
      <c r="L172" s="28">
        <f>SUM(L152:L171)</f>
        <v>-18490.339215918979</v>
      </c>
      <c r="M172" s="26" t="s">
        <v>296</v>
      </c>
      <c r="N172" s="27">
        <f>IF(COUNT(N152:N171), SUM(N152:N171) / COUNT(N152:N171), 0)</f>
        <v>-1.2333177428551566E-2</v>
      </c>
      <c r="O172" s="28">
        <f>SUM(O152:O171)</f>
        <v>-24666.354857103135</v>
      </c>
      <c r="Q172" s="246"/>
      <c r="R172" s="247"/>
      <c r="S172" s="248"/>
    </row>
    <row r="174" spans="1:19" ht="17.25" thickBot="1"/>
    <row r="175" spans="1:19" ht="17.25" thickBot="1">
      <c r="A175" s="262" t="s">
        <v>280</v>
      </c>
      <c r="B175" s="263"/>
      <c r="C175" s="263"/>
      <c r="D175" s="263"/>
      <c r="E175" s="263"/>
      <c r="F175" s="263"/>
      <c r="G175" s="263"/>
      <c r="H175" s="263"/>
      <c r="I175" s="263"/>
      <c r="J175" s="263"/>
      <c r="K175" s="263"/>
      <c r="L175" s="263"/>
      <c r="M175" s="263"/>
      <c r="N175" s="263"/>
      <c r="O175" s="264"/>
      <c r="Q175" s="261"/>
      <c r="R175" s="261"/>
      <c r="S175" s="261"/>
    </row>
    <row r="176" spans="1:19" ht="17.25" thickBot="1">
      <c r="A176" s="224" t="s">
        <v>292</v>
      </c>
      <c r="B176" s="262" t="s">
        <v>49</v>
      </c>
      <c r="C176" s="264"/>
      <c r="D176" s="262" t="s">
        <v>58</v>
      </c>
      <c r="E176" s="263"/>
      <c r="F176" s="264"/>
      <c r="G176" s="265">
        <f>_xlfn.IFNA(VLOOKUP(B176, 현재가테이블!$B$2:$D$200, 2, FALSE), "-")</f>
        <v>40538000</v>
      </c>
      <c r="H176" s="266"/>
      <c r="I176" s="267"/>
      <c r="J176" s="262" t="s">
        <v>59</v>
      </c>
      <c r="K176" s="263"/>
      <c r="L176" s="264"/>
      <c r="M176" s="268">
        <f>_xlfn.IFNA(VLOOKUP(B176, 현재가테이블!$B$2:$D$200, 3, FALSE), "-")</f>
        <v>-3.68275993E-2</v>
      </c>
      <c r="N176" s="269"/>
      <c r="O176" s="270"/>
      <c r="Q176" s="261"/>
      <c r="R176" s="261"/>
      <c r="S176" s="261"/>
    </row>
    <row r="177" spans="1:19" ht="17.25" thickBot="1">
      <c r="A177" s="306" t="s">
        <v>55</v>
      </c>
      <c r="B177" s="302" t="str">
        <f>TEXT($G$1, "[$-ko-KR]yyyy-mm-dd(ddd) ") &amp; "오전 00:00"</f>
        <v>2021-06-17(목) 오전 00:00</v>
      </c>
      <c r="C177" s="303"/>
      <c r="D177" s="275" t="str">
        <f>TEXT($G$1, "[$-ko-KR]yyyy-mm-dd(ddd) ") &amp; "오후 14:00"</f>
        <v>2021-06-17(목) 오후 14:00</v>
      </c>
      <c r="E177" s="276"/>
      <c r="F177" s="277"/>
      <c r="G177" s="275" t="str">
        <f>TEXT($G$1, "[$-ko-KR]yyyy-mm-dd(ddd) ") &amp; "오후 19:00"</f>
        <v>2021-06-17(목) 오후 19:00</v>
      </c>
      <c r="H177" s="276"/>
      <c r="I177" s="277"/>
      <c r="J177" s="275" t="str">
        <f>TEXT($G$1, "[$-ko-KR]yyyy-mm-dd(ddd) ") &amp; "오후 21:00"</f>
        <v>2021-06-17(목) 오후 21:00</v>
      </c>
      <c r="K177" s="276"/>
      <c r="L177" s="277"/>
      <c r="M177" s="275" t="str">
        <f>TEXT($G$1+1, "[$-ko-KR]yyyy-mm-dd(ddd) ") &amp; "오전 00:00"</f>
        <v>2021-06-18(금) 오전 00:00</v>
      </c>
      <c r="N177" s="276"/>
      <c r="O177" s="277"/>
      <c r="Q177" s="261"/>
      <c r="R177" s="261"/>
      <c r="S177" s="261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5" t="s">
        <v>58</v>
      </c>
      <c r="H178" s="226" t="s">
        <v>293</v>
      </c>
      <c r="I178" s="22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1"/>
      <c r="R178" s="251"/>
      <c r="S178" s="251"/>
    </row>
    <row r="179" spans="1:19" ht="17.25" thickBot="1">
      <c r="A179" s="161" t="s">
        <v>279</v>
      </c>
      <c r="B179" s="124">
        <v>192</v>
      </c>
      <c r="C179" s="76">
        <v>-7.2463768100000006E-2</v>
      </c>
      <c r="D179" s="13">
        <v>193</v>
      </c>
      <c r="E179" s="14">
        <f>IF(ISNUMBER(D179), (D179 - $B179) / $B179, "")</f>
        <v>5.208333333333333E-3</v>
      </c>
      <c r="F179" s="16">
        <f>IF(ISNUMBER(D179), $B199 * E179, "")</f>
        <v>520.83333333333326</v>
      </c>
      <c r="G179" s="29">
        <v>196</v>
      </c>
      <c r="H179" s="14">
        <f>IF(ISNUMBER(G179), (G179 - $B179) / $B179, "")</f>
        <v>2.0833333333333332E-2</v>
      </c>
      <c r="I179" s="100">
        <f>IF(ISNUMBER(G179), $B199 * H179, "")</f>
        <v>2083.333333333333</v>
      </c>
      <c r="J179" s="13">
        <v>195</v>
      </c>
      <c r="K179" s="14">
        <f>IF(ISNUMBER(J179), (J179 - $B179) / $B179, "")</f>
        <v>1.5625E-2</v>
      </c>
      <c r="L179" s="16">
        <f>IF(ISNUMBER(J179), $B199 * K179, "")</f>
        <v>1562.5</v>
      </c>
      <c r="M179" s="29">
        <v>193</v>
      </c>
      <c r="N179" s="14">
        <f>IF(ISNUMBER(M179), (M179 - $B179) / $B179, "")</f>
        <v>5.208333333333333E-3</v>
      </c>
      <c r="O179" s="16">
        <f>IF(ISNUMBER(M179), $B199 * N179, "")</f>
        <v>520.83333333333326</v>
      </c>
      <c r="Q179" s="261"/>
      <c r="R179" s="261"/>
      <c r="S179" s="261"/>
    </row>
    <row r="180" spans="1:19" ht="17.25" thickBot="1">
      <c r="A180" s="162" t="s">
        <v>126</v>
      </c>
      <c r="B180" s="126">
        <v>23.9</v>
      </c>
      <c r="C180" s="77">
        <v>-8.0769230799999994E-2</v>
      </c>
      <c r="D180" s="15">
        <v>24.8</v>
      </c>
      <c r="E180" s="32">
        <f t="shared" ref="E180:E183" si="94">IF(ISNUMBER(D180), (D180 - $B180) / $B180, "")</f>
        <v>3.7656903765690468E-2</v>
      </c>
      <c r="F180" s="18">
        <f>IF(ISNUMBER(D180), $B199 * E180, "")</f>
        <v>3765.6903765690467</v>
      </c>
      <c r="G180" s="31">
        <v>25.2</v>
      </c>
      <c r="H180" s="32">
        <f t="shared" ref="H180:H183" si="95">IF(ISNUMBER(G180), (G180 - $B180) / $B180, "")</f>
        <v>5.4393305439330575E-2</v>
      </c>
      <c r="I180" s="101">
        <f>IF(ISNUMBER(G180), $B199 * H180, "")</f>
        <v>5439.3305439330579</v>
      </c>
      <c r="J180" s="15">
        <v>24.8</v>
      </c>
      <c r="K180" s="32">
        <f t="shared" ref="K180:K183" si="96">IF(ISNUMBER(J180), (J180 - $B180) / $B180, "")</f>
        <v>3.7656903765690468E-2</v>
      </c>
      <c r="L180" s="18">
        <f>IF(ISNUMBER(J180), $B199 * K180, "")</f>
        <v>3765.6903765690467</v>
      </c>
      <c r="M180" s="31">
        <v>24.6</v>
      </c>
      <c r="N180" s="32">
        <f t="shared" ref="N180:N183" si="97">IF(ISNUMBER(M180), (M180 - $B180) / $B180, "")</f>
        <v>2.9288702928870414E-2</v>
      </c>
      <c r="O180" s="18">
        <f>IF(ISNUMBER(M180), $B199 * N180, "")</f>
        <v>2928.8702928870416</v>
      </c>
      <c r="Q180" s="261"/>
      <c r="R180" s="261"/>
      <c r="S180" s="261"/>
    </row>
    <row r="181" spans="1:19" ht="17.25" thickBot="1">
      <c r="A181" s="162" t="s">
        <v>219</v>
      </c>
      <c r="B181" s="126">
        <v>8.35</v>
      </c>
      <c r="C181" s="77">
        <v>-8.2417582399999995E-2</v>
      </c>
      <c r="D181" s="15">
        <v>10.5</v>
      </c>
      <c r="E181" s="32">
        <f t="shared" si="94"/>
        <v>0.25748502994011979</v>
      </c>
      <c r="F181" s="18">
        <f>IF(ISNUMBER(D181), $B199 * E181, "")</f>
        <v>25748.502994011978</v>
      </c>
      <c r="G181" s="31">
        <v>9.7799999999999994</v>
      </c>
      <c r="H181" s="32">
        <f t="shared" si="95"/>
        <v>0.17125748502994009</v>
      </c>
      <c r="I181" s="101">
        <f>IF(ISNUMBER(G181), $B199 * H181, "")</f>
        <v>17125.748502994011</v>
      </c>
      <c r="J181" s="15">
        <v>9.99</v>
      </c>
      <c r="K181" s="32">
        <f t="shared" si="96"/>
        <v>0.1964071856287426</v>
      </c>
      <c r="L181" s="18">
        <f>IF(ISNUMBER(J181), $B199 * K181, "")</f>
        <v>19640.718562874259</v>
      </c>
      <c r="M181" s="31">
        <v>9.81</v>
      </c>
      <c r="N181" s="32">
        <f t="shared" si="97"/>
        <v>0.1748502994011977</v>
      </c>
      <c r="O181" s="18">
        <f>IF(ISNUMBER(M181), $B199 * N181, "")</f>
        <v>17485.02994011977</v>
      </c>
      <c r="Q181" s="251"/>
      <c r="R181" s="251"/>
      <c r="S181" s="251"/>
    </row>
    <row r="182" spans="1:19" ht="17.25" thickBot="1">
      <c r="A182" s="162" t="s">
        <v>210</v>
      </c>
      <c r="B182" s="126">
        <v>54</v>
      </c>
      <c r="C182" s="77">
        <v>-8.4745762700000005E-2</v>
      </c>
      <c r="D182" s="15">
        <v>55.1</v>
      </c>
      <c r="E182" s="32">
        <f t="shared" si="94"/>
        <v>2.0370370370370396E-2</v>
      </c>
      <c r="F182" s="18">
        <f>IF(ISNUMBER(D182), $B199 * E182, "")</f>
        <v>2037.0370370370397</v>
      </c>
      <c r="G182" s="31">
        <v>54.3</v>
      </c>
      <c r="H182" s="32">
        <f t="shared" si="95"/>
        <v>5.5555555555555029E-3</v>
      </c>
      <c r="I182" s="101">
        <f>IF(ISNUMBER(G182), $B199 * H182, "")</f>
        <v>555.55555555555031</v>
      </c>
      <c r="J182" s="15">
        <v>53.9</v>
      </c>
      <c r="K182" s="32">
        <f t="shared" si="96"/>
        <v>-1.8518518518518782E-3</v>
      </c>
      <c r="L182" s="18">
        <f>IF(ISNUMBER(J182), $B199 * K182, "")</f>
        <v>-185.18518518518781</v>
      </c>
      <c r="M182" s="31">
        <v>53.3</v>
      </c>
      <c r="N182" s="32">
        <f t="shared" si="97"/>
        <v>-1.2962962962963016E-2</v>
      </c>
      <c r="O182" s="18">
        <f>IF(ISNUMBER(M182), $B199 * N182, "")</f>
        <v>-1296.2962962963015</v>
      </c>
      <c r="Q182" s="251"/>
      <c r="R182" s="251"/>
      <c r="S182" s="251"/>
    </row>
    <row r="183" spans="1:19" ht="17.25" thickBot="1">
      <c r="A183" s="163" t="s">
        <v>110</v>
      </c>
      <c r="B183" s="128">
        <v>1170</v>
      </c>
      <c r="C183" s="78">
        <v>-8.9494163400000007E-2</v>
      </c>
      <c r="D183" s="20">
        <v>1195</v>
      </c>
      <c r="E183" s="21">
        <f t="shared" si="94"/>
        <v>2.1367521367521368E-2</v>
      </c>
      <c r="F183" s="22">
        <f>IF(ISNUMBER(D183), $B199 * E183, "")</f>
        <v>2136.7521367521367</v>
      </c>
      <c r="G183" s="30">
        <v>1275</v>
      </c>
      <c r="H183" s="21">
        <f t="shared" si="95"/>
        <v>8.9743589743589744E-2</v>
      </c>
      <c r="I183" s="105">
        <f>IF(ISNUMBER(G183), $B199 * H183, "")</f>
        <v>8974.3589743589746</v>
      </c>
      <c r="J183" s="20">
        <v>1280</v>
      </c>
      <c r="K183" s="21">
        <f t="shared" si="96"/>
        <v>9.4017094017094016E-2</v>
      </c>
      <c r="L183" s="22">
        <f>IF(ISNUMBER(J183), $B199 * K183, "")</f>
        <v>9401.7094017094023</v>
      </c>
      <c r="M183" s="30">
        <v>1325</v>
      </c>
      <c r="N183" s="21">
        <f t="shared" si="97"/>
        <v>0.13247863247863248</v>
      </c>
      <c r="O183" s="22">
        <f>IF(ISNUMBER(M183), $B199 * N183, "")</f>
        <v>13247.863247863248</v>
      </c>
      <c r="Q183" s="251"/>
      <c r="R183" s="251"/>
      <c r="S183" s="251"/>
    </row>
    <row r="184" spans="1:19" ht="17.25" thickBot="1">
      <c r="A184" s="162" t="s">
        <v>82</v>
      </c>
      <c r="B184" s="129">
        <v>789</v>
      </c>
      <c r="C184" s="80">
        <v>-0.1281767956</v>
      </c>
      <c r="D184" s="106">
        <v>790</v>
      </c>
      <c r="E184" s="107">
        <f>IF(ISNUMBER(D184), (D184 - $B184) / $B184, "")</f>
        <v>1.2674271229404308E-3</v>
      </c>
      <c r="F184" s="108">
        <f>IF(ISNUMBER(D184), $B199 * E184, "")</f>
        <v>126.74271229404309</v>
      </c>
      <c r="G184" s="109">
        <v>1025</v>
      </c>
      <c r="H184" s="107">
        <f>IF(ISNUMBER(G184), (G184 - $B184) / $B184, "")</f>
        <v>0.29911280101394172</v>
      </c>
      <c r="I184" s="110">
        <f>IF(ISNUMBER(G184), $B199 * H184, "")</f>
        <v>29911.280101394172</v>
      </c>
      <c r="J184" s="106">
        <v>913</v>
      </c>
      <c r="K184" s="107">
        <f>IF(ISNUMBER(J184), (J184 - $B184) / $B184, "")</f>
        <v>0.15716096324461343</v>
      </c>
      <c r="L184" s="108">
        <f>IF(ISNUMBER(J184), $B199 * K184, "")</f>
        <v>15716.096324461343</v>
      </c>
      <c r="M184" s="109">
        <v>856</v>
      </c>
      <c r="N184" s="107">
        <f>IF(ISNUMBER(M184), (M184 - $B184) / $B184, "")</f>
        <v>8.4917617237008872E-2</v>
      </c>
      <c r="O184" s="108">
        <f>IF(ISNUMBER(M184), $B199 * N184, "")</f>
        <v>8491.7617237008872</v>
      </c>
      <c r="Q184" s="251"/>
      <c r="R184" s="251"/>
      <c r="S184" s="251"/>
    </row>
    <row r="185" spans="1:19" ht="17.25" thickBot="1">
      <c r="A185" s="162" t="s">
        <v>244</v>
      </c>
      <c r="B185" s="126">
        <v>1225</v>
      </c>
      <c r="C185" s="77">
        <v>-0.13120567380000001</v>
      </c>
      <c r="D185" s="15">
        <v>1210</v>
      </c>
      <c r="E185" s="32">
        <f t="shared" ref="E185:E188" si="98">IF(ISNUMBER(D185), (D185 - $B185) / $B185, "")</f>
        <v>-1.2244897959183673E-2</v>
      </c>
      <c r="F185" s="18">
        <f>IF(ISNUMBER(D185), $B199 * E185, "")</f>
        <v>-1224.4897959183672</v>
      </c>
      <c r="G185" s="31">
        <v>1235</v>
      </c>
      <c r="H185" s="32">
        <f t="shared" ref="H185:H188" si="99">IF(ISNUMBER(G185), (G185 - $B185) / $B185, "")</f>
        <v>8.1632653061224497E-3</v>
      </c>
      <c r="I185" s="101">
        <f>IF(ISNUMBER(G185), $B199 * H185, "")</f>
        <v>816.32653061224494</v>
      </c>
      <c r="J185" s="15">
        <v>1220</v>
      </c>
      <c r="K185" s="32">
        <f t="shared" ref="K185:K188" si="100">IF(ISNUMBER(J185), (J185 - $B185) / $B185, "")</f>
        <v>-4.0816326530612249E-3</v>
      </c>
      <c r="L185" s="18">
        <f>IF(ISNUMBER(J185), $B199 * K185, "")</f>
        <v>-408.16326530612247</v>
      </c>
      <c r="M185" s="31">
        <v>1225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51"/>
      <c r="R185" s="251"/>
      <c r="S185" s="251"/>
    </row>
    <row r="186" spans="1:19" ht="17.25" thickBot="1">
      <c r="A186" s="162" t="s">
        <v>234</v>
      </c>
      <c r="B186" s="126">
        <v>87.2</v>
      </c>
      <c r="C186" s="77">
        <v>-0.13663366339999999</v>
      </c>
      <c r="D186" s="15">
        <v>81.8</v>
      </c>
      <c r="E186" s="32">
        <f t="shared" si="98"/>
        <v>-6.1926605504587222E-2</v>
      </c>
      <c r="F186" s="18">
        <f>IF(ISNUMBER(D186), $B199 * E186, "")</f>
        <v>-6192.6605504587224</v>
      </c>
      <c r="G186" s="31">
        <v>78.2</v>
      </c>
      <c r="H186" s="32">
        <f t="shared" si="99"/>
        <v>-0.10321100917431192</v>
      </c>
      <c r="I186" s="101">
        <f>IF(ISNUMBER(G186), $B199 * H186, "")</f>
        <v>-10321.100917431191</v>
      </c>
      <c r="J186" s="15">
        <v>79.099999999999994</v>
      </c>
      <c r="K186" s="32">
        <f t="shared" si="100"/>
        <v>-9.2889908256880829E-2</v>
      </c>
      <c r="L186" s="18">
        <f>IF(ISNUMBER(J186), $B199 * K186, "")</f>
        <v>-9288.9908256880826</v>
      </c>
      <c r="M186" s="31">
        <v>78.7</v>
      </c>
      <c r="N186" s="32">
        <f t="shared" si="101"/>
        <v>-9.7477064220183485E-2</v>
      </c>
      <c r="O186" s="18">
        <f>IF(ISNUMBER(M186), $B199 * N186, "")</f>
        <v>-9747.7064220183493</v>
      </c>
      <c r="Q186" s="251"/>
      <c r="R186" s="251"/>
      <c r="S186" s="251"/>
    </row>
    <row r="187" spans="1:19" ht="17.25" thickBot="1">
      <c r="A187" s="162" t="s">
        <v>161</v>
      </c>
      <c r="B187" s="126">
        <v>732</v>
      </c>
      <c r="C187" s="77">
        <v>-0.1378091873</v>
      </c>
      <c r="D187" s="15">
        <v>664</v>
      </c>
      <c r="E187" s="32">
        <f t="shared" si="98"/>
        <v>-9.2896174863387984E-2</v>
      </c>
      <c r="F187" s="18">
        <f>IF(ISNUMBER(D187), $B199 * E187, "")</f>
        <v>-9289.6174863387987</v>
      </c>
      <c r="G187" s="31">
        <v>642</v>
      </c>
      <c r="H187" s="32">
        <f t="shared" si="99"/>
        <v>-0.12295081967213115</v>
      </c>
      <c r="I187" s="101">
        <f>IF(ISNUMBER(G187), $B199 * H187, "")</f>
        <v>-12295.081967213115</v>
      </c>
      <c r="J187" s="15">
        <v>616</v>
      </c>
      <c r="K187" s="32">
        <f t="shared" si="100"/>
        <v>-0.15846994535519127</v>
      </c>
      <c r="L187" s="18">
        <f>IF(ISNUMBER(J187), $B199 * K187, "")</f>
        <v>-15846.994535519127</v>
      </c>
      <c r="M187" s="31">
        <v>619</v>
      </c>
      <c r="N187" s="32">
        <f t="shared" si="101"/>
        <v>-0.15437158469945356</v>
      </c>
      <c r="O187" s="18">
        <f>IF(ISNUMBER(M187), $B199 * N187, "")</f>
        <v>-15437.158469945356</v>
      </c>
      <c r="Q187" s="33"/>
      <c r="R187" s="33"/>
    </row>
    <row r="188" spans="1:19" ht="17.25" thickBot="1">
      <c r="A188" s="130" t="s">
        <v>122</v>
      </c>
      <c r="B188" s="131">
        <v>23.6</v>
      </c>
      <c r="C188" s="79">
        <v>-0.15714285710000001</v>
      </c>
      <c r="D188" s="24">
        <v>19.3</v>
      </c>
      <c r="E188" s="25">
        <f t="shared" si="98"/>
        <v>-0.18220338983050849</v>
      </c>
      <c r="F188" s="104">
        <f>IF(ISNUMBER(D188), $B199 * E188, "")</f>
        <v>-18220.338983050849</v>
      </c>
      <c r="G188" s="102">
        <v>19.5</v>
      </c>
      <c r="H188" s="25">
        <f t="shared" si="99"/>
        <v>-0.17372881355932207</v>
      </c>
      <c r="I188" s="103">
        <f>IF(ISNUMBER(G188), $B199 * H188, "")</f>
        <v>-17372.881355932208</v>
      </c>
      <c r="J188" s="24">
        <v>18.899999999999999</v>
      </c>
      <c r="K188" s="25">
        <f t="shared" si="100"/>
        <v>-0.19915254237288146</v>
      </c>
      <c r="L188" s="104">
        <f>IF(ISNUMBER(J188), $B199 * K188, "")</f>
        <v>-19915.254237288147</v>
      </c>
      <c r="M188" s="102">
        <v>18.899999999999999</v>
      </c>
      <c r="N188" s="25">
        <f t="shared" si="101"/>
        <v>-0.19915254237288146</v>
      </c>
      <c r="O188" s="104">
        <f>IF(ISNUMBER(M188), $B199 * N188, "")</f>
        <v>-19915.254237288147</v>
      </c>
      <c r="Q188" s="252"/>
      <c r="R188" s="253"/>
      <c r="S188" s="254"/>
    </row>
    <row r="189" spans="1:19">
      <c r="A189" s="161" t="s">
        <v>171</v>
      </c>
      <c r="B189" s="124">
        <v>4.82</v>
      </c>
      <c r="C189" s="76">
        <v>-0.17039586919999999</v>
      </c>
      <c r="D189" s="13">
        <v>4.2699999999999996</v>
      </c>
      <c r="E189" s="14">
        <f>IF(ISNUMBER(D189), (D189 - $B189) / $B189, "")</f>
        <v>-0.11410788381742752</v>
      </c>
      <c r="F189" s="16">
        <f>IF(ISNUMBER(D189), $B199 * E189, "")</f>
        <v>-11410.788381742752</v>
      </c>
      <c r="G189" s="29">
        <v>4.2300000000000004</v>
      </c>
      <c r="H189" s="14">
        <f>IF(ISNUMBER(G189), (G189 - $B189) / $B189, "")</f>
        <v>-0.12240663900414935</v>
      </c>
      <c r="I189" s="100">
        <f>IF(ISNUMBER(G189), $B199 * H189, "")</f>
        <v>-12240.663900414935</v>
      </c>
      <c r="J189" s="13">
        <v>4.13</v>
      </c>
      <c r="K189" s="14">
        <f>IF(ISNUMBER(J189), (J189 - $B189) / $B189, "")</f>
        <v>-0.14315352697095443</v>
      </c>
      <c r="L189" s="16">
        <f>IF(ISNUMBER(J189), $B199 * K189, "")</f>
        <v>-14315.352697095443</v>
      </c>
      <c r="M189" s="29">
        <v>4.0999999999999996</v>
      </c>
      <c r="N189" s="14">
        <f>IF(ISNUMBER(M189), (M189 - $B189) / $B189, "")</f>
        <v>-0.14937759336099599</v>
      </c>
      <c r="O189" s="16">
        <f>IF(ISNUMBER(M189), $B199 * N189, "")</f>
        <v>-14937.759336099598</v>
      </c>
      <c r="Q189" s="255"/>
      <c r="R189" s="256"/>
      <c r="S189" s="257"/>
    </row>
    <row r="190" spans="1:19" ht="17.25" thickBot="1">
      <c r="A190" s="162" t="s">
        <v>263</v>
      </c>
      <c r="B190" s="126">
        <v>26.7</v>
      </c>
      <c r="C190" s="77">
        <v>-0.1759259259</v>
      </c>
      <c r="D190" s="15">
        <v>25</v>
      </c>
      <c r="E190" s="32">
        <f t="shared" ref="E190:E193" si="102">IF(ISNUMBER(D190), (D190 - $B190) / $B190, "")</f>
        <v>-6.3670411985018702E-2</v>
      </c>
      <c r="F190" s="18">
        <f>IF(ISNUMBER(D190), $B199 * E190, "")</f>
        <v>-6367.04119850187</v>
      </c>
      <c r="G190" s="31">
        <v>24.7</v>
      </c>
      <c r="H190" s="32">
        <f t="shared" ref="H190:H193" si="103">IF(ISNUMBER(G190), (G190 - $B190) / $B190, "")</f>
        <v>-7.4906367041198504E-2</v>
      </c>
      <c r="I190" s="101">
        <f>IF(ISNUMBER(G190), $B199 * H190, "")</f>
        <v>-7490.63670411985</v>
      </c>
      <c r="J190" s="15">
        <v>24.6</v>
      </c>
      <c r="K190" s="32">
        <f t="shared" ref="K190:K193" si="104">IF(ISNUMBER(J190), (J190 - $B190) / $B190, "")</f>
        <v>-7.8651685393258355E-2</v>
      </c>
      <c r="L190" s="18">
        <f>IF(ISNUMBER(J190), $B199 * K190, "")</f>
        <v>-7865.1685393258358</v>
      </c>
      <c r="M190" s="31">
        <v>24.8</v>
      </c>
      <c r="N190" s="32">
        <f t="shared" ref="N190:N193" si="105">IF(ISNUMBER(M190), (M190 - $B190) / $B190, "")</f>
        <v>-7.1161048689138529E-2</v>
      </c>
      <c r="O190" s="18">
        <f>IF(ISNUMBER(M190), $B199 * N190, "")</f>
        <v>-7116.1048689138524</v>
      </c>
      <c r="Q190" s="258"/>
      <c r="R190" s="259"/>
      <c r="S190" s="260"/>
    </row>
    <row r="191" spans="1:19" ht="17.25" thickBot="1">
      <c r="A191" s="162" t="s">
        <v>206</v>
      </c>
      <c r="B191" s="126">
        <v>89.4</v>
      </c>
      <c r="C191" s="77">
        <v>-0.17981651379999999</v>
      </c>
      <c r="D191" s="15">
        <v>75.7</v>
      </c>
      <c r="E191" s="32">
        <f t="shared" si="102"/>
        <v>-0.15324384787472037</v>
      </c>
      <c r="F191" s="18">
        <f>IF(ISNUMBER(D191), $B199 * E191, "")</f>
        <v>-15324.384787472038</v>
      </c>
      <c r="G191" s="31">
        <v>74</v>
      </c>
      <c r="H191" s="32">
        <f t="shared" si="103"/>
        <v>-0.17225950782997768</v>
      </c>
      <c r="I191" s="101">
        <f>IF(ISNUMBER(G191), $B199 * H191, "")</f>
        <v>-17225.950782997767</v>
      </c>
      <c r="J191" s="15">
        <v>72.7</v>
      </c>
      <c r="K191" s="32">
        <f t="shared" si="104"/>
        <v>-0.18680089485458615</v>
      </c>
      <c r="L191" s="18">
        <f>IF(ISNUMBER(J191), $B199 * K191, "")</f>
        <v>-18680.089485458615</v>
      </c>
      <c r="M191" s="31">
        <v>72</v>
      </c>
      <c r="N191" s="32">
        <f t="shared" si="105"/>
        <v>-0.19463087248322153</v>
      </c>
      <c r="O191" s="18">
        <f>IF(ISNUMBER(M191), $B199 * N191, "")</f>
        <v>-19463.087248322154</v>
      </c>
      <c r="Q191" s="251"/>
      <c r="R191" s="251"/>
      <c r="S191" s="251"/>
    </row>
    <row r="192" spans="1:19" ht="17.25" thickBot="1">
      <c r="A192" s="162" t="s">
        <v>249</v>
      </c>
      <c r="B192" s="126">
        <v>19.600000000000001</v>
      </c>
      <c r="C192" s="77">
        <v>-0.19008264459999999</v>
      </c>
      <c r="D192" s="15">
        <v>17.5</v>
      </c>
      <c r="E192" s="32">
        <f t="shared" si="102"/>
        <v>-0.10714285714285721</v>
      </c>
      <c r="F192" s="18">
        <f>IF(ISNUMBER(D192), $B199 * E192, "")</f>
        <v>-10714.285714285721</v>
      </c>
      <c r="G192" s="31">
        <v>17</v>
      </c>
      <c r="H192" s="32">
        <f t="shared" si="103"/>
        <v>-0.13265306122448986</v>
      </c>
      <c r="I192" s="101">
        <f>IF(ISNUMBER(G192), $B199 * H192, "")</f>
        <v>-13265.306122448987</v>
      </c>
      <c r="J192" s="15">
        <v>16.399999999999999</v>
      </c>
      <c r="K192" s="32">
        <f t="shared" si="104"/>
        <v>-0.16326530612244911</v>
      </c>
      <c r="L192" s="18">
        <f>IF(ISNUMBER(J192), $B199 * K192, "")</f>
        <v>-16326.530612244911</v>
      </c>
      <c r="M192" s="31">
        <v>16.399999999999999</v>
      </c>
      <c r="N192" s="32">
        <f t="shared" si="105"/>
        <v>-0.16326530612244911</v>
      </c>
      <c r="O192" s="18">
        <f>IF(ISNUMBER(M192), $B199 * N192, "")</f>
        <v>-16326.530612244911</v>
      </c>
      <c r="Q192" s="261"/>
      <c r="R192" s="261"/>
      <c r="S192" s="261"/>
    </row>
    <row r="193" spans="1:19" ht="17.25" thickBot="1">
      <c r="A193" s="163" t="s">
        <v>215</v>
      </c>
      <c r="B193" s="128">
        <v>5.55</v>
      </c>
      <c r="C193" s="78">
        <v>-0.1909620991</v>
      </c>
      <c r="D193" s="20">
        <v>4.97</v>
      </c>
      <c r="E193" s="21">
        <f t="shared" si="102"/>
        <v>-0.10450450450450452</v>
      </c>
      <c r="F193" s="22">
        <f>IF(ISNUMBER(D193), $B199 * E193, "")</f>
        <v>-10450.450450450451</v>
      </c>
      <c r="G193" s="30">
        <v>4.67</v>
      </c>
      <c r="H193" s="21">
        <f t="shared" si="103"/>
        <v>-0.15855855855855855</v>
      </c>
      <c r="I193" s="105">
        <f>IF(ISNUMBER(G193), $B199 * H193, "")</f>
        <v>-15855.855855855854</v>
      </c>
      <c r="J193" s="20">
        <v>4.55</v>
      </c>
      <c r="K193" s="21">
        <f t="shared" si="104"/>
        <v>-0.1801801801801802</v>
      </c>
      <c r="L193" s="22">
        <f>IF(ISNUMBER(J193), $B199 * K193, "")</f>
        <v>-18018.018018018021</v>
      </c>
      <c r="M193" s="30">
        <v>4.55</v>
      </c>
      <c r="N193" s="21">
        <f t="shared" si="105"/>
        <v>-0.1801801801801802</v>
      </c>
      <c r="O193" s="22">
        <f>IF(ISNUMBER(M193), $B199 * N193, "")</f>
        <v>-18018.018018018021</v>
      </c>
      <c r="Q193" s="261"/>
      <c r="R193" s="261"/>
      <c r="S193" s="261"/>
    </row>
    <row r="194" spans="1:19" ht="17.25" thickBot="1">
      <c r="A194" s="162" t="s">
        <v>233</v>
      </c>
      <c r="B194" s="129">
        <v>17.7</v>
      </c>
      <c r="C194" s="80">
        <v>-0.19178082190000001</v>
      </c>
      <c r="D194" s="106">
        <v>15</v>
      </c>
      <c r="E194" s="107">
        <f>IF(ISNUMBER(D194), (D194 - $B194) / $B194, "")</f>
        <v>-0.15254237288135589</v>
      </c>
      <c r="F194" s="108">
        <f>IF(ISNUMBER(D194), $B199 * E194, "")</f>
        <v>-15254.23728813559</v>
      </c>
      <c r="G194" s="109">
        <v>15.8</v>
      </c>
      <c r="H194" s="107">
        <f>IF(ISNUMBER(G194), (G194 - $B194) / $B194, "")</f>
        <v>-0.10734463276836151</v>
      </c>
      <c r="I194" s="110">
        <f>IF(ISNUMBER(G194), $B199 * H194, "")</f>
        <v>-10734.463276836152</v>
      </c>
      <c r="J194" s="106">
        <v>15.5</v>
      </c>
      <c r="K194" s="107">
        <f>IF(ISNUMBER(J194), (J194 - $B194) / $B194, "")</f>
        <v>-0.12429378531073443</v>
      </c>
      <c r="L194" s="108">
        <f>IF(ISNUMBER(J194), $B199 * K194, "")</f>
        <v>-12429.378531073442</v>
      </c>
      <c r="M194" s="109">
        <v>15.1</v>
      </c>
      <c r="N194" s="107">
        <f>IF(ISNUMBER(M194), (M194 - $B194) / $B194, "")</f>
        <v>-0.14689265536723162</v>
      </c>
      <c r="O194" s="108">
        <f>IF(ISNUMBER(M194), $B199 * N194, "")</f>
        <v>-14689.265536723162</v>
      </c>
      <c r="Q194" s="251"/>
      <c r="R194" s="251"/>
      <c r="S194" s="251"/>
    </row>
    <row r="195" spans="1:19" ht="17.25" thickBot="1">
      <c r="A195" s="162" t="s">
        <v>246</v>
      </c>
      <c r="B195" s="126">
        <v>61.9</v>
      </c>
      <c r="C195" s="77">
        <v>-0.1929595828</v>
      </c>
      <c r="D195" s="15">
        <v>52.7</v>
      </c>
      <c r="E195" s="32">
        <f t="shared" ref="E195:E198" si="106">IF(ISNUMBER(D195), (D195 - $B195) / $B195, "")</f>
        <v>-0.1486268174474959</v>
      </c>
      <c r="F195" s="18">
        <f>IF(ISNUMBER(D195), $B199 * E195, "")</f>
        <v>-14862.681744749589</v>
      </c>
      <c r="G195" s="31">
        <v>53.1</v>
      </c>
      <c r="H195" s="32">
        <f t="shared" ref="H195:H198" si="107">IF(ISNUMBER(G195), (G195 - $B195) / $B195, "")</f>
        <v>-0.14216478190630044</v>
      </c>
      <c r="I195" s="101">
        <f>IF(ISNUMBER(G195), $B199 * H195, "")</f>
        <v>-14216.478190630045</v>
      </c>
      <c r="J195" s="15">
        <v>52.7</v>
      </c>
      <c r="K195" s="32">
        <f t="shared" ref="K195:K198" si="108">IF(ISNUMBER(J195), (J195 - $B195) / $B195, "")</f>
        <v>-0.1486268174474959</v>
      </c>
      <c r="L195" s="18">
        <f>IF(ISNUMBER(J195), $B199 * K195, "")</f>
        <v>-14862.681744749589</v>
      </c>
      <c r="M195" s="31">
        <v>53.1</v>
      </c>
      <c r="N195" s="32">
        <f t="shared" ref="N195:N198" si="109">IF(ISNUMBER(M195), (M195 - $B195) / $B195, "")</f>
        <v>-0.14216478190630044</v>
      </c>
      <c r="O195" s="18">
        <f>IF(ISNUMBER(M195), $B199 * N195, "")</f>
        <v>-14216.478190630045</v>
      </c>
      <c r="Q195" s="251"/>
      <c r="R195" s="251"/>
      <c r="S195" s="251"/>
    </row>
    <row r="196" spans="1:19" ht="17.25" thickBot="1">
      <c r="A196" s="162" t="s">
        <v>277</v>
      </c>
      <c r="B196" s="126">
        <v>55.2</v>
      </c>
      <c r="C196" s="77">
        <v>-0.19650655019999999</v>
      </c>
      <c r="D196" s="15">
        <v>49.3</v>
      </c>
      <c r="E196" s="32">
        <f t="shared" si="106"/>
        <v>-0.10688405797101459</v>
      </c>
      <c r="F196" s="18">
        <f>IF(ISNUMBER(D196), $B199 * E196, "")</f>
        <v>-10688.405797101459</v>
      </c>
      <c r="G196" s="31">
        <v>49.2</v>
      </c>
      <c r="H196" s="32">
        <f t="shared" si="107"/>
        <v>-0.10869565217391304</v>
      </c>
      <c r="I196" s="101">
        <f>IF(ISNUMBER(G196), $B199 * H196, "")</f>
        <v>-10869.565217391304</v>
      </c>
      <c r="J196" s="15">
        <v>47.9</v>
      </c>
      <c r="K196" s="32">
        <f t="shared" si="108"/>
        <v>-0.13224637681159426</v>
      </c>
      <c r="L196" s="18">
        <f>IF(ISNUMBER(J196), $B199 * K196, "")</f>
        <v>-13224.637681159425</v>
      </c>
      <c r="M196" s="31">
        <v>48</v>
      </c>
      <c r="N196" s="32">
        <f t="shared" si="109"/>
        <v>-0.1304347826086957</v>
      </c>
      <c r="O196" s="18">
        <f>IF(ISNUMBER(M196), $B199 * N196, "")</f>
        <v>-13043.47826086957</v>
      </c>
      <c r="Q196" s="251"/>
      <c r="R196" s="251"/>
      <c r="S196" s="251"/>
    </row>
    <row r="197" spans="1:19">
      <c r="A197" s="162" t="s">
        <v>248</v>
      </c>
      <c r="B197" s="126">
        <v>100</v>
      </c>
      <c r="C197" s="77">
        <v>-0.2</v>
      </c>
      <c r="D197" s="15">
        <v>85.5</v>
      </c>
      <c r="E197" s="32">
        <f t="shared" si="106"/>
        <v>-0.14499999999999999</v>
      </c>
      <c r="F197" s="18">
        <f>IF(ISNUMBER(D197), $B199 * E197, "")</f>
        <v>-14499.999999999998</v>
      </c>
      <c r="G197" s="31">
        <v>85.2</v>
      </c>
      <c r="H197" s="32">
        <f t="shared" si="107"/>
        <v>-0.14799999999999996</v>
      </c>
      <c r="I197" s="101">
        <f>IF(ISNUMBER(G197), $B199 * H197, "")</f>
        <v>-14799.999999999996</v>
      </c>
      <c r="J197" s="15">
        <v>86.4</v>
      </c>
      <c r="K197" s="32">
        <f t="shared" si="108"/>
        <v>-0.13599999999999995</v>
      </c>
      <c r="L197" s="18">
        <f>IF(ISNUMBER(J197), $B199 * K197, "")</f>
        <v>-13599.999999999995</v>
      </c>
      <c r="M197" s="31">
        <v>85.2</v>
      </c>
      <c r="N197" s="32">
        <f t="shared" si="109"/>
        <v>-0.14799999999999996</v>
      </c>
      <c r="O197" s="18">
        <f>IF(ISNUMBER(M197), $B199 * N197, "")</f>
        <v>-14799.999999999996</v>
      </c>
      <c r="Q197" s="240"/>
      <c r="R197" s="241"/>
      <c r="S197" s="242"/>
    </row>
    <row r="198" spans="1:19" ht="17.25" thickBot="1">
      <c r="A198" s="130" t="s">
        <v>231</v>
      </c>
      <c r="B198" s="131">
        <v>308</v>
      </c>
      <c r="C198" s="79">
        <v>-0.20618556699999999</v>
      </c>
      <c r="D198" s="24">
        <v>269</v>
      </c>
      <c r="E198" s="25">
        <f t="shared" si="106"/>
        <v>-0.12662337662337661</v>
      </c>
      <c r="F198" s="104">
        <f>IF(ISNUMBER(D198), $B199 * E198, "")</f>
        <v>-12662.337662337661</v>
      </c>
      <c r="G198" s="102">
        <v>268</v>
      </c>
      <c r="H198" s="25">
        <f t="shared" si="107"/>
        <v>-0.12987012987012986</v>
      </c>
      <c r="I198" s="103">
        <f>IF(ISNUMBER(G198), $B199 * H198, "")</f>
        <v>-12987.012987012986</v>
      </c>
      <c r="J198" s="24">
        <v>263</v>
      </c>
      <c r="K198" s="25">
        <f t="shared" si="108"/>
        <v>-0.1461038961038961</v>
      </c>
      <c r="L198" s="104">
        <f>IF(ISNUMBER(J198), $B199 * K198, "")</f>
        <v>-14610.38961038961</v>
      </c>
      <c r="M198" s="102">
        <v>270</v>
      </c>
      <c r="N198" s="25">
        <f t="shared" si="109"/>
        <v>-0.12337662337662338</v>
      </c>
      <c r="O198" s="104">
        <f>IF(ISNUMBER(M198), $B199 * N198, "")</f>
        <v>-12337.662337662337</v>
      </c>
      <c r="Q198" s="243"/>
      <c r="R198" s="244"/>
      <c r="S198" s="245"/>
    </row>
    <row r="199" spans="1:19" ht="17.25" thickBot="1">
      <c r="A199" s="132" t="s">
        <v>295</v>
      </c>
      <c r="B199" s="304">
        <f>$B$37</f>
        <v>100000</v>
      </c>
      <c r="C199" s="305"/>
      <c r="D199" s="26" t="s">
        <v>296</v>
      </c>
      <c r="E199" s="27">
        <f>IF(COUNT(E179:E198), SUM(E179:E198) / COUNT(E179:E198), 0)</f>
        <v>-6.1413080625273155E-2</v>
      </c>
      <c r="F199" s="28">
        <f>SUM(F179:F198)</f>
        <v>-122826.16125054628</v>
      </c>
      <c r="G199" s="26" t="s">
        <v>296</v>
      </c>
      <c r="H199" s="27">
        <f>IF(COUNT(H179:H198), SUM(H179:H198) / COUNT(H179:H198), 0)</f>
        <v>-5.2384531868051532E-2</v>
      </c>
      <c r="I199" s="28">
        <f>SUM(I179:I198)</f>
        <v>-104769.06373610305</v>
      </c>
      <c r="J199" s="26" t="s">
        <v>296</v>
      </c>
      <c r="K199" s="27">
        <f>IF(COUNT(K179:K198), SUM(K179:K198) / COUNT(K179:K198), 0)</f>
        <v>-6.9745060151443744E-2</v>
      </c>
      <c r="L199" s="28">
        <f>SUM(L179:L198)</f>
        <v>-139490.12030288749</v>
      </c>
      <c r="M199" s="26" t="s">
        <v>296</v>
      </c>
      <c r="N199" s="27">
        <f>IF(COUNT(N179:N198), SUM(N179:N198) / COUNT(N179:N198), 0)</f>
        <v>-7.4335220648563766E-2</v>
      </c>
      <c r="O199" s="28">
        <f>SUM(O179:O198)</f>
        <v>-148670.44129712752</v>
      </c>
      <c r="Q199" s="246"/>
      <c r="R199" s="247"/>
      <c r="S199" s="24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23" priority="18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9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8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8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8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8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8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8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8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8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21:C36 M17:O36 B17:C20">
    <cfRule type="expression" dxfId="713" priority="169">
      <formula>AND($N17 &gt; 0, ISNUMBER($N17))</formula>
    </cfRule>
    <cfRule type="expression" dxfId="712" priority="170">
      <formula>AND($N17 = 0 * ISNUMBER($N17))</formula>
    </cfRule>
    <cfRule type="expression" dxfId="711" priority="171">
      <formula>AND($N17 &lt; 0, ISNUMBER($N17))</formula>
    </cfRule>
  </conditionalFormatting>
  <conditionalFormatting sqref="A21:F36 B17:F20">
    <cfRule type="expression" dxfId="710" priority="178">
      <formula>AND($E17 &gt; 0, ISNUMBER($E17))</formula>
    </cfRule>
    <cfRule type="expression" dxfId="709" priority="179">
      <formula>AND($E17 = 0 * ISNUMBER($E17))</formula>
    </cfRule>
    <cfRule type="expression" dxfId="708" priority="180">
      <formula>AND($E17 &lt; 0, ISNUMBER($E17))</formula>
    </cfRule>
  </conditionalFormatting>
  <conditionalFormatting sqref="A21:C36 G17:I36 B17:C20">
    <cfRule type="expression" dxfId="707" priority="175">
      <formula>AND($H17 &gt; 0, ISNUMBER($H17))</formula>
    </cfRule>
    <cfRule type="expression" dxfId="706" priority="176">
      <formula>AND($H17 = 0 * ISNUMBER($H17))</formula>
    </cfRule>
    <cfRule type="expression" dxfId="705" priority="177">
      <formula>AND($H17 &lt; 0, ISNUMBER($H17))</formula>
    </cfRule>
  </conditionalFormatting>
  <conditionalFormatting sqref="A21:C36 J17:L36 B17:C20">
    <cfRule type="expression" dxfId="704" priority="172">
      <formula>AND($K17 &gt; 0, ISNUMBER($K17))</formula>
    </cfRule>
    <cfRule type="expression" dxfId="703" priority="173">
      <formula>AND($K17 = 0 * ISNUMBER($K17))</formula>
    </cfRule>
    <cfRule type="expression" dxfId="702" priority="174">
      <formula>AND($K17 &lt; 0, ISNUMBER($K17))</formula>
    </cfRule>
  </conditionalFormatting>
  <conditionalFormatting sqref="D15:F16 E37:F37">
    <cfRule type="expression" dxfId="701" priority="166">
      <formula>$E$37 &gt; 0</formula>
    </cfRule>
    <cfRule type="expression" dxfId="700" priority="167">
      <formula>$E$37 = 0</formula>
    </cfRule>
    <cfRule type="expression" dxfId="699" priority="168">
      <formula>$E$37 &lt; 0</formula>
    </cfRule>
  </conditionalFormatting>
  <conditionalFormatting sqref="G15:I16 H37:I37">
    <cfRule type="expression" dxfId="698" priority="163">
      <formula>$H$37 &gt; 0</formula>
    </cfRule>
    <cfRule type="expression" dxfId="697" priority="164">
      <formula>$H$37 = 0</formula>
    </cfRule>
    <cfRule type="expression" dxfId="696" priority="165">
      <formula>$H$37 &lt; 0</formula>
    </cfRule>
  </conditionalFormatting>
  <conditionalFormatting sqref="J15:L16 K37:L37">
    <cfRule type="expression" dxfId="695" priority="160">
      <formula>$K$37 &gt; 0</formula>
    </cfRule>
    <cfRule type="expression" dxfId="694" priority="161">
      <formula>$K$37 = 0</formula>
    </cfRule>
    <cfRule type="expression" dxfId="693" priority="162">
      <formula>$K$37 &lt; 0</formula>
    </cfRule>
  </conditionalFormatting>
  <conditionalFormatting sqref="M15:O16 N37:O37">
    <cfRule type="expression" dxfId="692" priority="157">
      <formula>$N$37 &gt; 0</formula>
    </cfRule>
    <cfRule type="expression" dxfId="691" priority="158">
      <formula>$N$37 = 0</formula>
    </cfRule>
    <cfRule type="expression" dxfId="690" priority="159">
      <formula>$N$37 &lt; 0</formula>
    </cfRule>
  </conditionalFormatting>
  <conditionalFormatting sqref="A44:C63 M44:O63">
    <cfRule type="expression" dxfId="689" priority="145">
      <formula>AND($N44 &gt; 0, ISNUMBER($N44))</formula>
    </cfRule>
    <cfRule type="expression" dxfId="688" priority="146">
      <formula>AND($N44 = 0 * ISNUMBER($N44))</formula>
    </cfRule>
    <cfRule type="expression" dxfId="687" priority="147">
      <formula>AND($N44 &lt; 0, ISNUMBER($N44))</formula>
    </cfRule>
  </conditionalFormatting>
  <conditionalFormatting sqref="A44:F63">
    <cfRule type="expression" dxfId="686" priority="154">
      <formula>AND($E44 &gt; 0, ISNUMBER($E44))</formula>
    </cfRule>
    <cfRule type="expression" dxfId="685" priority="155">
      <formula>AND($E44 = 0 * ISNUMBER($E44))</formula>
    </cfRule>
    <cfRule type="expression" dxfId="684" priority="156">
      <formula>AND($E44 &lt; 0, ISNUMBER($E44))</formula>
    </cfRule>
  </conditionalFormatting>
  <conditionalFormatting sqref="A44:C63 G44:I63">
    <cfRule type="expression" dxfId="683" priority="151">
      <formula>AND($H44 &gt; 0, ISNUMBER($H44))</formula>
    </cfRule>
    <cfRule type="expression" dxfId="682" priority="152">
      <formula>AND($H44 = 0 * ISNUMBER($H44))</formula>
    </cfRule>
    <cfRule type="expression" dxfId="681" priority="153">
      <formula>AND($H44 &lt; 0, ISNUMBER($H44))</formula>
    </cfRule>
  </conditionalFormatting>
  <conditionalFormatting sqref="A44:C63 J44:L63">
    <cfRule type="expression" dxfId="680" priority="148">
      <formula>AND($K44 &gt; 0, ISNUMBER($K44))</formula>
    </cfRule>
    <cfRule type="expression" dxfId="679" priority="149">
      <formula>AND($K44 = 0 * ISNUMBER($K44))</formula>
    </cfRule>
    <cfRule type="expression" dxfId="678" priority="150">
      <formula>AND($K44 &lt; 0, ISNUMBER($K44))</formula>
    </cfRule>
  </conditionalFormatting>
  <conditionalFormatting sqref="D42:F43 E64:F64">
    <cfRule type="expression" dxfId="677" priority="142">
      <formula>$E$64 &gt; 0</formula>
    </cfRule>
    <cfRule type="expression" dxfId="676" priority="143">
      <formula>$E$64 = 0</formula>
    </cfRule>
    <cfRule type="expression" dxfId="675" priority="144">
      <formula>$E$64 &lt; 0</formula>
    </cfRule>
  </conditionalFormatting>
  <conditionalFormatting sqref="G42:I43 H64:I64">
    <cfRule type="expression" dxfId="674" priority="139">
      <formula>$H$64 &gt; 0</formula>
    </cfRule>
    <cfRule type="expression" dxfId="673" priority="140">
      <formula>$H$64 = 0</formula>
    </cfRule>
    <cfRule type="expression" dxfId="672" priority="141">
      <formula>$H$64 &lt; 0</formula>
    </cfRule>
  </conditionalFormatting>
  <conditionalFormatting sqref="J42:L43 K64:L64">
    <cfRule type="expression" dxfId="671" priority="136">
      <formula>$K$64 &gt; 0</formula>
    </cfRule>
    <cfRule type="expression" dxfId="670" priority="137">
      <formula>$K$64 = 0</formula>
    </cfRule>
    <cfRule type="expression" dxfId="669" priority="138">
      <formula>$K$64 &lt; 0</formula>
    </cfRule>
  </conditionalFormatting>
  <conditionalFormatting sqref="M42:O43 N64:O64">
    <cfRule type="expression" dxfId="668" priority="133">
      <formula>$N$64 &gt; 0</formula>
    </cfRule>
    <cfRule type="expression" dxfId="667" priority="134">
      <formula>$N$64 = 0</formula>
    </cfRule>
    <cfRule type="expression" dxfId="666" priority="135">
      <formula>$N$64 &lt; 0</formula>
    </cfRule>
  </conditionalFormatting>
  <conditionalFormatting sqref="A71:C90 M71:O90">
    <cfRule type="expression" dxfId="665" priority="121">
      <formula>AND($N71 &gt; 0, ISNUMBER($N71))</formula>
    </cfRule>
    <cfRule type="expression" dxfId="664" priority="122">
      <formula>AND($N71 = 0 * ISNUMBER($N71))</formula>
    </cfRule>
    <cfRule type="expression" dxfId="663" priority="123">
      <formula>AND($N71 &lt; 0, ISNUMBER($N71))</formula>
    </cfRule>
  </conditionalFormatting>
  <conditionalFormatting sqref="A71:F90">
    <cfRule type="expression" dxfId="662" priority="130">
      <formula>AND($E71 &gt; 0, ISNUMBER($E71))</formula>
    </cfRule>
    <cfRule type="expression" dxfId="661" priority="131">
      <formula>AND($E71 = 0 * ISNUMBER($E71))</formula>
    </cfRule>
    <cfRule type="expression" dxfId="660" priority="132">
      <formula>AND($E71 &lt; 0, ISNUMBER($E71))</formula>
    </cfRule>
  </conditionalFormatting>
  <conditionalFormatting sqref="A71:C90 G71:I90">
    <cfRule type="expression" dxfId="659" priority="127">
      <formula>AND($H71 &gt; 0, ISNUMBER($H71))</formula>
    </cfRule>
    <cfRule type="expression" dxfId="658" priority="128">
      <formula>AND($H71 = 0 * ISNUMBER($H71))</formula>
    </cfRule>
    <cfRule type="expression" dxfId="657" priority="129">
      <formula>AND($H71 &lt; 0, ISNUMBER($H71))</formula>
    </cfRule>
  </conditionalFormatting>
  <conditionalFormatting sqref="A71:C90 J71:L90">
    <cfRule type="expression" dxfId="656" priority="124">
      <formula>AND($K71 &gt; 0, ISNUMBER($K71))</formula>
    </cfRule>
    <cfRule type="expression" dxfId="655" priority="125">
      <formula>AND($K71 = 0 * ISNUMBER($K71))</formula>
    </cfRule>
    <cfRule type="expression" dxfId="654" priority="126">
      <formula>AND($K71 &lt; 0, ISNUMBER($K71))</formula>
    </cfRule>
  </conditionalFormatting>
  <conditionalFormatting sqref="D69:F70 E91:F91">
    <cfRule type="expression" dxfId="653" priority="118">
      <formula>$E$91 &gt; 0</formula>
    </cfRule>
    <cfRule type="expression" dxfId="652" priority="119">
      <formula>$E$91 = 0</formula>
    </cfRule>
    <cfRule type="expression" dxfId="651" priority="120">
      <formula>$E$91 &lt; 0</formula>
    </cfRule>
  </conditionalFormatting>
  <conditionalFormatting sqref="G69:I70 H91:I91">
    <cfRule type="expression" dxfId="650" priority="115">
      <formula>$H$91 &gt; 0</formula>
    </cfRule>
    <cfRule type="expression" dxfId="649" priority="116">
      <formula>$H$91 = 0</formula>
    </cfRule>
    <cfRule type="expression" dxfId="648" priority="117">
      <formula>$H$91 &lt; 0</formula>
    </cfRule>
  </conditionalFormatting>
  <conditionalFormatting sqref="J69:L70 K91:L91">
    <cfRule type="expression" dxfId="647" priority="112">
      <formula>$K$91 &gt; 0</formula>
    </cfRule>
    <cfRule type="expression" dxfId="646" priority="113">
      <formula>$K$91 = 0</formula>
    </cfRule>
    <cfRule type="expression" dxfId="645" priority="114">
      <formula>$K$91 &lt; 0</formula>
    </cfRule>
  </conditionalFormatting>
  <conditionalFormatting sqref="M69:O70 N91:O91">
    <cfRule type="expression" dxfId="644" priority="109">
      <formula>$N$91 &gt; 0</formula>
    </cfRule>
    <cfRule type="expression" dxfId="643" priority="110">
      <formula>$N$91 = 0</formula>
    </cfRule>
    <cfRule type="expression" dxfId="642" priority="111">
      <formula>$N$91 &lt; 0</formula>
    </cfRule>
  </conditionalFormatting>
  <conditionalFormatting sqref="A98:C117 M98:O117">
    <cfRule type="expression" dxfId="641" priority="97">
      <formula>AND($N98 &gt; 0, ISNUMBER($N98))</formula>
    </cfRule>
    <cfRule type="expression" dxfId="640" priority="98">
      <formula>AND($N98 = 0 * ISNUMBER($N98))</formula>
    </cfRule>
    <cfRule type="expression" dxfId="639" priority="99">
      <formula>AND($N98 &lt; 0, ISNUMBER($N98))</formula>
    </cfRule>
  </conditionalFormatting>
  <conditionalFormatting sqref="A98:F117">
    <cfRule type="expression" dxfId="638" priority="106">
      <formula>AND($E98 &gt; 0, ISNUMBER($E98))</formula>
    </cfRule>
    <cfRule type="expression" dxfId="637" priority="107">
      <formula>AND($E98 = 0 * ISNUMBER($E98))</formula>
    </cfRule>
    <cfRule type="expression" dxfId="636" priority="108">
      <formula>AND($E98 &lt; 0, ISNUMBER($E98))</formula>
    </cfRule>
  </conditionalFormatting>
  <conditionalFormatting sqref="A98:C117 G98:I117">
    <cfRule type="expression" dxfId="635" priority="103">
      <formula>AND($H98 &gt; 0, ISNUMBER($H98))</formula>
    </cfRule>
    <cfRule type="expression" dxfId="634" priority="104">
      <formula>AND($H98 = 0 * ISNUMBER($H98))</formula>
    </cfRule>
    <cfRule type="expression" dxfId="633" priority="105">
      <formula>AND($H98 &lt; 0, ISNUMBER($H98))</formula>
    </cfRule>
  </conditionalFormatting>
  <conditionalFormatting sqref="A98:C117 J98:L117">
    <cfRule type="expression" dxfId="632" priority="100">
      <formula>AND($K98 &gt; 0, ISNUMBER($K98))</formula>
    </cfRule>
    <cfRule type="expression" dxfId="631" priority="101">
      <formula>AND($K98 = 0 * ISNUMBER($K98))</formula>
    </cfRule>
    <cfRule type="expression" dxfId="630" priority="102">
      <formula>AND($K98 &lt; 0, ISNUMBER($K98))</formula>
    </cfRule>
  </conditionalFormatting>
  <conditionalFormatting sqref="D96:F97 E118:F118">
    <cfRule type="expression" dxfId="629" priority="94">
      <formula>$E$118 &gt; 0</formula>
    </cfRule>
    <cfRule type="expression" dxfId="628" priority="95">
      <formula>$E$118 = 0</formula>
    </cfRule>
    <cfRule type="expression" dxfId="627" priority="96">
      <formula>$E$118 &lt; 0</formula>
    </cfRule>
  </conditionalFormatting>
  <conditionalFormatting sqref="G96:I97 H118:I118">
    <cfRule type="expression" dxfId="626" priority="91">
      <formula>$H$118 &gt; 0</formula>
    </cfRule>
    <cfRule type="expression" dxfId="625" priority="92">
      <formula>$H$118 = 0</formula>
    </cfRule>
    <cfRule type="expression" dxfId="624" priority="93">
      <formula>$H$118 &lt; 0</formula>
    </cfRule>
  </conditionalFormatting>
  <conditionalFormatting sqref="J96:L97 K118:L118">
    <cfRule type="expression" dxfId="623" priority="88">
      <formula>$K$118 &gt; 0</formula>
    </cfRule>
    <cfRule type="expression" dxfId="622" priority="89">
      <formula>$K$118 = 0</formula>
    </cfRule>
    <cfRule type="expression" dxfId="621" priority="90">
      <formula>$K$118 &lt; 0</formula>
    </cfRule>
  </conditionalFormatting>
  <conditionalFormatting sqref="M96:O97 N118:O118">
    <cfRule type="expression" dxfId="620" priority="85">
      <formula>$N$118 &gt; 0</formula>
    </cfRule>
    <cfRule type="expression" dxfId="619" priority="86">
      <formula>$N$118 = 0</formula>
    </cfRule>
    <cfRule type="expression" dxfId="618" priority="87">
      <formula>$N$118 &lt; 0</formula>
    </cfRule>
  </conditionalFormatting>
  <conditionalFormatting sqref="A125:C144 M125:O144">
    <cfRule type="expression" dxfId="617" priority="73">
      <formula>AND($N125 &gt; 0, ISNUMBER($N125))</formula>
    </cfRule>
    <cfRule type="expression" dxfId="616" priority="74">
      <formula>AND($N125 = 0 * ISNUMBER($N125))</formula>
    </cfRule>
    <cfRule type="expression" dxfId="615" priority="75">
      <formula>AND($N125 &lt; 0, ISNUMBER($N125))</formula>
    </cfRule>
  </conditionalFormatting>
  <conditionalFormatting sqref="A125:F144">
    <cfRule type="expression" dxfId="614" priority="82">
      <formula>AND($E125 &gt; 0, ISNUMBER($E125))</formula>
    </cfRule>
    <cfRule type="expression" dxfId="613" priority="83">
      <formula>AND($E125 = 0 * ISNUMBER($E125))</formula>
    </cfRule>
    <cfRule type="expression" dxfId="612" priority="84">
      <formula>AND($E125 &lt; 0, ISNUMBER($E125))</formula>
    </cfRule>
  </conditionalFormatting>
  <conditionalFormatting sqref="A125:C144 G125:I144">
    <cfRule type="expression" dxfId="611" priority="79">
      <formula>AND($H125 &gt; 0, ISNUMBER($H125))</formula>
    </cfRule>
    <cfRule type="expression" dxfId="610" priority="80">
      <formula>AND($H125 = 0 * ISNUMBER($H125))</formula>
    </cfRule>
    <cfRule type="expression" dxfId="609" priority="81">
      <formula>AND($H125 &lt; 0, ISNUMBER($H125))</formula>
    </cfRule>
  </conditionalFormatting>
  <conditionalFormatting sqref="A125:C144 J125:L144">
    <cfRule type="expression" dxfId="608" priority="76">
      <formula>AND($K125 &gt; 0, ISNUMBER($K125))</formula>
    </cfRule>
    <cfRule type="expression" dxfId="607" priority="77">
      <formula>AND($K125 = 0 * ISNUMBER($K125))</formula>
    </cfRule>
    <cfRule type="expression" dxfId="606" priority="78">
      <formula>AND($K125 &lt; 0, ISNUMBER($K125))</formula>
    </cfRule>
  </conditionalFormatting>
  <conditionalFormatting sqref="D123:F124 E145:F145">
    <cfRule type="expression" dxfId="605" priority="70">
      <formula>$E$145 &gt; 0</formula>
    </cfRule>
    <cfRule type="expression" dxfId="604" priority="71">
      <formula>$E$145 = 0</formula>
    </cfRule>
    <cfRule type="expression" dxfId="603" priority="72">
      <formula>$E$145 &lt; 0</formula>
    </cfRule>
  </conditionalFormatting>
  <conditionalFormatting sqref="G123:I124 H145:I145">
    <cfRule type="expression" dxfId="602" priority="67">
      <formula>$H$145 &gt; 0</formula>
    </cfRule>
    <cfRule type="expression" dxfId="601" priority="68">
      <formula>$H$145 = 0</formula>
    </cfRule>
    <cfRule type="expression" dxfId="600" priority="69">
      <formula>$H$145 &lt; 0</formula>
    </cfRule>
  </conditionalFormatting>
  <conditionalFormatting sqref="J123:L124 K145:L145">
    <cfRule type="expression" dxfId="599" priority="64">
      <formula>$K$145 &gt; 0</formula>
    </cfRule>
    <cfRule type="expression" dxfId="598" priority="65">
      <formula>$K$145 = 0</formula>
    </cfRule>
    <cfRule type="expression" dxfId="597" priority="66">
      <formula>$K$145 &lt; 0</formula>
    </cfRule>
  </conditionalFormatting>
  <conditionalFormatting sqref="M123:O124 N145:O145">
    <cfRule type="expression" dxfId="596" priority="61">
      <formula>$N$145 &gt; 0</formula>
    </cfRule>
    <cfRule type="expression" dxfId="595" priority="62">
      <formula>$N$145 = 0</formula>
    </cfRule>
    <cfRule type="expression" dxfId="594" priority="63">
      <formula>$N$145 &lt; 0</formula>
    </cfRule>
  </conditionalFormatting>
  <conditionalFormatting sqref="A152:C171 M152:O171">
    <cfRule type="expression" dxfId="593" priority="49">
      <formula>AND($N152 &gt; 0, ISNUMBER($N152))</formula>
    </cfRule>
    <cfRule type="expression" dxfId="592" priority="50">
      <formula>AND($N152 = 0 * ISNUMBER($N152))</formula>
    </cfRule>
    <cfRule type="expression" dxfId="591" priority="51">
      <formula>AND($N152 &lt; 0, ISNUMBER($N152))</formula>
    </cfRule>
  </conditionalFormatting>
  <conditionalFormatting sqref="A152:F171">
    <cfRule type="expression" dxfId="590" priority="58">
      <formula>AND($E152 &gt; 0, ISNUMBER($E152))</formula>
    </cfRule>
    <cfRule type="expression" dxfId="589" priority="59">
      <formula>AND($E152 = 0 * ISNUMBER($E152))</formula>
    </cfRule>
    <cfRule type="expression" dxfId="588" priority="60">
      <formula>AND($E152 &lt; 0, ISNUMBER($E152))</formula>
    </cfRule>
  </conditionalFormatting>
  <conditionalFormatting sqref="A152:C171 G152:I171">
    <cfRule type="expression" dxfId="587" priority="55">
      <formula>AND($H152 &gt; 0, ISNUMBER($H152))</formula>
    </cfRule>
    <cfRule type="expression" dxfId="586" priority="56">
      <formula>AND($H152 = 0 * ISNUMBER($H152))</formula>
    </cfRule>
    <cfRule type="expression" dxfId="585" priority="57">
      <formula>AND($H152 &lt; 0, ISNUMBER($H152))</formula>
    </cfRule>
  </conditionalFormatting>
  <conditionalFormatting sqref="A152:C171 J152:L171">
    <cfRule type="expression" dxfId="584" priority="52">
      <formula>AND($K152 &gt; 0, ISNUMBER($K152))</formula>
    </cfRule>
    <cfRule type="expression" dxfId="583" priority="53">
      <formula>AND($K152 = 0 * ISNUMBER($K152))</formula>
    </cfRule>
    <cfRule type="expression" dxfId="582" priority="54">
      <formula>AND($K152 &lt; 0, ISNUMBER($K152))</formula>
    </cfRule>
  </conditionalFormatting>
  <conditionalFormatting sqref="D150:F151 E172:F172">
    <cfRule type="expression" dxfId="581" priority="46">
      <formula>$E$172 &gt; 0</formula>
    </cfRule>
    <cfRule type="expression" dxfId="580" priority="47">
      <formula>$E$172 = 0</formula>
    </cfRule>
    <cfRule type="expression" dxfId="579" priority="48">
      <formula>$E$172 &lt; 0</formula>
    </cfRule>
  </conditionalFormatting>
  <conditionalFormatting sqref="G150:I151 H172:I172">
    <cfRule type="expression" dxfId="578" priority="43">
      <formula>$H$172 &gt; 0</formula>
    </cfRule>
    <cfRule type="expression" dxfId="577" priority="44">
      <formula>$H$172 = 0</formula>
    </cfRule>
    <cfRule type="expression" dxfId="576" priority="45">
      <formula>$H$172 &lt; 0</formula>
    </cfRule>
  </conditionalFormatting>
  <conditionalFormatting sqref="J150:L151 K172:L172">
    <cfRule type="expression" dxfId="575" priority="40">
      <formula>$K$172 &gt; 0</formula>
    </cfRule>
    <cfRule type="expression" dxfId="574" priority="41">
      <formula>$K$172 = 0</formula>
    </cfRule>
    <cfRule type="expression" dxfId="573" priority="42">
      <formula>$K$172 &lt; 0</formula>
    </cfRule>
  </conditionalFormatting>
  <conditionalFormatting sqref="M150:O151 N172:O172">
    <cfRule type="expression" dxfId="572" priority="37">
      <formula>$N$172 &gt; 0</formula>
    </cfRule>
    <cfRule type="expression" dxfId="571" priority="38">
      <formula>$N$172 = 0</formula>
    </cfRule>
    <cfRule type="expression" dxfId="570" priority="39">
      <formula>$N$172 &lt; 0</formula>
    </cfRule>
  </conditionalFormatting>
  <conditionalFormatting sqref="A179:C198 M179:O198">
    <cfRule type="expression" dxfId="569" priority="25">
      <formula>AND($N179 &gt; 0, ISNUMBER($N179))</formula>
    </cfRule>
    <cfRule type="expression" dxfId="568" priority="26">
      <formula>AND($N179 = 0 * ISNUMBER($N179))</formula>
    </cfRule>
    <cfRule type="expression" dxfId="567" priority="27">
      <formula>AND($N179 &lt; 0, ISNUMBER($N179))</formula>
    </cfRule>
  </conditionalFormatting>
  <conditionalFormatting sqref="A179:F198">
    <cfRule type="expression" dxfId="566" priority="34">
      <formula>AND($E179 &gt; 0, ISNUMBER($E179))</formula>
    </cfRule>
    <cfRule type="expression" dxfId="565" priority="35">
      <formula>AND($E179 = 0 * ISNUMBER($E179))</formula>
    </cfRule>
    <cfRule type="expression" dxfId="564" priority="36">
      <formula>AND($E179 &lt; 0, ISNUMBER($E179))</formula>
    </cfRule>
  </conditionalFormatting>
  <conditionalFormatting sqref="A179:C198 G179:I198">
    <cfRule type="expression" dxfId="563" priority="31">
      <formula>AND($H179 &gt; 0, ISNUMBER($H179))</formula>
    </cfRule>
    <cfRule type="expression" dxfId="562" priority="32">
      <formula>AND($H179 = 0 * ISNUMBER($H179))</formula>
    </cfRule>
    <cfRule type="expression" dxfId="561" priority="33">
      <formula>AND($H179 &lt; 0, ISNUMBER($H179))</formula>
    </cfRule>
  </conditionalFormatting>
  <conditionalFormatting sqref="A179:C198 J179:L198">
    <cfRule type="expression" dxfId="560" priority="28">
      <formula>AND($K179 &gt; 0, ISNUMBER($K179))</formula>
    </cfRule>
    <cfRule type="expression" dxfId="559" priority="29">
      <formula>AND($K179 = 0 * ISNUMBER($K179))</formula>
    </cfRule>
    <cfRule type="expression" dxfId="558" priority="30">
      <formula>AND($K179 &lt; 0, ISNUMBER($K179))</formula>
    </cfRule>
  </conditionalFormatting>
  <conditionalFormatting sqref="D177:F178 E199:F199">
    <cfRule type="expression" dxfId="557" priority="22">
      <formula>$E$199 &gt; 0</formula>
    </cfRule>
    <cfRule type="expression" dxfId="556" priority="23">
      <formula>$E$199 = 0</formula>
    </cfRule>
    <cfRule type="expression" dxfId="555" priority="24">
      <formula>$E$199 &lt; 0</formula>
    </cfRule>
  </conditionalFormatting>
  <conditionalFormatting sqref="G177:I178 H199:I199">
    <cfRule type="expression" dxfId="554" priority="19">
      <formula>$H$199 &gt; 0</formula>
    </cfRule>
    <cfRule type="expression" dxfId="553" priority="20">
      <formula>$H$199 = 0</formula>
    </cfRule>
    <cfRule type="expression" dxfId="552" priority="21">
      <formula>$H$199 &lt; 0</formula>
    </cfRule>
  </conditionalFormatting>
  <conditionalFormatting sqref="J177:L178 K199:L199">
    <cfRule type="expression" dxfId="551" priority="16">
      <formula>$K$199 &gt; 0</formula>
    </cfRule>
    <cfRule type="expression" dxfId="550" priority="17">
      <formula>$K$199 = 0</formula>
    </cfRule>
    <cfRule type="expression" dxfId="549" priority="18">
      <formula>$K$199 &lt; 0</formula>
    </cfRule>
  </conditionalFormatting>
  <conditionalFormatting sqref="M177:O178 N199:O199">
    <cfRule type="expression" dxfId="548" priority="13">
      <formula>$N$199 &gt; 0</formula>
    </cfRule>
    <cfRule type="expression" dxfId="547" priority="14">
      <formula>$N$199 = 0</formula>
    </cfRule>
    <cfRule type="expression" dxfId="546" priority="15">
      <formula>$N$199 &lt; 0</formula>
    </cfRule>
  </conditionalFormatting>
  <conditionalFormatting sqref="A17:A20">
    <cfRule type="expression" dxfId="545" priority="1">
      <formula>AND($N17 &gt; 0, ISNUMBER($N17))</formula>
    </cfRule>
    <cfRule type="expression" dxfId="544" priority="2">
      <formula>AND($N17 = 0 * ISNUMBER($N17))</formula>
    </cfRule>
    <cfRule type="expression" dxfId="543" priority="3">
      <formula>AND($N17 &lt; 0, ISNUMBER($N17))</formula>
    </cfRule>
  </conditionalFormatting>
  <conditionalFormatting sqref="A17:A20">
    <cfRule type="expression" dxfId="542" priority="10">
      <formula>AND($E17 &gt; 0, ISNUMBER($E17))</formula>
    </cfRule>
    <cfRule type="expression" dxfId="541" priority="11">
      <formula>AND($E17 = 0 * ISNUMBER($E17))</formula>
    </cfRule>
    <cfRule type="expression" dxfId="540" priority="12">
      <formula>AND($E17 &lt; 0, ISNUMBER($E17))</formula>
    </cfRule>
  </conditionalFormatting>
  <conditionalFormatting sqref="A17:A20">
    <cfRule type="expression" dxfId="539" priority="7">
      <formula>AND($H17 &gt; 0, ISNUMBER($H17))</formula>
    </cfRule>
    <cfRule type="expression" dxfId="538" priority="8">
      <formula>AND($H17 = 0 * ISNUMBER($H17))</formula>
    </cfRule>
    <cfRule type="expression" dxfId="537" priority="9">
      <formula>AND($H17 &lt; 0, ISNUMBER($H17))</formula>
    </cfRule>
  </conditionalFormatting>
  <conditionalFormatting sqref="A17:A20">
    <cfRule type="expression" dxfId="536" priority="4">
      <formula>AND($K17 &gt; 0, ISNUMBER($K17))</formula>
    </cfRule>
    <cfRule type="expression" dxfId="535" priority="5">
      <formula>AND($K17 = 0 * ISNUMBER($K17))</formula>
    </cfRule>
    <cfRule type="expression" dxfId="534" priority="6">
      <formula>AND($K17 &lt; 0, ISNUMBER($K17))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22A67-95E4-4C85-98C3-C388C14E59AE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2" t="s">
        <v>0</v>
      </c>
      <c r="B1" s="263"/>
      <c r="C1" s="263"/>
      <c r="D1" s="263"/>
      <c r="E1" s="263"/>
      <c r="F1" s="264"/>
      <c r="G1" s="293">
        <v>44365</v>
      </c>
      <c r="H1" s="294"/>
      <c r="I1" s="295"/>
      <c r="J1" s="262" t="s">
        <v>1</v>
      </c>
      <c r="K1" s="263"/>
      <c r="L1" s="263"/>
      <c r="M1" s="263"/>
      <c r="N1" s="263"/>
      <c r="O1" s="264"/>
      <c r="Q1" s="262" t="s">
        <v>2</v>
      </c>
      <c r="R1" s="264"/>
    </row>
    <row r="2" spans="1:19" ht="17.25" customHeight="1">
      <c r="A2" s="117" t="s">
        <v>3</v>
      </c>
      <c r="B2" s="296" t="s">
        <v>8</v>
      </c>
      <c r="C2" s="297"/>
      <c r="D2" s="297"/>
      <c r="E2" s="297"/>
      <c r="F2" s="298"/>
      <c r="G2" s="290" t="s">
        <v>46</v>
      </c>
      <c r="H2" s="291"/>
      <c r="I2" s="292"/>
      <c r="J2" s="1" t="s">
        <v>3</v>
      </c>
      <c r="K2" s="296" t="s">
        <v>345</v>
      </c>
      <c r="L2" s="297"/>
      <c r="M2" s="297"/>
      <c r="N2" s="297"/>
      <c r="O2" s="298"/>
      <c r="Q2" s="2" t="s">
        <v>6</v>
      </c>
      <c r="R2" s="3">
        <v>0.375</v>
      </c>
    </row>
    <row r="3" spans="1:19" ht="17.25" customHeight="1" thickBot="1">
      <c r="A3" s="118" t="s">
        <v>7</v>
      </c>
      <c r="B3" s="287" t="s">
        <v>353</v>
      </c>
      <c r="C3" s="288"/>
      <c r="D3" s="288"/>
      <c r="E3" s="288"/>
      <c r="F3" s="289"/>
      <c r="G3" s="28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-105,727 KRW (-5.29%)</v>
      </c>
      <c r="H3" s="284"/>
      <c r="I3" s="285"/>
      <c r="J3" s="4" t="s">
        <v>7</v>
      </c>
      <c r="K3" s="287" t="s">
        <v>346</v>
      </c>
      <c r="L3" s="288"/>
      <c r="M3" s="288"/>
      <c r="N3" s="288"/>
      <c r="O3" s="28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7" t="s">
        <v>16</v>
      </c>
      <c r="C4" s="288"/>
      <c r="D4" s="288"/>
      <c r="E4" s="288"/>
      <c r="F4" s="289"/>
      <c r="G4" s="290" t="s">
        <v>44</v>
      </c>
      <c r="H4" s="291"/>
      <c r="I4" s="292"/>
      <c r="J4" s="4" t="s">
        <v>11</v>
      </c>
      <c r="K4" s="287" t="s">
        <v>347</v>
      </c>
      <c r="L4" s="288"/>
      <c r="M4" s="288"/>
      <c r="N4" s="288"/>
      <c r="O4" s="28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7" t="s">
        <v>344</v>
      </c>
      <c r="C5" s="288"/>
      <c r="D5" s="288"/>
      <c r="E5" s="288"/>
      <c r="F5" s="289"/>
      <c r="G5" s="28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-119,052 KRW (-5.95%)</v>
      </c>
      <c r="H5" s="284"/>
      <c r="I5" s="285"/>
      <c r="J5" s="4" t="s">
        <v>15</v>
      </c>
      <c r="K5" s="287" t="s">
        <v>348</v>
      </c>
      <c r="L5" s="288"/>
      <c r="M5" s="288"/>
      <c r="N5" s="288"/>
      <c r="O5" s="289"/>
    </row>
    <row r="6" spans="1:19">
      <c r="A6" s="118" t="s">
        <v>18</v>
      </c>
      <c r="B6" s="287"/>
      <c r="C6" s="288"/>
      <c r="D6" s="288"/>
      <c r="E6" s="288"/>
      <c r="F6" s="289"/>
      <c r="G6" s="290" t="s">
        <v>45</v>
      </c>
      <c r="H6" s="291"/>
      <c r="I6" s="292"/>
      <c r="J6" s="4" t="s">
        <v>18</v>
      </c>
      <c r="K6" s="287" t="s">
        <v>349</v>
      </c>
      <c r="L6" s="288"/>
      <c r="M6" s="288"/>
      <c r="N6" s="288"/>
      <c r="O6" s="289"/>
    </row>
    <row r="7" spans="1:19" ht="17.25" thickBot="1">
      <c r="A7" s="118" t="s">
        <v>21</v>
      </c>
      <c r="B7" s="287"/>
      <c r="C7" s="288"/>
      <c r="D7" s="288"/>
      <c r="E7" s="288"/>
      <c r="F7" s="289"/>
      <c r="G7" s="28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-132,992 KRW (-6.65%)</v>
      </c>
      <c r="H7" s="284"/>
      <c r="I7" s="285"/>
      <c r="J7" s="4" t="s">
        <v>21</v>
      </c>
      <c r="K7" s="287" t="s">
        <v>350</v>
      </c>
      <c r="L7" s="288"/>
      <c r="M7" s="288"/>
      <c r="N7" s="288"/>
      <c r="O7" s="289"/>
    </row>
    <row r="8" spans="1:19" ht="17.25" thickBot="1">
      <c r="A8" s="118" t="s">
        <v>24</v>
      </c>
      <c r="B8" s="287"/>
      <c r="C8" s="288"/>
      <c r="D8" s="288"/>
      <c r="E8" s="288"/>
      <c r="F8" s="289"/>
      <c r="G8" s="290" t="s">
        <v>280</v>
      </c>
      <c r="H8" s="291"/>
      <c r="I8" s="292"/>
      <c r="J8" s="4" t="s">
        <v>24</v>
      </c>
      <c r="K8" s="287"/>
      <c r="L8" s="288"/>
      <c r="M8" s="288"/>
      <c r="N8" s="288"/>
      <c r="O8" s="289"/>
      <c r="Q8" s="262" t="s">
        <v>27</v>
      </c>
      <c r="R8" s="264"/>
    </row>
    <row r="9" spans="1:19" ht="17.25" thickBot="1">
      <c r="A9" s="118" t="s">
        <v>28</v>
      </c>
      <c r="B9" s="287"/>
      <c r="C9" s="288"/>
      <c r="D9" s="288"/>
      <c r="E9" s="288"/>
      <c r="F9" s="289"/>
      <c r="G9" s="28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-214,891 KRW (-14.33%)</v>
      </c>
      <c r="H9" s="284"/>
      <c r="I9" s="285"/>
      <c r="J9" s="4" t="s">
        <v>28</v>
      </c>
      <c r="K9" s="287"/>
      <c r="L9" s="288"/>
      <c r="M9" s="288"/>
      <c r="N9" s="288"/>
      <c r="O9" s="289"/>
      <c r="Q9" s="2" t="s">
        <v>29</v>
      </c>
      <c r="R9" s="6">
        <v>10</v>
      </c>
    </row>
    <row r="10" spans="1:19">
      <c r="A10" s="118" t="s">
        <v>30</v>
      </c>
      <c r="B10" s="287"/>
      <c r="C10" s="288"/>
      <c r="D10" s="288"/>
      <c r="E10" s="288"/>
      <c r="F10" s="289"/>
      <c r="G10" s="290" t="s">
        <v>47</v>
      </c>
      <c r="H10" s="291"/>
      <c r="I10" s="292"/>
      <c r="J10" s="4" t="s">
        <v>30</v>
      </c>
      <c r="K10" s="287" t="s">
        <v>351</v>
      </c>
      <c r="L10" s="288"/>
      <c r="M10" s="288"/>
      <c r="N10" s="288"/>
      <c r="O10" s="289"/>
      <c r="Q10" s="2" t="s">
        <v>31</v>
      </c>
      <c r="R10" s="6">
        <v>100</v>
      </c>
    </row>
    <row r="11" spans="1:19" ht="17.25" thickBot="1">
      <c r="A11" s="119" t="s">
        <v>32</v>
      </c>
      <c r="B11" s="280" t="s">
        <v>352</v>
      </c>
      <c r="C11" s="281"/>
      <c r="D11" s="281"/>
      <c r="E11" s="281"/>
      <c r="F11" s="282"/>
      <c r="G11" s="28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-105,727 KRW (-5.29%)</v>
      </c>
      <c r="H11" s="284"/>
      <c r="I11" s="285"/>
      <c r="J11" s="7" t="s">
        <v>32</v>
      </c>
      <c r="K11" s="280" t="s">
        <v>343</v>
      </c>
      <c r="L11" s="281"/>
      <c r="M11" s="281"/>
      <c r="N11" s="281"/>
      <c r="O11" s="282"/>
      <c r="Q11" s="65" t="s">
        <v>33</v>
      </c>
      <c r="R11" s="8">
        <v>1000</v>
      </c>
    </row>
    <row r="12" spans="1:19" ht="17.25" thickBot="1"/>
    <row r="13" spans="1:19" ht="17.25" customHeight="1" thickBot="1">
      <c r="A13" s="262" t="s">
        <v>34</v>
      </c>
      <c r="B13" s="263"/>
      <c r="C13" s="263"/>
      <c r="D13" s="263"/>
      <c r="E13" s="263"/>
      <c r="F13" s="263"/>
      <c r="G13" s="263"/>
      <c r="H13" s="263"/>
      <c r="I13" s="263"/>
      <c r="J13" s="263"/>
      <c r="K13" s="263"/>
      <c r="L13" s="263"/>
      <c r="M13" s="263"/>
      <c r="N13" s="263"/>
      <c r="O13" s="264"/>
      <c r="Q13" s="261"/>
      <c r="R13" s="261"/>
      <c r="S13" s="261"/>
    </row>
    <row r="14" spans="1:19" ht="17.25" customHeight="1" thickBot="1">
      <c r="A14" s="228" t="s">
        <v>35</v>
      </c>
      <c r="B14" s="262" t="s">
        <v>36</v>
      </c>
      <c r="C14" s="264"/>
      <c r="D14" s="262" t="s">
        <v>37</v>
      </c>
      <c r="E14" s="263"/>
      <c r="F14" s="264"/>
      <c r="G14" s="265">
        <f>_xlfn.IFNA(VLOOKUP(B14, 현재가테이블!$B$2:$D$200, 2, FALSE), "-")</f>
        <v>40538000</v>
      </c>
      <c r="H14" s="266"/>
      <c r="I14" s="267"/>
      <c r="J14" s="262" t="s">
        <v>38</v>
      </c>
      <c r="K14" s="263"/>
      <c r="L14" s="264"/>
      <c r="M14" s="268">
        <f>_xlfn.IFNA(VLOOKUP(B14, 현재가테이블!$B$2:$D$200, 3, FALSE), "-")</f>
        <v>-3.68275993E-2</v>
      </c>
      <c r="N14" s="269"/>
      <c r="O14" s="270"/>
      <c r="Q14" s="261"/>
      <c r="R14" s="261"/>
      <c r="S14" s="261"/>
    </row>
    <row r="15" spans="1:19" ht="17.25" customHeight="1" thickBot="1">
      <c r="A15" s="299" t="s">
        <v>39</v>
      </c>
      <c r="B15" s="300" t="str">
        <f>TEXT($G$1, "[$-ko-KR]yyyy-mm-dd(ddd) ") &amp; "오전 00:00"</f>
        <v>2021-06-18(금) 오전 00:00</v>
      </c>
      <c r="C15" s="301"/>
      <c r="D15" s="275" t="str">
        <f>TEXT($G$1, "[$-ko-KR]yyyy-mm-dd(ddd) ") &amp; "오후 14:00"</f>
        <v>2021-06-18(금) 오후 14:00</v>
      </c>
      <c r="E15" s="276"/>
      <c r="F15" s="277"/>
      <c r="G15" s="275" t="str">
        <f>TEXT($G$1, "[$-ko-KR]yyyy-mm-dd(ddd) ") &amp; "오후 19:00"</f>
        <v>2021-06-18(금) 오후 19:00</v>
      </c>
      <c r="H15" s="276"/>
      <c r="I15" s="277"/>
      <c r="J15" s="275" t="str">
        <f>TEXT($G$1, "[$-ko-KR]yyyy-mm-dd(ddd) ") &amp; "오후 21:00"</f>
        <v>2021-06-18(금) 오후 21:00</v>
      </c>
      <c r="K15" s="276"/>
      <c r="L15" s="277"/>
      <c r="M15" s="275" t="str">
        <f>TEXT($G$1+1, "[$-ko-KR]yyyy-mm-dd(ddd) ") &amp; "오전 00:00"</f>
        <v>2021-06-19(토) 오전 00:00</v>
      </c>
      <c r="N15" s="276"/>
      <c r="O15" s="277"/>
      <c r="Q15" s="261"/>
      <c r="R15" s="261"/>
      <c r="S15" s="261"/>
    </row>
    <row r="16" spans="1:19" ht="17.25" customHeight="1" thickBot="1">
      <c r="A16" s="29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9" t="s">
        <v>37</v>
      </c>
      <c r="H16" s="230" t="s">
        <v>40</v>
      </c>
      <c r="I16" s="23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61" t="s">
        <v>219</v>
      </c>
      <c r="B17" s="124">
        <f>IF(NOT(ISBLANK(_xlfn.IFNA(VLOOKUP($A17, $A$40:$O$199, 2, FALSE), ))), _xlfn.IFNA(VLOOKUP($A17, $A$40:$O$199, 2, FALSE), ), "")</f>
        <v>9.81</v>
      </c>
      <c r="C17" s="76">
        <f>IF(NOT(ISBLANK(_xlfn.IFNA(VLOOKUP($A17, $A$40:$O$199, 3, FALSE), ))), _xlfn.IFNA(VLOOKUP($A17, $A$40:$O$199, 3, FALSE), ), "")</f>
        <v>0.1527614571</v>
      </c>
      <c r="D17" s="13">
        <f>IF(NOT(ISBLANK(_xlfn.IFNA(VLOOKUP($A17, $A$40:$O$199, 4, FALSE), ))), _xlfn.IFNA(VLOOKUP($A17, $A$40:$O$199, 4, FALSE), ), "")</f>
        <v>9.6999999999999993</v>
      </c>
      <c r="E17" s="14">
        <f>IF(NOT(ISBLANK(_xlfn.IFNA(VLOOKUP($A17, $A$40:$O$199, 5, FALSE), ))), _xlfn.IFNA(VLOOKUP($A17, $A$40:$O$199, 5, FALSE), ), "")</f>
        <v>-1.121304791029574E-2</v>
      </c>
      <c r="F17" s="16">
        <f>IF(NOT(ISBLANK(_xlfn.IFNA(VLOOKUP($A17, $A$40:$O$199, 6, FALSE), ))), _xlfn.IFNA(VLOOKUP($A17, $A$40:$O$199, 6, FALSE), ), "")</f>
        <v>-1121.3047910295741</v>
      </c>
      <c r="G17" s="29">
        <f>IF(NOT(ISBLANK(_xlfn.IFNA(VLOOKUP($A17, $A$40:$O$199, 7, FALSE), ))), _xlfn.IFNA(VLOOKUP($A17, $A$40:$O$199, 7, FALSE), ), "")</f>
        <v>9.94</v>
      </c>
      <c r="H17" s="14">
        <f>IF(NOT(ISBLANK(_xlfn.IFNA(VLOOKUP($A17, $A$40:$O$199, 8, FALSE), ))), _xlfn.IFNA(VLOOKUP($A17, $A$40:$O$199, 8, FALSE), ), "")</f>
        <v>1.3251783893985626E-2</v>
      </c>
      <c r="I17" s="100">
        <f>IF(NOT(ISBLANK(_xlfn.IFNA(VLOOKUP($A17, $A$40:$O$199, 9, FALSE), ))), _xlfn.IFNA(VLOOKUP($A17, $A$40:$O$199, 9, FALSE), ), "")</f>
        <v>1325.1783893985626</v>
      </c>
      <c r="J17" s="13">
        <f>IF(NOT(ISBLANK(_xlfn.IFNA(VLOOKUP($A17, $A$40:$O$199, 10, FALSE), ))), _xlfn.IFNA(VLOOKUP($A17, $A$40:$O$199, 10, FALSE), ), "")</f>
        <v>9.8000000000000007</v>
      </c>
      <c r="K17" s="14">
        <f>IF(NOT(ISBLANK(_xlfn.IFNA(VLOOKUP($A17, $A$40:$O$199, 11, FALSE), ))), _xlfn.IFNA(VLOOKUP($A17, $A$40:$O$199, 11, FALSE), ), "")</f>
        <v>-1.0193679918450342E-3</v>
      </c>
      <c r="L17" s="16">
        <f>IF(NOT(ISBLANK(_xlfn.IFNA(VLOOKUP($A17, $A$40:$O$199, 12, FALSE), ))), _xlfn.IFNA(VLOOKUP($A17, $A$40:$O$199, 12, FALSE), ), "")</f>
        <v>-101.93679918450343</v>
      </c>
      <c r="M17" s="29">
        <f>IF(NOT(ISBLANK(_xlfn.IFNA(VLOOKUP($A17, $A$40:$O$199, 13, FALSE), ))), _xlfn.IFNA(VLOOKUP($A17, $A$40:$O$199, 13, FALSE), ), "")</f>
        <v>9.32</v>
      </c>
      <c r="N17" s="14">
        <f>IF(NOT(ISBLANK(_xlfn.IFNA(VLOOKUP($A17, $A$40:$O$199, 14, FALSE), ))), _xlfn.IFNA(VLOOKUP($A17, $A$40:$O$199, 14, FALSE), ), "")</f>
        <v>-4.9949031600407763E-2</v>
      </c>
      <c r="O17" s="16">
        <f>IF(NOT(ISBLANK(_xlfn.IFNA(VLOOKUP($A17, $A$40:$O$199, 15, FALSE), ))), _xlfn.IFNA(VLOOKUP($A17, $A$40:$O$199, 15, FALSE), ), "")</f>
        <v>-4994.9031600407761</v>
      </c>
      <c r="Q17" s="261"/>
      <c r="R17" s="261"/>
      <c r="S17" s="261"/>
    </row>
    <row r="18" spans="1:19" ht="17.25" customHeight="1" thickBot="1">
      <c r="A18" s="162" t="s">
        <v>110</v>
      </c>
      <c r="B18" s="126">
        <f t="shared" ref="B18:B36" si="0">IF(NOT(ISBLANK(_xlfn.IFNA(VLOOKUP($A18, $A$40:$O$199, 2, FALSE), ))), _xlfn.IFNA(VLOOKUP($A18, $A$40:$O$199, 2, FALSE), ), "")</f>
        <v>1325</v>
      </c>
      <c r="C18" s="77">
        <f t="shared" ref="C18:C36" si="1">IF(NOT(ISBLANK(_xlfn.IFNA(VLOOKUP($A18, $A$40:$O$199, 3, FALSE), ))), _xlfn.IFNA(VLOOKUP($A18, $A$40:$O$199, 3, FALSE), ), "")</f>
        <v>0.10416666669999999</v>
      </c>
      <c r="D18" s="15">
        <f t="shared" ref="D18:D36" si="2">IF(NOT(ISBLANK(_xlfn.IFNA(VLOOKUP($A18, $A$40:$O$199, 4, FALSE), ))), _xlfn.IFNA(VLOOKUP($A18, $A$40:$O$199, 4, FALSE), ), "")</f>
        <v>1255</v>
      </c>
      <c r="E18" s="32">
        <f t="shared" ref="E18:E36" si="3">IF(NOT(ISBLANK(_xlfn.IFNA(VLOOKUP($A18, $A$40:$O$199, 5, FALSE), ))), _xlfn.IFNA(VLOOKUP($A18, $A$40:$O$199, 5, FALSE), ), "")</f>
        <v>-5.2830188679245285E-2</v>
      </c>
      <c r="F18" s="18">
        <f t="shared" ref="F18:F36" si="4">IF(NOT(ISBLANK(_xlfn.IFNA(VLOOKUP($A18, $A$40:$O$199, 6, FALSE), ))), _xlfn.IFNA(VLOOKUP($A18, $A$40:$O$199, 6, FALSE), ), "")</f>
        <v>-5283.0188679245284</v>
      </c>
      <c r="G18" s="31">
        <f t="shared" ref="G18:G36" si="5">IF(NOT(ISBLANK(_xlfn.IFNA(VLOOKUP($A18, $A$40:$O$199, 7, FALSE), ))), _xlfn.IFNA(VLOOKUP($A18, $A$40:$O$199, 7, FALSE), ), "")</f>
        <v>1190</v>
      </c>
      <c r="H18" s="32">
        <f t="shared" ref="H18:H36" si="6">IF(NOT(ISBLANK(_xlfn.IFNA(VLOOKUP($A18, $A$40:$O$199, 8, FALSE), ))), _xlfn.IFNA(VLOOKUP($A18, $A$40:$O$199, 8, FALSE), ), "")</f>
        <v>-0.10188679245283019</v>
      </c>
      <c r="I18" s="101">
        <f t="shared" ref="I18:I36" si="7">IF(NOT(ISBLANK(_xlfn.IFNA(VLOOKUP($A18, $A$40:$O$199, 9, FALSE), ))), _xlfn.IFNA(VLOOKUP($A18, $A$40:$O$199, 9, FALSE), ), "")</f>
        <v>-10188.67924528302</v>
      </c>
      <c r="J18" s="15">
        <f t="shared" ref="J18:J36" si="8">IF(NOT(ISBLANK(_xlfn.IFNA(VLOOKUP($A18, $A$40:$O$199, 10, FALSE), ))), _xlfn.IFNA(VLOOKUP($A18, $A$40:$O$199, 10, FALSE), ), "")</f>
        <v>1195</v>
      </c>
      <c r="K18" s="32">
        <f t="shared" ref="K18:K36" si="9">IF(NOT(ISBLANK(_xlfn.IFNA(VLOOKUP($A18, $A$40:$O$199, 11, FALSE), ))), _xlfn.IFNA(VLOOKUP($A18, $A$40:$O$199, 11, FALSE), ), "")</f>
        <v>-9.8113207547169817E-2</v>
      </c>
      <c r="L18" s="18">
        <f t="shared" ref="L18:L36" si="10">IF(NOT(ISBLANK(_xlfn.IFNA(VLOOKUP($A18, $A$40:$O$199, 12, FALSE), ))), _xlfn.IFNA(VLOOKUP($A18, $A$40:$O$199, 12, FALSE), ), "")</f>
        <v>-9811.3207547169823</v>
      </c>
      <c r="M18" s="31">
        <f t="shared" ref="M18:M36" si="11">IF(NOT(ISBLANK(_xlfn.IFNA(VLOOKUP($A18, $A$40:$O$199, 13, FALSE), ))), _xlfn.IFNA(VLOOKUP($A18, $A$40:$O$199, 13, FALSE), ), "")</f>
        <v>1160</v>
      </c>
      <c r="N18" s="32">
        <f t="shared" ref="N18:N36" si="12">IF(NOT(ISBLANK(_xlfn.IFNA(VLOOKUP($A18, $A$40:$O$199, 14, FALSE), ))), _xlfn.IFNA(VLOOKUP($A18, $A$40:$O$199, 14, FALSE), ), "")</f>
        <v>-0.12452830188679245</v>
      </c>
      <c r="O18" s="18">
        <f t="shared" ref="O18:O36" si="13">IF(NOT(ISBLANK(_xlfn.IFNA(VLOOKUP($A18, $A$40:$O$199, 15, FALSE), ))), _xlfn.IFNA(VLOOKUP($A18, $A$40:$O$199, 15, FALSE), ), "")</f>
        <v>-12452.830188679245</v>
      </c>
      <c r="Q18" s="261"/>
      <c r="R18" s="261"/>
      <c r="S18" s="261"/>
    </row>
    <row r="19" spans="1:19" ht="17.25" customHeight="1" thickBot="1">
      <c r="A19" s="162" t="s">
        <v>163</v>
      </c>
      <c r="B19" s="126">
        <f t="shared" si="0"/>
        <v>21950</v>
      </c>
      <c r="C19" s="77">
        <f t="shared" si="1"/>
        <v>9.5309381200000001E-2</v>
      </c>
      <c r="D19" s="15">
        <f t="shared" si="2"/>
        <v>20880</v>
      </c>
      <c r="E19" s="32">
        <f t="shared" si="3"/>
        <v>-4.8747152619589978E-2</v>
      </c>
      <c r="F19" s="18">
        <f t="shared" si="4"/>
        <v>-4874.7152619589979</v>
      </c>
      <c r="G19" s="31">
        <f t="shared" si="5"/>
        <v>20150</v>
      </c>
      <c r="H19" s="32">
        <f t="shared" si="6"/>
        <v>-8.2004555808656038E-2</v>
      </c>
      <c r="I19" s="101">
        <f t="shared" si="7"/>
        <v>-8200.4555808656041</v>
      </c>
      <c r="J19" s="15">
        <f t="shared" si="8"/>
        <v>20020</v>
      </c>
      <c r="K19" s="32">
        <f t="shared" si="9"/>
        <v>-8.7927107061503418E-2</v>
      </c>
      <c r="L19" s="18">
        <f t="shared" si="10"/>
        <v>-8792.7107061503411</v>
      </c>
      <c r="M19" s="31">
        <f t="shared" si="11"/>
        <v>19640</v>
      </c>
      <c r="N19" s="32">
        <f t="shared" si="12"/>
        <v>-0.10523917995444192</v>
      </c>
      <c r="O19" s="18">
        <f t="shared" si="13"/>
        <v>-10523.917995444192</v>
      </c>
      <c r="Q19" s="251"/>
      <c r="R19" s="251"/>
      <c r="S19" s="251"/>
    </row>
    <row r="20" spans="1:19" ht="17.25" customHeight="1" thickBot="1">
      <c r="A20" s="162" t="s">
        <v>98</v>
      </c>
      <c r="B20" s="126">
        <f t="shared" si="0"/>
        <v>3980</v>
      </c>
      <c r="C20" s="77">
        <f t="shared" si="1"/>
        <v>8.0054274100000003E-2</v>
      </c>
      <c r="D20" s="15">
        <f t="shared" si="2"/>
        <v>3875</v>
      </c>
      <c r="E20" s="32">
        <f t="shared" si="3"/>
        <v>-2.6381909547738693E-2</v>
      </c>
      <c r="F20" s="18">
        <f t="shared" si="4"/>
        <v>-2638.1909547738692</v>
      </c>
      <c r="G20" s="31">
        <f t="shared" si="5"/>
        <v>3775</v>
      </c>
      <c r="H20" s="32">
        <f t="shared" si="6"/>
        <v>-5.1507537688442212E-2</v>
      </c>
      <c r="I20" s="101">
        <f t="shared" si="7"/>
        <v>-5150.7537688442208</v>
      </c>
      <c r="J20" s="15">
        <f t="shared" si="8"/>
        <v>3780</v>
      </c>
      <c r="K20" s="32">
        <f t="shared" si="9"/>
        <v>-5.0251256281407038E-2</v>
      </c>
      <c r="L20" s="18">
        <f t="shared" si="10"/>
        <v>-5025.1256281407041</v>
      </c>
      <c r="M20" s="31">
        <f t="shared" si="11"/>
        <v>3700</v>
      </c>
      <c r="N20" s="32">
        <f t="shared" si="12"/>
        <v>-7.0351758793969849E-2</v>
      </c>
      <c r="O20" s="18">
        <f t="shared" si="13"/>
        <v>-7035.1758793969848</v>
      </c>
      <c r="Q20" s="251"/>
      <c r="R20" s="251"/>
      <c r="S20" s="251"/>
    </row>
    <row r="21" spans="1:19" ht="17.25" customHeight="1" thickBot="1">
      <c r="A21" s="163" t="s">
        <v>142</v>
      </c>
      <c r="B21" s="128">
        <f t="shared" si="0"/>
        <v>641</v>
      </c>
      <c r="C21" s="78">
        <f t="shared" si="1"/>
        <v>7.3701842500000003E-2</v>
      </c>
      <c r="D21" s="20">
        <f t="shared" si="2"/>
        <v>731</v>
      </c>
      <c r="E21" s="21">
        <f t="shared" si="3"/>
        <v>0.14040561622464898</v>
      </c>
      <c r="F21" s="22">
        <f t="shared" si="4"/>
        <v>14040.561622464898</v>
      </c>
      <c r="G21" s="30">
        <f t="shared" si="5"/>
        <v>692</v>
      </c>
      <c r="H21" s="21">
        <f t="shared" si="6"/>
        <v>7.9563182527301088E-2</v>
      </c>
      <c r="I21" s="105">
        <f t="shared" si="7"/>
        <v>7956.3182527301087</v>
      </c>
      <c r="J21" s="20">
        <f t="shared" si="8"/>
        <v>694</v>
      </c>
      <c r="K21" s="21">
        <f t="shared" si="9"/>
        <v>8.2683307332293288E-2</v>
      </c>
      <c r="L21" s="22">
        <f t="shared" si="10"/>
        <v>8268.330733229328</v>
      </c>
      <c r="M21" s="30">
        <f t="shared" si="11"/>
        <v>675</v>
      </c>
      <c r="N21" s="21">
        <f t="shared" si="12"/>
        <v>5.3042121684867397E-2</v>
      </c>
      <c r="O21" s="22">
        <f t="shared" si="13"/>
        <v>5304.2121684867398</v>
      </c>
      <c r="Q21" s="251"/>
      <c r="R21" s="251"/>
      <c r="S21" s="251"/>
    </row>
    <row r="22" spans="1:19" ht="17.25" customHeight="1" thickBot="1">
      <c r="A22" s="162" t="s">
        <v>94</v>
      </c>
      <c r="B22" s="129">
        <f t="shared" si="0"/>
        <v>68460</v>
      </c>
      <c r="C22" s="80">
        <f t="shared" si="1"/>
        <v>6.1395348799999999E-2</v>
      </c>
      <c r="D22" s="106">
        <f t="shared" si="2"/>
        <v>65460</v>
      </c>
      <c r="E22" s="107">
        <f t="shared" si="3"/>
        <v>-4.3821209465381247E-2</v>
      </c>
      <c r="F22" s="108">
        <f t="shared" si="4"/>
        <v>-4382.1209465381244</v>
      </c>
      <c r="G22" s="109">
        <f t="shared" si="5"/>
        <v>64620</v>
      </c>
      <c r="H22" s="107">
        <f t="shared" si="6"/>
        <v>-5.6091148115687994E-2</v>
      </c>
      <c r="I22" s="110">
        <f t="shared" si="7"/>
        <v>-5609.1148115687993</v>
      </c>
      <c r="J22" s="106">
        <f t="shared" si="8"/>
        <v>64810</v>
      </c>
      <c r="K22" s="107">
        <f t="shared" si="9"/>
        <v>-5.3315804849547184E-2</v>
      </c>
      <c r="L22" s="108">
        <f t="shared" si="10"/>
        <v>-5331.5804849547185</v>
      </c>
      <c r="M22" s="109">
        <f t="shared" si="11"/>
        <v>63620</v>
      </c>
      <c r="N22" s="107">
        <f t="shared" si="12"/>
        <v>-7.0698217937481739E-2</v>
      </c>
      <c r="O22" s="108">
        <f t="shared" si="13"/>
        <v>-7069.8217937481741</v>
      </c>
      <c r="Q22" s="251"/>
      <c r="R22" s="251"/>
      <c r="S22" s="251"/>
    </row>
    <row r="23" spans="1:19" ht="17.25" customHeight="1" thickBot="1">
      <c r="A23" s="162" t="s">
        <v>158</v>
      </c>
      <c r="B23" s="126">
        <f t="shared" si="0"/>
        <v>5230</v>
      </c>
      <c r="C23" s="77">
        <f t="shared" si="1"/>
        <v>5.76339737E-2</v>
      </c>
      <c r="D23" s="15">
        <f t="shared" si="2"/>
        <v>5835</v>
      </c>
      <c r="E23" s="32">
        <f t="shared" si="3"/>
        <v>0.11567877629063097</v>
      </c>
      <c r="F23" s="18">
        <f t="shared" si="4"/>
        <v>11567.877629063098</v>
      </c>
      <c r="G23" s="31">
        <f t="shared" si="5"/>
        <v>5595</v>
      </c>
      <c r="H23" s="32">
        <f t="shared" si="6"/>
        <v>6.9789674952198857E-2</v>
      </c>
      <c r="I23" s="101">
        <f t="shared" si="7"/>
        <v>6978.9674952198857</v>
      </c>
      <c r="J23" s="15">
        <f t="shared" si="8"/>
        <v>5545</v>
      </c>
      <c r="K23" s="32">
        <f t="shared" si="9"/>
        <v>6.022944550669216E-2</v>
      </c>
      <c r="L23" s="18">
        <f t="shared" si="10"/>
        <v>6022.9445506692164</v>
      </c>
      <c r="M23" s="31">
        <f t="shared" si="11"/>
        <v>5300</v>
      </c>
      <c r="N23" s="32">
        <f t="shared" si="12"/>
        <v>1.338432122370937E-2</v>
      </c>
      <c r="O23" s="18">
        <f t="shared" si="13"/>
        <v>1338.4321223709369</v>
      </c>
      <c r="Q23" s="251"/>
      <c r="R23" s="251"/>
      <c r="S23" s="251"/>
    </row>
    <row r="24" spans="1:19" ht="17.25" customHeight="1" thickBot="1">
      <c r="A24" s="162" t="s">
        <v>114</v>
      </c>
      <c r="B24" s="126">
        <f t="shared" si="0"/>
        <v>11050</v>
      </c>
      <c r="C24" s="77">
        <f t="shared" si="1"/>
        <v>5.3384175399999997E-2</v>
      </c>
      <c r="D24" s="15">
        <f t="shared" si="2"/>
        <v>11590</v>
      </c>
      <c r="E24" s="32">
        <f t="shared" si="3"/>
        <v>4.8868778280542986E-2</v>
      </c>
      <c r="F24" s="18">
        <f t="shared" si="4"/>
        <v>4886.8778280542983</v>
      </c>
      <c r="G24" s="31">
        <f t="shared" si="5"/>
        <v>11220</v>
      </c>
      <c r="H24" s="32">
        <f t="shared" si="6"/>
        <v>1.5384615384615385E-2</v>
      </c>
      <c r="I24" s="101">
        <f t="shared" si="7"/>
        <v>1538.4615384615386</v>
      </c>
      <c r="J24" s="15">
        <f t="shared" si="8"/>
        <v>11100</v>
      </c>
      <c r="K24" s="32">
        <f t="shared" si="9"/>
        <v>4.5248868778280547E-3</v>
      </c>
      <c r="L24" s="18">
        <f t="shared" si="10"/>
        <v>452.48868778280547</v>
      </c>
      <c r="M24" s="31">
        <f t="shared" si="11"/>
        <v>10780</v>
      </c>
      <c r="N24" s="32">
        <f t="shared" si="12"/>
        <v>-2.4434389140271493E-2</v>
      </c>
      <c r="O24" s="18">
        <f t="shared" si="13"/>
        <v>-2443.4389140271492</v>
      </c>
      <c r="Q24" s="251"/>
      <c r="R24" s="251"/>
      <c r="S24" s="251"/>
    </row>
    <row r="25" spans="1:19" ht="17.25" customHeight="1" thickBot="1">
      <c r="A25" s="162" t="s">
        <v>361</v>
      </c>
      <c r="B25" s="126">
        <f t="shared" si="0"/>
        <v>1285</v>
      </c>
      <c r="C25" s="77">
        <f t="shared" si="1"/>
        <v>1.5810276700000001E-2</v>
      </c>
      <c r="D25" s="15">
        <f t="shared" si="2"/>
        <v>1230</v>
      </c>
      <c r="E25" s="32">
        <f t="shared" si="3"/>
        <v>-4.2801556420233464E-2</v>
      </c>
      <c r="F25" s="18">
        <f t="shared" si="4"/>
        <v>-4280.1556420233464</v>
      </c>
      <c r="G25" s="31">
        <f t="shared" si="5"/>
        <v>1220</v>
      </c>
      <c r="H25" s="32">
        <f t="shared" si="6"/>
        <v>-5.0583657587548639E-2</v>
      </c>
      <c r="I25" s="101">
        <f t="shared" si="7"/>
        <v>-5058.3657587548641</v>
      </c>
      <c r="J25" s="15">
        <f t="shared" si="8"/>
        <v>1235</v>
      </c>
      <c r="K25" s="32">
        <f t="shared" si="9"/>
        <v>-3.8910505836575876E-2</v>
      </c>
      <c r="L25" s="18">
        <f t="shared" si="10"/>
        <v>-3891.0505836575876</v>
      </c>
      <c r="M25" s="31">
        <f t="shared" si="11"/>
        <v>1200</v>
      </c>
      <c r="N25" s="32">
        <f t="shared" si="12"/>
        <v>-6.6147859922178989E-2</v>
      </c>
      <c r="O25" s="18">
        <f t="shared" si="13"/>
        <v>-6614.7859922178986</v>
      </c>
      <c r="Q25" s="33"/>
      <c r="R25" s="33"/>
    </row>
    <row r="26" spans="1:19" ht="17.25" customHeight="1" thickBot="1">
      <c r="A26" s="130" t="s">
        <v>74</v>
      </c>
      <c r="B26" s="131">
        <f t="shared" si="0"/>
        <v>16620</v>
      </c>
      <c r="C26" s="79">
        <f t="shared" si="1"/>
        <v>4.65994962E-2</v>
      </c>
      <c r="D26" s="24">
        <f t="shared" si="2"/>
        <v>15670</v>
      </c>
      <c r="E26" s="25">
        <f t="shared" si="3"/>
        <v>-5.7160048134777375E-2</v>
      </c>
      <c r="F26" s="104">
        <f t="shared" si="4"/>
        <v>-5716.0048134777371</v>
      </c>
      <c r="G26" s="102">
        <f t="shared" si="5"/>
        <v>15190</v>
      </c>
      <c r="H26" s="25">
        <f t="shared" si="6"/>
        <v>-8.6040914560770163E-2</v>
      </c>
      <c r="I26" s="103">
        <f t="shared" si="7"/>
        <v>-8604.0914560770161</v>
      </c>
      <c r="J26" s="24">
        <f t="shared" si="8"/>
        <v>15210</v>
      </c>
      <c r="K26" s="25">
        <f t="shared" si="9"/>
        <v>-8.4837545126353789E-2</v>
      </c>
      <c r="L26" s="104">
        <f t="shared" si="10"/>
        <v>-8483.754512635378</v>
      </c>
      <c r="M26" s="102">
        <f t="shared" si="11"/>
        <v>14950</v>
      </c>
      <c r="N26" s="25">
        <f t="shared" si="12"/>
        <v>-0.10048134777376655</v>
      </c>
      <c r="O26" s="104">
        <f t="shared" si="13"/>
        <v>-10048.134777376656</v>
      </c>
      <c r="Q26" s="252"/>
      <c r="R26" s="253"/>
      <c r="S26" s="254"/>
    </row>
    <row r="27" spans="1:19" ht="17.25" customHeight="1">
      <c r="A27" s="161" t="s">
        <v>156</v>
      </c>
      <c r="B27" s="124">
        <f t="shared" si="0"/>
        <v>84.8</v>
      </c>
      <c r="C27" s="76">
        <f t="shared" si="1"/>
        <v>3.9215686299999997E-2</v>
      </c>
      <c r="D27" s="13">
        <f t="shared" si="2"/>
        <v>85.2</v>
      </c>
      <c r="E27" s="14">
        <f t="shared" si="3"/>
        <v>4.7169811320755392E-3</v>
      </c>
      <c r="F27" s="16">
        <f t="shared" si="4"/>
        <v>471.69811320755394</v>
      </c>
      <c r="G27" s="29">
        <f t="shared" si="5"/>
        <v>86.2</v>
      </c>
      <c r="H27" s="14">
        <f t="shared" si="6"/>
        <v>1.650943396226422E-2</v>
      </c>
      <c r="I27" s="100">
        <f t="shared" si="7"/>
        <v>1650.943396226422</v>
      </c>
      <c r="J27" s="13">
        <f t="shared" si="8"/>
        <v>86.3</v>
      </c>
      <c r="K27" s="14">
        <f t="shared" si="9"/>
        <v>1.7688679245283018E-2</v>
      </c>
      <c r="L27" s="16">
        <f t="shared" si="10"/>
        <v>1768.8679245283017</v>
      </c>
      <c r="M27" s="29">
        <f t="shared" si="11"/>
        <v>84</v>
      </c>
      <c r="N27" s="14">
        <f t="shared" si="12"/>
        <v>-9.4339622641509101E-3</v>
      </c>
      <c r="O27" s="16">
        <f t="shared" si="13"/>
        <v>-943.39622641509106</v>
      </c>
      <c r="Q27" s="255"/>
      <c r="R27" s="256"/>
      <c r="S27" s="257"/>
    </row>
    <row r="28" spans="1:19" ht="17.25" customHeight="1" thickBot="1">
      <c r="A28" s="162" t="s">
        <v>108</v>
      </c>
      <c r="B28" s="126">
        <f t="shared" si="0"/>
        <v>30040</v>
      </c>
      <c r="C28" s="77">
        <f t="shared" si="1"/>
        <v>3.2302405499999999E-2</v>
      </c>
      <c r="D28" s="15">
        <f t="shared" si="2"/>
        <v>29140</v>
      </c>
      <c r="E28" s="32">
        <f t="shared" si="3"/>
        <v>-2.9960053262316912E-2</v>
      </c>
      <c r="F28" s="18">
        <f t="shared" si="4"/>
        <v>-2996.005326231691</v>
      </c>
      <c r="G28" s="31">
        <f t="shared" si="5"/>
        <v>28650</v>
      </c>
      <c r="H28" s="32">
        <f t="shared" si="6"/>
        <v>-4.6271637816245006E-2</v>
      </c>
      <c r="I28" s="101">
        <f t="shared" si="7"/>
        <v>-4627.1637816245011</v>
      </c>
      <c r="J28" s="15">
        <f t="shared" si="8"/>
        <v>28670</v>
      </c>
      <c r="K28" s="32">
        <f t="shared" si="9"/>
        <v>-4.5605858854860189E-2</v>
      </c>
      <c r="L28" s="18">
        <f t="shared" si="10"/>
        <v>-4560.5858854860189</v>
      </c>
      <c r="M28" s="31">
        <f t="shared" si="11"/>
        <v>28310</v>
      </c>
      <c r="N28" s="32">
        <f t="shared" si="12"/>
        <v>-5.7589880159786951E-2</v>
      </c>
      <c r="O28" s="18">
        <f t="shared" si="13"/>
        <v>-5758.9880159786953</v>
      </c>
      <c r="Q28" s="258"/>
      <c r="R28" s="259"/>
      <c r="S28" s="260"/>
    </row>
    <row r="29" spans="1:19" ht="17.25" customHeight="1" thickBot="1">
      <c r="A29" s="162" t="s">
        <v>76</v>
      </c>
      <c r="B29" s="126">
        <f t="shared" si="0"/>
        <v>27920</v>
      </c>
      <c r="C29" s="77">
        <f t="shared" si="1"/>
        <v>2.4587155999999999E-2</v>
      </c>
      <c r="D29" s="15">
        <f t="shared" si="2"/>
        <v>26760</v>
      </c>
      <c r="E29" s="32">
        <f t="shared" si="3"/>
        <v>-4.1547277936962751E-2</v>
      </c>
      <c r="F29" s="18">
        <f t="shared" si="4"/>
        <v>-4154.7277936962755</v>
      </c>
      <c r="G29" s="31">
        <f t="shared" si="5"/>
        <v>26400</v>
      </c>
      <c r="H29" s="32">
        <f t="shared" si="6"/>
        <v>-5.4441260744985676E-2</v>
      </c>
      <c r="I29" s="101">
        <f t="shared" si="7"/>
        <v>-5444.1260744985675</v>
      </c>
      <c r="J29" s="15">
        <f t="shared" si="8"/>
        <v>26280</v>
      </c>
      <c r="K29" s="32">
        <f t="shared" si="9"/>
        <v>-5.8739255014326648E-2</v>
      </c>
      <c r="L29" s="18">
        <f t="shared" si="10"/>
        <v>-5873.9255014326645</v>
      </c>
      <c r="M29" s="31">
        <f t="shared" si="11"/>
        <v>25850</v>
      </c>
      <c r="N29" s="32">
        <f t="shared" si="12"/>
        <v>-7.414040114613181E-2</v>
      </c>
      <c r="O29" s="18">
        <f t="shared" si="13"/>
        <v>-7414.0401146131808</v>
      </c>
      <c r="Q29" s="251"/>
      <c r="R29" s="251"/>
      <c r="S29" s="251"/>
    </row>
    <row r="30" spans="1:19" ht="17.25" customHeight="1" thickBot="1">
      <c r="A30" s="162" t="s">
        <v>136</v>
      </c>
      <c r="B30" s="126">
        <f t="shared" si="0"/>
        <v>126</v>
      </c>
      <c r="C30" s="77">
        <f t="shared" si="1"/>
        <v>2.4390243900000001E-2</v>
      </c>
      <c r="D30" s="15">
        <f t="shared" si="2"/>
        <v>121</v>
      </c>
      <c r="E30" s="32">
        <f t="shared" si="3"/>
        <v>-3.968253968253968E-2</v>
      </c>
      <c r="F30" s="18">
        <f t="shared" si="4"/>
        <v>-3968.2539682539682</v>
      </c>
      <c r="G30" s="31">
        <f t="shared" si="5"/>
        <v>122</v>
      </c>
      <c r="H30" s="32">
        <f t="shared" si="6"/>
        <v>-3.1746031746031744E-2</v>
      </c>
      <c r="I30" s="101">
        <f t="shared" si="7"/>
        <v>-3174.6031746031745</v>
      </c>
      <c r="J30" s="15">
        <f t="shared" si="8"/>
        <v>123</v>
      </c>
      <c r="K30" s="32">
        <f t="shared" si="9"/>
        <v>-2.3809523809523808E-2</v>
      </c>
      <c r="L30" s="18">
        <f t="shared" si="10"/>
        <v>-2380.9523809523807</v>
      </c>
      <c r="M30" s="31">
        <f t="shared" si="11"/>
        <v>122</v>
      </c>
      <c r="N30" s="32">
        <f t="shared" si="12"/>
        <v>-3.1746031746031744E-2</v>
      </c>
      <c r="O30" s="18">
        <f t="shared" si="13"/>
        <v>-3174.6031746031745</v>
      </c>
      <c r="Q30" s="261"/>
      <c r="R30" s="261"/>
      <c r="S30" s="261"/>
    </row>
    <row r="31" spans="1:19" ht="17.25" customHeight="1" thickBot="1">
      <c r="A31" s="163" t="s">
        <v>183</v>
      </c>
      <c r="B31" s="128">
        <f t="shared" si="0"/>
        <v>1330</v>
      </c>
      <c r="C31" s="78">
        <f t="shared" si="1"/>
        <v>2.3076923100000001E-2</v>
      </c>
      <c r="D31" s="20">
        <f t="shared" si="2"/>
        <v>1330</v>
      </c>
      <c r="E31" s="21">
        <f t="shared" si="3"/>
        <v>0</v>
      </c>
      <c r="F31" s="22">
        <f t="shared" si="4"/>
        <v>0</v>
      </c>
      <c r="G31" s="30">
        <f t="shared" si="5"/>
        <v>1295</v>
      </c>
      <c r="H31" s="21">
        <f t="shared" si="6"/>
        <v>-2.6315789473684209E-2</v>
      </c>
      <c r="I31" s="105">
        <f t="shared" si="7"/>
        <v>-2631.5789473684208</v>
      </c>
      <c r="J31" s="20">
        <f t="shared" si="8"/>
        <v>1300</v>
      </c>
      <c r="K31" s="21">
        <f t="shared" si="9"/>
        <v>-2.2556390977443608E-2</v>
      </c>
      <c r="L31" s="22">
        <f t="shared" si="10"/>
        <v>-2255.6390977443607</v>
      </c>
      <c r="M31" s="30">
        <f t="shared" si="11"/>
        <v>1275</v>
      </c>
      <c r="N31" s="21">
        <f t="shared" si="12"/>
        <v>-4.1353383458646614E-2</v>
      </c>
      <c r="O31" s="22">
        <f t="shared" si="13"/>
        <v>-4135.3383458646613</v>
      </c>
      <c r="Q31" s="261"/>
      <c r="R31" s="261"/>
      <c r="S31" s="261"/>
    </row>
    <row r="32" spans="1:19" ht="17.25" customHeight="1" thickBot="1">
      <c r="A32" s="162" t="s">
        <v>144</v>
      </c>
      <c r="B32" s="129">
        <f t="shared" si="0"/>
        <v>6115</v>
      </c>
      <c r="C32" s="80">
        <f t="shared" si="1"/>
        <v>2.2575250799999998E-2</v>
      </c>
      <c r="D32" s="106">
        <f t="shared" si="2"/>
        <v>5770</v>
      </c>
      <c r="E32" s="107">
        <f t="shared" si="3"/>
        <v>-5.6418642681929684E-2</v>
      </c>
      <c r="F32" s="108">
        <f t="shared" si="4"/>
        <v>-5641.8642681929687</v>
      </c>
      <c r="G32" s="109">
        <f t="shared" si="5"/>
        <v>5780</v>
      </c>
      <c r="H32" s="107">
        <f t="shared" si="6"/>
        <v>-5.4783319705641861E-2</v>
      </c>
      <c r="I32" s="110">
        <f t="shared" si="7"/>
        <v>-5478.3319705641861</v>
      </c>
      <c r="J32" s="106">
        <f t="shared" si="8"/>
        <v>5820</v>
      </c>
      <c r="K32" s="107">
        <f t="shared" si="9"/>
        <v>-4.8242027800490597E-2</v>
      </c>
      <c r="L32" s="108">
        <f t="shared" si="10"/>
        <v>-4824.2027800490596</v>
      </c>
      <c r="M32" s="109">
        <f t="shared" si="11"/>
        <v>5650</v>
      </c>
      <c r="N32" s="107">
        <f t="shared" si="12"/>
        <v>-7.6042518397383477E-2</v>
      </c>
      <c r="O32" s="108">
        <f t="shared" si="13"/>
        <v>-7604.2518397383474</v>
      </c>
      <c r="Q32" s="251"/>
      <c r="R32" s="251"/>
      <c r="S32" s="251"/>
    </row>
    <row r="33" spans="1:19" ht="17.25" customHeight="1" thickBot="1">
      <c r="A33" s="162" t="s">
        <v>273</v>
      </c>
      <c r="B33" s="126">
        <f t="shared" si="0"/>
        <v>71.900000000000006</v>
      </c>
      <c r="C33" s="77">
        <f t="shared" si="1"/>
        <v>2.1306818200000001E-2</v>
      </c>
      <c r="D33" s="15">
        <f t="shared" si="2"/>
        <v>71.099999999999994</v>
      </c>
      <c r="E33" s="32">
        <f t="shared" si="3"/>
        <v>-1.112656467315732E-2</v>
      </c>
      <c r="F33" s="18">
        <f t="shared" si="4"/>
        <v>-1112.656467315732</v>
      </c>
      <c r="G33" s="31">
        <f t="shared" si="5"/>
        <v>72.099999999999994</v>
      </c>
      <c r="H33" s="32">
        <f t="shared" si="6"/>
        <v>2.7816411682891323E-3</v>
      </c>
      <c r="I33" s="101">
        <f t="shared" si="7"/>
        <v>278.16411682891322</v>
      </c>
      <c r="J33" s="15">
        <f t="shared" si="8"/>
        <v>72.400000000000006</v>
      </c>
      <c r="K33" s="32">
        <f t="shared" si="9"/>
        <v>6.9541029207232262E-3</v>
      </c>
      <c r="L33" s="18">
        <f t="shared" si="10"/>
        <v>695.41029207232259</v>
      </c>
      <c r="M33" s="31">
        <f t="shared" si="11"/>
        <v>70.3</v>
      </c>
      <c r="N33" s="32">
        <f t="shared" si="12"/>
        <v>-2.2253129346314442E-2</v>
      </c>
      <c r="O33" s="18">
        <f t="shared" si="13"/>
        <v>-2225.312934631444</v>
      </c>
      <c r="Q33" s="251"/>
      <c r="R33" s="251"/>
      <c r="S33" s="251"/>
    </row>
    <row r="34" spans="1:19" ht="17.25" customHeight="1" thickBot="1">
      <c r="A34" s="162" t="s">
        <v>78</v>
      </c>
      <c r="B34" s="126">
        <f t="shared" si="0"/>
        <v>715700</v>
      </c>
      <c r="C34" s="77">
        <f t="shared" si="1"/>
        <v>2.06788363E-2</v>
      </c>
      <c r="D34" s="15">
        <f t="shared" si="2"/>
        <v>694700</v>
      </c>
      <c r="E34" s="32">
        <f t="shared" si="3"/>
        <v>-2.9341903031996647E-2</v>
      </c>
      <c r="F34" s="18">
        <f t="shared" si="4"/>
        <v>-2934.1903031996649</v>
      </c>
      <c r="G34" s="31">
        <f t="shared" si="5"/>
        <v>691000</v>
      </c>
      <c r="H34" s="32">
        <f t="shared" si="6"/>
        <v>-3.4511666899538912E-2</v>
      </c>
      <c r="I34" s="101">
        <f t="shared" si="7"/>
        <v>-3451.1666899538914</v>
      </c>
      <c r="J34" s="15">
        <f t="shared" si="8"/>
        <v>690800</v>
      </c>
      <c r="K34" s="32">
        <f t="shared" si="9"/>
        <v>-3.4791113595081739E-2</v>
      </c>
      <c r="L34" s="18">
        <f t="shared" si="10"/>
        <v>-3479.1113595081738</v>
      </c>
      <c r="M34" s="31">
        <f t="shared" si="11"/>
        <v>678500</v>
      </c>
      <c r="N34" s="32">
        <f t="shared" si="12"/>
        <v>-5.1977085370965487E-2</v>
      </c>
      <c r="O34" s="18">
        <f t="shared" si="13"/>
        <v>-5197.7085370965488</v>
      </c>
      <c r="Q34" s="251"/>
      <c r="R34" s="251"/>
      <c r="S34" s="251"/>
    </row>
    <row r="35" spans="1:19" ht="17.25" customHeight="1">
      <c r="A35" s="162" t="s">
        <v>86</v>
      </c>
      <c r="B35" s="126">
        <f t="shared" si="0"/>
        <v>5855</v>
      </c>
      <c r="C35" s="77">
        <f t="shared" si="1"/>
        <v>1.82608696E-2</v>
      </c>
      <c r="D35" s="15">
        <f t="shared" si="2"/>
        <v>5665</v>
      </c>
      <c r="E35" s="32">
        <f t="shared" si="3"/>
        <v>-3.2450896669513236E-2</v>
      </c>
      <c r="F35" s="18">
        <f t="shared" si="4"/>
        <v>-3245.0896669513236</v>
      </c>
      <c r="G35" s="31">
        <f t="shared" si="5"/>
        <v>5635</v>
      </c>
      <c r="H35" s="32">
        <f t="shared" si="6"/>
        <v>-3.7574722459436376E-2</v>
      </c>
      <c r="I35" s="101">
        <f t="shared" si="7"/>
        <v>-3757.4722459436375</v>
      </c>
      <c r="J35" s="15">
        <f t="shared" si="8"/>
        <v>5645</v>
      </c>
      <c r="K35" s="32">
        <f t="shared" si="9"/>
        <v>-3.5866780529461996E-2</v>
      </c>
      <c r="L35" s="18">
        <f t="shared" si="10"/>
        <v>-3586.6780529461994</v>
      </c>
      <c r="M35" s="31">
        <f t="shared" si="11"/>
        <v>5550</v>
      </c>
      <c r="N35" s="32">
        <f t="shared" si="12"/>
        <v>-5.2092228864218618E-2</v>
      </c>
      <c r="O35" s="18">
        <f t="shared" si="13"/>
        <v>-5209.2228864218614</v>
      </c>
      <c r="Q35" s="240"/>
      <c r="R35" s="241"/>
      <c r="S35" s="242"/>
    </row>
    <row r="36" spans="1:19" ht="17.25" customHeight="1" thickBot="1">
      <c r="A36" s="130" t="s">
        <v>360</v>
      </c>
      <c r="B36" s="131">
        <f t="shared" si="0"/>
        <v>1680</v>
      </c>
      <c r="C36" s="79">
        <f t="shared" si="1"/>
        <v>1.5100000000000001E-2</v>
      </c>
      <c r="D36" s="24">
        <f t="shared" si="2"/>
        <v>1605</v>
      </c>
      <c r="E36" s="25">
        <f t="shared" si="3"/>
        <v>-4.4642857142857144E-2</v>
      </c>
      <c r="F36" s="104">
        <f t="shared" si="4"/>
        <v>-4464.2857142857147</v>
      </c>
      <c r="G36" s="102">
        <f t="shared" si="5"/>
        <v>1560</v>
      </c>
      <c r="H36" s="25">
        <f t="shared" si="6"/>
        <v>-7.1428571428571425E-2</v>
      </c>
      <c r="I36" s="103">
        <f t="shared" si="7"/>
        <v>-7142.8571428571422</v>
      </c>
      <c r="J36" s="24">
        <f t="shared" si="8"/>
        <v>1545</v>
      </c>
      <c r="K36" s="25">
        <f t="shared" si="9"/>
        <v>-8.0357142857142863E-2</v>
      </c>
      <c r="L36" s="104">
        <f t="shared" si="10"/>
        <v>-8035.7142857142862</v>
      </c>
      <c r="M36" s="102">
        <f t="shared" si="11"/>
        <v>1520</v>
      </c>
      <c r="N36" s="25">
        <f t="shared" si="12"/>
        <v>-9.5238095238095233E-2</v>
      </c>
      <c r="O36" s="104">
        <f t="shared" si="13"/>
        <v>-9523.8095238095229</v>
      </c>
      <c r="Q36" s="243"/>
      <c r="R36" s="244"/>
      <c r="S36" s="245"/>
    </row>
    <row r="37" spans="1:19" ht="17.25" customHeight="1" thickBot="1">
      <c r="A37" s="132" t="s">
        <v>42</v>
      </c>
      <c r="B37" s="304">
        <v>100000</v>
      </c>
      <c r="C37" s="305"/>
      <c r="D37" s="26" t="s">
        <v>43</v>
      </c>
      <c r="E37" s="27">
        <f>IF(COUNT(E17:E36), SUM(E17:E36) / COUNT(E17:E36), 0)</f>
        <v>-1.2922784796531833E-2</v>
      </c>
      <c r="F37" s="28">
        <f>SUM(F17:F36)</f>
        <v>-25845.569593063668</v>
      </c>
      <c r="G37" s="26" t="s">
        <v>43</v>
      </c>
      <c r="H37" s="27">
        <f>IF(COUNT(H17:H36), SUM(H17:H36) / COUNT(H17:H36), 0)</f>
        <v>-2.9395363729970807E-2</v>
      </c>
      <c r="I37" s="28">
        <f>SUM(I17:I36)</f>
        <v>-58790.727459941612</v>
      </c>
      <c r="J37" s="26" t="s">
        <v>43</v>
      </c>
      <c r="K37" s="27">
        <f>IF(COUNT(K17:K36), SUM(K17:K36) / COUNT(K17:K36), 0)</f>
        <v>-2.9613123312495694E-2</v>
      </c>
      <c r="L37" s="28">
        <f>SUM(L17:L36)</f>
        <v>-59226.246624991385</v>
      </c>
      <c r="M37" s="26" t="s">
        <v>43</v>
      </c>
      <c r="N37" s="27">
        <f>IF(COUNT(N17:N36), SUM(N17:N36) / COUNT(N17:N36), 0)</f>
        <v>-5.2863518004622967E-2</v>
      </c>
      <c r="O37" s="28">
        <f>SUM(O17:O36)</f>
        <v>-105727.03600924595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262" t="s">
        <v>44</v>
      </c>
      <c r="B40" s="263"/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4"/>
      <c r="Q40" s="261"/>
      <c r="R40" s="261"/>
      <c r="S40" s="261"/>
    </row>
    <row r="41" spans="1:19" ht="17.25" customHeight="1" thickBot="1">
      <c r="A41" s="228" t="s">
        <v>292</v>
      </c>
      <c r="B41" s="262" t="s">
        <v>49</v>
      </c>
      <c r="C41" s="264"/>
      <c r="D41" s="262" t="s">
        <v>58</v>
      </c>
      <c r="E41" s="263"/>
      <c r="F41" s="264"/>
      <c r="G41" s="265">
        <f>_xlfn.IFNA(VLOOKUP(B41, 현재가테이블!$B$2:$D$200, 2, FALSE), "-")</f>
        <v>40538000</v>
      </c>
      <c r="H41" s="266"/>
      <c r="I41" s="267"/>
      <c r="J41" s="262" t="s">
        <v>59</v>
      </c>
      <c r="K41" s="263"/>
      <c r="L41" s="264"/>
      <c r="M41" s="268">
        <f>_xlfn.IFNA(VLOOKUP(B41, 현재가테이블!$B$2:$D$200, 3, FALSE), "-")</f>
        <v>-3.68275993E-2</v>
      </c>
      <c r="N41" s="269"/>
      <c r="O41" s="270"/>
      <c r="Q41" s="261"/>
      <c r="R41" s="261"/>
      <c r="S41" s="261"/>
    </row>
    <row r="42" spans="1:19" ht="17.25" customHeight="1" thickBot="1">
      <c r="A42" s="306" t="s">
        <v>55</v>
      </c>
      <c r="B42" s="302" t="str">
        <f>TEXT($G$1, "[$-ko-KR]yyyy-mm-dd(ddd) ") &amp; "오전 00:00"</f>
        <v>2021-06-18(금) 오전 00:00</v>
      </c>
      <c r="C42" s="303"/>
      <c r="D42" s="275" t="str">
        <f>TEXT($G$1, "[$-ko-KR]yyyy-mm-dd(ddd) ") &amp; "오후 14:00"</f>
        <v>2021-06-18(금) 오후 14:00</v>
      </c>
      <c r="E42" s="276"/>
      <c r="F42" s="277"/>
      <c r="G42" s="275" t="str">
        <f>TEXT($G$1, "[$-ko-KR]yyyy-mm-dd(ddd) ") &amp; "오후 19:00"</f>
        <v>2021-06-18(금) 오후 19:00</v>
      </c>
      <c r="H42" s="276"/>
      <c r="I42" s="277"/>
      <c r="J42" s="275" t="str">
        <f>TEXT($G$1, "[$-ko-KR]yyyy-mm-dd(ddd) ") &amp; "오후 21:00"</f>
        <v>2021-06-18(금) 오후 21:00</v>
      </c>
      <c r="K42" s="276"/>
      <c r="L42" s="277"/>
      <c r="M42" s="275" t="str">
        <f>TEXT($G$1+1, "[$-ko-KR]yyyy-mm-dd(ddd) ") &amp; "오전 00:00"</f>
        <v>2021-06-19(토) 오전 00:00</v>
      </c>
      <c r="N42" s="276"/>
      <c r="O42" s="277"/>
      <c r="Q42" s="261"/>
      <c r="R42" s="261"/>
      <c r="S42" s="261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9" t="s">
        <v>58</v>
      </c>
      <c r="H43" s="230" t="s">
        <v>293</v>
      </c>
      <c r="I43" s="23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1"/>
      <c r="R43" s="251"/>
      <c r="S43" s="251"/>
    </row>
    <row r="44" spans="1:19" ht="17.25" customHeight="1" thickBot="1">
      <c r="A44" s="161" t="s">
        <v>219</v>
      </c>
      <c r="B44" s="124">
        <v>9.81</v>
      </c>
      <c r="C44" s="76">
        <v>0.1527614571</v>
      </c>
      <c r="D44" s="13">
        <v>9.6999999999999993</v>
      </c>
      <c r="E44" s="14">
        <f>IF(ISNUMBER(D44), (D44 - $B44) / $B44, "")</f>
        <v>-1.121304791029574E-2</v>
      </c>
      <c r="F44" s="16">
        <f>IF(ISNUMBER(D44), $B64 * E44, "")</f>
        <v>-1121.3047910295741</v>
      </c>
      <c r="G44" s="29">
        <v>9.94</v>
      </c>
      <c r="H44" s="14">
        <f>IF(ISNUMBER(G44), (G44 - $B44) / $B44, "")</f>
        <v>1.3251783893985626E-2</v>
      </c>
      <c r="I44" s="100">
        <f>IF(ISNUMBER(G44), $B64 * H44, "")</f>
        <v>1325.1783893985626</v>
      </c>
      <c r="J44" s="13">
        <v>9.8000000000000007</v>
      </c>
      <c r="K44" s="14">
        <f>IF(ISNUMBER(J44), (J44 - $B44) / $B44, "")</f>
        <v>-1.0193679918450342E-3</v>
      </c>
      <c r="L44" s="16">
        <f>IF(ISNUMBER(J44), $B64 * K44, "")</f>
        <v>-101.93679918450343</v>
      </c>
      <c r="M44" s="29">
        <v>9.32</v>
      </c>
      <c r="N44" s="14">
        <f>IF(ISNUMBER(M44), (M44 - $B44) / $B44, "")</f>
        <v>-4.9949031600407763E-2</v>
      </c>
      <c r="O44" s="16">
        <f>IF(ISNUMBER(M44), $B64 * N44, "")</f>
        <v>-4994.9031600407761</v>
      </c>
      <c r="Q44" s="261"/>
      <c r="R44" s="261"/>
      <c r="S44" s="261"/>
    </row>
    <row r="45" spans="1:19" ht="17.25" customHeight="1" thickBot="1">
      <c r="A45" s="162" t="s">
        <v>156</v>
      </c>
      <c r="B45" s="126">
        <v>84.8</v>
      </c>
      <c r="C45" s="77">
        <v>3.9215686299999997E-2</v>
      </c>
      <c r="D45" s="15">
        <v>85.2</v>
      </c>
      <c r="E45" s="32">
        <f t="shared" ref="E45:E48" si="14">IF(ISNUMBER(D45), (D45 - $B45) / $B45, "")</f>
        <v>4.7169811320755392E-3</v>
      </c>
      <c r="F45" s="18">
        <f>IF(ISNUMBER(D45), $B64 * E45, "")</f>
        <v>471.69811320755394</v>
      </c>
      <c r="G45" s="31">
        <v>86.2</v>
      </c>
      <c r="H45" s="32">
        <f t="shared" ref="H45:H48" si="15">IF(ISNUMBER(G45), (G45 - $B45) / $B45, "")</f>
        <v>1.650943396226422E-2</v>
      </c>
      <c r="I45" s="101">
        <f>IF(ISNUMBER(G45), $B64 * H45, "")</f>
        <v>1650.943396226422</v>
      </c>
      <c r="J45" s="15">
        <v>86.3</v>
      </c>
      <c r="K45" s="32">
        <f t="shared" ref="K45:K48" si="16">IF(ISNUMBER(J45), (J45 - $B45) / $B45, "")</f>
        <v>1.7688679245283018E-2</v>
      </c>
      <c r="L45" s="18">
        <f>IF(ISNUMBER(J45), $B64 * K45, "")</f>
        <v>1768.8679245283017</v>
      </c>
      <c r="M45" s="31">
        <v>84</v>
      </c>
      <c r="N45" s="32">
        <f t="shared" ref="N45:N48" si="17">IF(ISNUMBER(M45), (M45 - $B45) / $B45, "")</f>
        <v>-9.4339622641509101E-3</v>
      </c>
      <c r="O45" s="18">
        <f>IF(ISNUMBER(M45), $B64 * N45, "")</f>
        <v>-943.39622641509106</v>
      </c>
      <c r="Q45" s="261"/>
      <c r="R45" s="261"/>
      <c r="S45" s="261"/>
    </row>
    <row r="46" spans="1:19" ht="17.25" customHeight="1" thickBot="1">
      <c r="A46" s="162" t="s">
        <v>273</v>
      </c>
      <c r="B46" s="126">
        <v>71.900000000000006</v>
      </c>
      <c r="C46" s="77">
        <v>2.1306818200000001E-2</v>
      </c>
      <c r="D46" s="15">
        <v>71.099999999999994</v>
      </c>
      <c r="E46" s="32">
        <f t="shared" si="14"/>
        <v>-1.112656467315732E-2</v>
      </c>
      <c r="F46" s="18">
        <f>IF(ISNUMBER(D46), $B64 * E46, "")</f>
        <v>-1112.656467315732</v>
      </c>
      <c r="G46" s="31">
        <v>72.099999999999994</v>
      </c>
      <c r="H46" s="32">
        <f t="shared" si="15"/>
        <v>2.7816411682891323E-3</v>
      </c>
      <c r="I46" s="101">
        <f>IF(ISNUMBER(G46), $B64 * H46, "")</f>
        <v>278.16411682891322</v>
      </c>
      <c r="J46" s="15">
        <v>72.400000000000006</v>
      </c>
      <c r="K46" s="32">
        <f t="shared" si="16"/>
        <v>6.9541029207232262E-3</v>
      </c>
      <c r="L46" s="18">
        <f>IF(ISNUMBER(J46), $B64 * K46, "")</f>
        <v>695.41029207232259</v>
      </c>
      <c r="M46" s="31">
        <v>70.3</v>
      </c>
      <c r="N46" s="32">
        <f t="shared" si="17"/>
        <v>-2.2253129346314442E-2</v>
      </c>
      <c r="O46" s="18">
        <f>IF(ISNUMBER(M46), $B64 * N46, "")</f>
        <v>-2225.312934631444</v>
      </c>
      <c r="Q46" s="251"/>
      <c r="R46" s="251"/>
      <c r="S46" s="251"/>
    </row>
    <row r="47" spans="1:19" ht="17.25" customHeight="1" thickBot="1">
      <c r="A47" s="162" t="s">
        <v>154</v>
      </c>
      <c r="B47" s="126">
        <v>8.99</v>
      </c>
      <c r="C47" s="77">
        <v>1.1248593899999999E-2</v>
      </c>
      <c r="D47" s="15">
        <v>8.44</v>
      </c>
      <c r="E47" s="32">
        <f t="shared" si="14"/>
        <v>-6.1179087875417211E-2</v>
      </c>
      <c r="F47" s="18">
        <f>IF(ISNUMBER(D47), $B64 * E47, "")</f>
        <v>-6117.9087875417208</v>
      </c>
      <c r="G47" s="31">
        <v>8.23</v>
      </c>
      <c r="H47" s="32">
        <f t="shared" si="15"/>
        <v>-8.4538375973303645E-2</v>
      </c>
      <c r="I47" s="101">
        <f>IF(ISNUMBER(G47), $B64 * H47, "")</f>
        <v>-8453.8375973303646</v>
      </c>
      <c r="J47" s="15">
        <v>8.24</v>
      </c>
      <c r="K47" s="32">
        <f t="shared" si="16"/>
        <v>-8.3426028921023354E-2</v>
      </c>
      <c r="L47" s="18">
        <f>IF(ISNUMBER(J47), $B64 * K47, "")</f>
        <v>-8342.6028921023353</v>
      </c>
      <c r="M47" s="31">
        <v>8.16</v>
      </c>
      <c r="N47" s="32">
        <f t="shared" si="17"/>
        <v>-9.2324805339265861E-2</v>
      </c>
      <c r="O47" s="18">
        <f>IF(ISNUMBER(M47), $B64 * N47, "")</f>
        <v>-9232.4805339265858</v>
      </c>
      <c r="Q47" s="251"/>
      <c r="R47" s="251"/>
      <c r="S47" s="251"/>
    </row>
    <row r="48" spans="1:19" ht="17.25" customHeight="1" thickBot="1">
      <c r="A48" s="163" t="s">
        <v>148</v>
      </c>
      <c r="B48" s="128">
        <v>95.1</v>
      </c>
      <c r="C48" s="78">
        <v>9.5541401000000005E-3</v>
      </c>
      <c r="D48" s="20">
        <v>92.2</v>
      </c>
      <c r="E48" s="21">
        <f t="shared" si="14"/>
        <v>-3.0494216614090342E-2</v>
      </c>
      <c r="F48" s="22">
        <f>IF(ISNUMBER(D48), $B64 * E48, "")</f>
        <v>-3049.4216614090342</v>
      </c>
      <c r="G48" s="30">
        <v>90.7</v>
      </c>
      <c r="H48" s="21">
        <f t="shared" si="15"/>
        <v>-4.6267087276550913E-2</v>
      </c>
      <c r="I48" s="105">
        <f>IF(ISNUMBER(G48), $B64 * H48, "")</f>
        <v>-4626.708727655091</v>
      </c>
      <c r="J48" s="20">
        <v>90.9</v>
      </c>
      <c r="K48" s="21">
        <f t="shared" si="16"/>
        <v>-4.4164037854889475E-2</v>
      </c>
      <c r="L48" s="22">
        <f>IF(ISNUMBER(J48), $B64 * K48, "")</f>
        <v>-4416.4037854889475</v>
      </c>
      <c r="M48" s="30">
        <v>88.3</v>
      </c>
      <c r="N48" s="21">
        <f t="shared" si="17"/>
        <v>-7.1503680336487879E-2</v>
      </c>
      <c r="O48" s="22">
        <f>IF(ISNUMBER(M48), $B64 * N48, "")</f>
        <v>-7150.3680336487878</v>
      </c>
      <c r="Q48" s="251"/>
      <c r="R48" s="251"/>
      <c r="S48" s="251"/>
    </row>
    <row r="49" spans="1:19" ht="17.25" customHeight="1" thickBot="1">
      <c r="A49" s="162" t="s">
        <v>195</v>
      </c>
      <c r="B49" s="129">
        <v>8.98</v>
      </c>
      <c r="C49" s="80">
        <v>7.8563412000000003E-3</v>
      </c>
      <c r="D49" s="106">
        <v>8.6</v>
      </c>
      <c r="E49" s="107">
        <f>IF(ISNUMBER(D49), (D49 - $B49) / $B49, "")</f>
        <v>-4.2316258351893184E-2</v>
      </c>
      <c r="F49" s="108">
        <f>IF(ISNUMBER(D49), $B64 * E49, "")</f>
        <v>-4231.6258351893184</v>
      </c>
      <c r="G49" s="109">
        <v>8.3000000000000007</v>
      </c>
      <c r="H49" s="107">
        <f>IF(ISNUMBER(G49), (G49 - $B49) / $B49, "")</f>
        <v>-7.5723830734966552E-2</v>
      </c>
      <c r="I49" s="110">
        <f>IF(ISNUMBER(G49), $B64 * H49, "")</f>
        <v>-7572.383073496655</v>
      </c>
      <c r="J49" s="106">
        <v>8.33</v>
      </c>
      <c r="K49" s="107">
        <f>IF(ISNUMBER(J49), (J49 - $B49) / $B49, "")</f>
        <v>-7.2383073496659275E-2</v>
      </c>
      <c r="L49" s="108">
        <f>IF(ISNUMBER(J49), $B64 * K49, "")</f>
        <v>-7238.3073496659272</v>
      </c>
      <c r="M49" s="109">
        <v>8.1999999999999993</v>
      </c>
      <c r="N49" s="107">
        <f>IF(ISNUMBER(M49), (M49 - $B49) / $B49, "")</f>
        <v>-8.6859688195991214E-2</v>
      </c>
      <c r="O49" s="108">
        <f>IF(ISNUMBER(M49), $B64 * N49, "")</f>
        <v>-8685.9688195991221</v>
      </c>
      <c r="Q49" s="251"/>
      <c r="R49" s="251"/>
      <c r="S49" s="251"/>
    </row>
    <row r="50" spans="1:19" ht="17.25" customHeight="1" thickBot="1">
      <c r="A50" s="162" t="s">
        <v>126</v>
      </c>
      <c r="B50" s="126">
        <v>24.6</v>
      </c>
      <c r="C50" s="77">
        <v>4.0816326999999998E-3</v>
      </c>
      <c r="D50" s="15">
        <v>23.5</v>
      </c>
      <c r="E50" s="32">
        <f t="shared" ref="E50:E53" si="18">IF(ISNUMBER(D50), (D50 - $B50) / $B50, "")</f>
        <v>-4.4715447154471601E-2</v>
      </c>
      <c r="F50" s="18">
        <f>IF(ISNUMBER(D50), $B64 * E50, "")</f>
        <v>-4471.5447154471603</v>
      </c>
      <c r="G50" s="31">
        <v>23.4</v>
      </c>
      <c r="H50" s="32">
        <f t="shared" ref="H50:H53" si="19">IF(ISNUMBER(G50), (G50 - $B50) / $B50, "")</f>
        <v>-4.8780487804878161E-2</v>
      </c>
      <c r="I50" s="101">
        <f>IF(ISNUMBER(G50), $B64 * H50, "")</f>
        <v>-4878.0487804878157</v>
      </c>
      <c r="J50" s="15">
        <v>23.3</v>
      </c>
      <c r="K50" s="32">
        <f t="shared" ref="K50:K53" si="20">IF(ISNUMBER(J50), (J50 - $B50) / $B50, "")</f>
        <v>-5.2845528455284577E-2</v>
      </c>
      <c r="L50" s="18">
        <f>IF(ISNUMBER(J50), $B64 * K50, "")</f>
        <v>-5284.5528455284575</v>
      </c>
      <c r="M50" s="31">
        <v>22.9</v>
      </c>
      <c r="N50" s="32">
        <f t="shared" ref="N50:N53" si="21">IF(ISNUMBER(M50), (M50 - $B50) / $B50, "")</f>
        <v>-6.9105691056910681E-2</v>
      </c>
      <c r="O50" s="18">
        <f>IF(ISNUMBER(M50), $B64 * N50, "")</f>
        <v>-6910.5691056910682</v>
      </c>
      <c r="Q50" s="251"/>
      <c r="R50" s="251"/>
      <c r="S50" s="251"/>
    </row>
    <row r="51" spans="1:19" ht="17.25" customHeight="1" thickBot="1">
      <c r="A51" s="162" t="s">
        <v>167</v>
      </c>
      <c r="B51" s="126">
        <v>83.8</v>
      </c>
      <c r="C51" s="77">
        <v>1.1947431000000001E-3</v>
      </c>
      <c r="D51" s="15">
        <v>79.599999999999994</v>
      </c>
      <c r="E51" s="32">
        <f t="shared" si="18"/>
        <v>-5.0119331742243471E-2</v>
      </c>
      <c r="F51" s="18">
        <f>IF(ISNUMBER(D51), $B64 * E51, "")</f>
        <v>-5011.9331742243476</v>
      </c>
      <c r="G51" s="31">
        <v>79.099999999999994</v>
      </c>
      <c r="H51" s="32">
        <f t="shared" si="19"/>
        <v>-5.6085918854415308E-2</v>
      </c>
      <c r="I51" s="101">
        <f>IF(ISNUMBER(G51), $B64 * H51, "")</f>
        <v>-5608.5918854415304</v>
      </c>
      <c r="J51" s="15">
        <v>79.5</v>
      </c>
      <c r="K51" s="32">
        <f t="shared" si="20"/>
        <v>-5.1312649164677773E-2</v>
      </c>
      <c r="L51" s="18">
        <f>IF(ISNUMBER(J51), $B64 * K51, "")</f>
        <v>-5131.2649164677778</v>
      </c>
      <c r="M51" s="31">
        <v>75.8</v>
      </c>
      <c r="N51" s="32">
        <f t="shared" si="21"/>
        <v>-9.5465393794749401E-2</v>
      </c>
      <c r="O51" s="18">
        <f>IF(ISNUMBER(M51), $B64 * N51, "")</f>
        <v>-9546.5393794749398</v>
      </c>
      <c r="Q51" s="251"/>
      <c r="R51" s="251"/>
      <c r="S51" s="251"/>
    </row>
    <row r="52" spans="1:19" ht="17.25" customHeight="1" thickBot="1">
      <c r="A52" s="162" t="s">
        <v>152</v>
      </c>
      <c r="B52" s="126">
        <v>17.899999999999999</v>
      </c>
      <c r="C52" s="77">
        <v>0</v>
      </c>
      <c r="D52" s="15">
        <v>17.600000000000001</v>
      </c>
      <c r="E52" s="32">
        <f t="shared" si="18"/>
        <v>-1.6759776536312693E-2</v>
      </c>
      <c r="F52" s="18">
        <f>IF(ISNUMBER(D52), $B64 * E52, "")</f>
        <v>-1675.9776536312693</v>
      </c>
      <c r="G52" s="31">
        <v>18</v>
      </c>
      <c r="H52" s="32">
        <f t="shared" si="19"/>
        <v>5.5865921787710297E-3</v>
      </c>
      <c r="I52" s="101">
        <f>IF(ISNUMBER(G52), $B64 * H52, "")</f>
        <v>558.65921787710295</v>
      </c>
      <c r="J52" s="15">
        <v>17.899999999999999</v>
      </c>
      <c r="K52" s="32">
        <f t="shared" si="20"/>
        <v>0</v>
      </c>
      <c r="L52" s="18">
        <f>IF(ISNUMBER(J52), $B64 * K52, "")</f>
        <v>0</v>
      </c>
      <c r="M52" s="31">
        <v>17.600000000000001</v>
      </c>
      <c r="N52" s="32">
        <f t="shared" si="21"/>
        <v>-1.6759776536312693E-2</v>
      </c>
      <c r="O52" s="18">
        <f>IF(ISNUMBER(M52), $B64 * N52, "")</f>
        <v>-1675.9776536312693</v>
      </c>
      <c r="Q52" s="33"/>
      <c r="R52" s="33"/>
    </row>
    <row r="53" spans="1:19" ht="17.25" customHeight="1" thickBot="1">
      <c r="A53" s="130" t="s">
        <v>100</v>
      </c>
      <c r="B53" s="131">
        <v>3.93</v>
      </c>
      <c r="C53" s="79">
        <v>-2.5380710999999999E-3</v>
      </c>
      <c r="D53" s="24">
        <v>3.82</v>
      </c>
      <c r="E53" s="25">
        <f t="shared" si="18"/>
        <v>-2.7989821882951734E-2</v>
      </c>
      <c r="F53" s="104">
        <f>IF(ISNUMBER(D53), $B64 * E53, "")</f>
        <v>-2798.9821882951733</v>
      </c>
      <c r="G53" s="102">
        <v>3.76</v>
      </c>
      <c r="H53" s="25">
        <f t="shared" si="19"/>
        <v>-4.3256997455470833E-2</v>
      </c>
      <c r="I53" s="103">
        <f>IF(ISNUMBER(G53), $B64 * H53, "")</f>
        <v>-4325.6997455470837</v>
      </c>
      <c r="J53" s="24">
        <v>3.78</v>
      </c>
      <c r="K53" s="25">
        <f t="shared" si="20"/>
        <v>-3.8167938931297801E-2</v>
      </c>
      <c r="L53" s="104">
        <f>IF(ISNUMBER(J53), $B64 * K53, "")</f>
        <v>-3816.7938931297799</v>
      </c>
      <c r="M53" s="102">
        <v>3.69</v>
      </c>
      <c r="N53" s="25">
        <f t="shared" si="21"/>
        <v>-6.1068702290076389E-2</v>
      </c>
      <c r="O53" s="104">
        <f>IF(ISNUMBER(M53), $B64 * N53, "")</f>
        <v>-6106.870229007639</v>
      </c>
      <c r="Q53" s="252"/>
      <c r="R53" s="253"/>
      <c r="S53" s="254"/>
    </row>
    <row r="54" spans="1:19" ht="17.25" customHeight="1">
      <c r="A54" s="161" t="s">
        <v>259</v>
      </c>
      <c r="B54" s="124">
        <v>72.5</v>
      </c>
      <c r="C54" s="76">
        <v>-8.2079343000000006E-3</v>
      </c>
      <c r="D54" s="13">
        <v>69.8</v>
      </c>
      <c r="E54" s="14">
        <f>IF(ISNUMBER(D54), (D54 - $B54) / $B54, "")</f>
        <v>-3.7241379310344866E-2</v>
      </c>
      <c r="F54" s="16">
        <f>IF(ISNUMBER(D54), $B64 * E54, "")</f>
        <v>-3724.1379310344864</v>
      </c>
      <c r="G54" s="29">
        <v>68.7</v>
      </c>
      <c r="H54" s="14">
        <f>IF(ISNUMBER(G54), (G54 - $B54) / $B54, "")</f>
        <v>-5.2413793103448236E-2</v>
      </c>
      <c r="I54" s="100">
        <f>IF(ISNUMBER(G54), $B64 * H54, "")</f>
        <v>-5241.3793103448234</v>
      </c>
      <c r="J54" s="13">
        <v>68.400000000000006</v>
      </c>
      <c r="K54" s="14">
        <f>IF(ISNUMBER(J54), (J54 - $B54) / $B54, "")</f>
        <v>-5.6551724137930956E-2</v>
      </c>
      <c r="L54" s="16">
        <f>IF(ISNUMBER(J54), $B64 * K54, "")</f>
        <v>-5655.172413793096</v>
      </c>
      <c r="M54" s="29">
        <v>67</v>
      </c>
      <c r="N54" s="14">
        <f>IF(ISNUMBER(M54), (M54 - $B54) / $B54, "")</f>
        <v>-7.586206896551724E-2</v>
      </c>
      <c r="O54" s="16">
        <f>IF(ISNUMBER(M54), $B64 * N54, "")</f>
        <v>-7586.2068965517237</v>
      </c>
      <c r="Q54" s="255"/>
      <c r="R54" s="256"/>
      <c r="S54" s="257"/>
    </row>
    <row r="55" spans="1:19" ht="17.25" customHeight="1" thickBot="1">
      <c r="A55" s="162" t="s">
        <v>217</v>
      </c>
      <c r="B55" s="126">
        <v>9.61</v>
      </c>
      <c r="C55" s="77">
        <v>-1.1316872400000001E-2</v>
      </c>
      <c r="D55" s="15">
        <v>9.07</v>
      </c>
      <c r="E55" s="32">
        <f t="shared" ref="E55:E58" si="22">IF(ISNUMBER(D55), (D55 - $B55) / $B55, "")</f>
        <v>-5.6191467221644038E-2</v>
      </c>
      <c r="F55" s="18">
        <f>IF(ISNUMBER(D55), $B64 * E55, "")</f>
        <v>-5619.1467221644034</v>
      </c>
      <c r="G55" s="31">
        <v>9.75</v>
      </c>
      <c r="H55" s="32">
        <f t="shared" ref="H55:H58" si="23">IF(ISNUMBER(G55), (G55 - $B55) / $B55, "")</f>
        <v>1.4568158168574461E-2</v>
      </c>
      <c r="I55" s="101">
        <f>IF(ISNUMBER(G55), $B64 * H55, "")</f>
        <v>1456.8158168574462</v>
      </c>
      <c r="J55" s="15">
        <v>10</v>
      </c>
      <c r="K55" s="32">
        <f t="shared" ref="K55:K58" si="24">IF(ISNUMBER(J55), (J55 - $B55) / $B55, "")</f>
        <v>4.0582726326743035E-2</v>
      </c>
      <c r="L55" s="18">
        <f>IF(ISNUMBER(J55), $B64 * K55, "")</f>
        <v>4058.2726326743036</v>
      </c>
      <c r="M55" s="31">
        <v>9.7899999999999991</v>
      </c>
      <c r="N55" s="32">
        <f t="shared" ref="N55:N58" si="25">IF(ISNUMBER(M55), (M55 - $B55) / $B55, "")</f>
        <v>1.8730489073881345E-2</v>
      </c>
      <c r="O55" s="18">
        <f>IF(ISNUMBER(M55), $B64 * N55, "")</f>
        <v>1873.0489073881345</v>
      </c>
      <c r="Q55" s="258"/>
      <c r="R55" s="259"/>
      <c r="S55" s="260"/>
    </row>
    <row r="56" spans="1:19" ht="17.25" customHeight="1" thickBot="1">
      <c r="A56" s="162" t="s">
        <v>261</v>
      </c>
      <c r="B56" s="126">
        <v>53.3</v>
      </c>
      <c r="C56" s="77">
        <v>-1.6605166099999999E-2</v>
      </c>
      <c r="D56" s="15">
        <v>51.6</v>
      </c>
      <c r="E56" s="32">
        <f t="shared" si="22"/>
        <v>-3.1894934333958645E-2</v>
      </c>
      <c r="F56" s="18">
        <f>IF(ISNUMBER(D56), $B64 * E56, "")</f>
        <v>-3189.4934333958645</v>
      </c>
      <c r="G56" s="31">
        <v>51.6</v>
      </c>
      <c r="H56" s="32">
        <f t="shared" si="23"/>
        <v>-3.1894934333958645E-2</v>
      </c>
      <c r="I56" s="101">
        <f>IF(ISNUMBER(G56), $B64 * H56, "")</f>
        <v>-3189.4934333958645</v>
      </c>
      <c r="J56" s="15">
        <v>51.5</v>
      </c>
      <c r="K56" s="32">
        <f t="shared" si="24"/>
        <v>-3.3771106941838595E-2</v>
      </c>
      <c r="L56" s="18">
        <f>IF(ISNUMBER(J56), $B64 * K56, "")</f>
        <v>-3377.1106941838593</v>
      </c>
      <c r="M56" s="31">
        <v>51.3</v>
      </c>
      <c r="N56" s="32">
        <f t="shared" si="25"/>
        <v>-3.7523452157598502E-2</v>
      </c>
      <c r="O56" s="18">
        <f>IF(ISNUMBER(M56), $B64 * N56, "")</f>
        <v>-3752.3452157598504</v>
      </c>
      <c r="Q56" s="251"/>
      <c r="R56" s="251"/>
      <c r="S56" s="251"/>
    </row>
    <row r="57" spans="1:19" ht="17.25" customHeight="1" thickBot="1">
      <c r="A57" s="162" t="s">
        <v>225</v>
      </c>
      <c r="B57" s="126">
        <v>8.16</v>
      </c>
      <c r="C57" s="77">
        <v>-1.6867469900000001E-2</v>
      </c>
      <c r="D57" s="15">
        <v>7.61</v>
      </c>
      <c r="E57" s="32">
        <f t="shared" si="22"/>
        <v>-6.7401960784313708E-2</v>
      </c>
      <c r="F57" s="18">
        <f>IF(ISNUMBER(D57), $B64 * E57, "")</f>
        <v>-6740.1960784313706</v>
      </c>
      <c r="G57" s="31">
        <v>7.55</v>
      </c>
      <c r="H57" s="32">
        <f t="shared" si="23"/>
        <v>-7.4754901960784353E-2</v>
      </c>
      <c r="I57" s="101">
        <f>IF(ISNUMBER(G57), $B64 * H57, "")</f>
        <v>-7475.4901960784355</v>
      </c>
      <c r="J57" s="15">
        <v>7.61</v>
      </c>
      <c r="K57" s="32">
        <f t="shared" si="24"/>
        <v>-6.7401960784313708E-2</v>
      </c>
      <c r="L57" s="18">
        <f>IF(ISNUMBER(J57), $B64 * K57, "")</f>
        <v>-6740.1960784313706</v>
      </c>
      <c r="M57" s="31">
        <v>7.37</v>
      </c>
      <c r="N57" s="32">
        <f t="shared" si="25"/>
        <v>-9.6813725490196081E-2</v>
      </c>
      <c r="O57" s="18">
        <f>IF(ISNUMBER(M57), $B64 * N57, "")</f>
        <v>-9681.3725490196084</v>
      </c>
      <c r="Q57" s="261"/>
      <c r="R57" s="261"/>
      <c r="S57" s="261"/>
    </row>
    <row r="58" spans="1:19" ht="17.25" customHeight="1" thickBot="1">
      <c r="A58" s="163" t="s">
        <v>65</v>
      </c>
      <c r="B58" s="128">
        <v>31.7</v>
      </c>
      <c r="C58" s="78">
        <v>-1.8575851399999999E-2</v>
      </c>
      <c r="D58" s="20">
        <v>31.2</v>
      </c>
      <c r="E58" s="21">
        <f t="shared" si="22"/>
        <v>-1.5772870662460567E-2</v>
      </c>
      <c r="F58" s="22">
        <f>IF(ISNUMBER(D58), $B64 * E58, "")</f>
        <v>-1577.2870662460566</v>
      </c>
      <c r="G58" s="30">
        <v>30.8</v>
      </c>
      <c r="H58" s="21">
        <f t="shared" si="23"/>
        <v>-2.8391167192428977E-2</v>
      </c>
      <c r="I58" s="105">
        <f>IF(ISNUMBER(G58), $B64 * H58, "")</f>
        <v>-2839.1167192428979</v>
      </c>
      <c r="J58" s="20">
        <v>31.1</v>
      </c>
      <c r="K58" s="21">
        <f t="shared" si="24"/>
        <v>-1.8927444794952616E-2</v>
      </c>
      <c r="L58" s="22">
        <f>IF(ISNUMBER(J58), $B64 * K58, "")</f>
        <v>-1892.7444794952617</v>
      </c>
      <c r="M58" s="30">
        <v>31.3</v>
      </c>
      <c r="N58" s="21">
        <f t="shared" si="25"/>
        <v>-1.2618296529968411E-2</v>
      </c>
      <c r="O58" s="22">
        <f>IF(ISNUMBER(M58), $B64 * N58, "")</f>
        <v>-1261.8296529968411</v>
      </c>
      <c r="Q58" s="261"/>
      <c r="R58" s="261"/>
      <c r="S58" s="261"/>
    </row>
    <row r="59" spans="1:19" ht="17.25" customHeight="1" thickBot="1">
      <c r="A59" s="162" t="s">
        <v>185</v>
      </c>
      <c r="B59" s="129">
        <v>14.2</v>
      </c>
      <c r="C59" s="80">
        <v>-2.06896552E-2</v>
      </c>
      <c r="D59" s="106">
        <v>13.9</v>
      </c>
      <c r="E59" s="107">
        <f>IF(ISNUMBER(D59), (D59 - $B59) / $B59, "")</f>
        <v>-2.1126760563380208E-2</v>
      </c>
      <c r="F59" s="108">
        <f>IF(ISNUMBER(D59), $B64 * E59, "")</f>
        <v>-2112.6760563380208</v>
      </c>
      <c r="G59" s="109">
        <v>13.6</v>
      </c>
      <c r="H59" s="107">
        <f>IF(ISNUMBER(G59), (G59 - $B59) / $B59, "")</f>
        <v>-4.2253521126760542E-2</v>
      </c>
      <c r="I59" s="110">
        <f>IF(ISNUMBER(G59), $B64 * H59, "")</f>
        <v>-4225.3521126760543</v>
      </c>
      <c r="J59" s="106">
        <v>13.7</v>
      </c>
      <c r="K59" s="107">
        <f>IF(ISNUMBER(J59), (J59 - $B59) / $B59, "")</f>
        <v>-3.5211267605633804E-2</v>
      </c>
      <c r="L59" s="108">
        <f>IF(ISNUMBER(J59), $B64 * K59, "")</f>
        <v>-3521.1267605633802</v>
      </c>
      <c r="M59" s="109">
        <v>13.4</v>
      </c>
      <c r="N59" s="107">
        <f>IF(ISNUMBER(M59), (M59 - $B59) / $B59, "")</f>
        <v>-5.6338028169014009E-2</v>
      </c>
      <c r="O59" s="108">
        <f>IF(ISNUMBER(M59), $B64 * N59, "")</f>
        <v>-5633.8028169014005</v>
      </c>
      <c r="Q59" s="251"/>
      <c r="R59" s="251"/>
      <c r="S59" s="251"/>
    </row>
    <row r="60" spans="1:19" ht="17.25" customHeight="1" thickBot="1">
      <c r="A60" s="162" t="s">
        <v>72</v>
      </c>
      <c r="B60" s="126">
        <v>18.5</v>
      </c>
      <c r="C60" s="77">
        <v>-2.1164021200000001E-2</v>
      </c>
      <c r="D60" s="15">
        <v>17.7</v>
      </c>
      <c r="E60" s="32">
        <f t="shared" ref="E60:E63" si="26">IF(ISNUMBER(D60), (D60 - $B60) / $B60, "")</f>
        <v>-4.324324324324328E-2</v>
      </c>
      <c r="F60" s="18">
        <f>IF(ISNUMBER(D60), $B64 * E60, "")</f>
        <v>-4324.3243243243278</v>
      </c>
      <c r="G60" s="31">
        <v>17.600000000000001</v>
      </c>
      <c r="H60" s="32">
        <f t="shared" ref="H60:H63" si="27">IF(ISNUMBER(G60), (G60 - $B60) / $B60, "")</f>
        <v>-4.8648648648648575E-2</v>
      </c>
      <c r="I60" s="101">
        <f>IF(ISNUMBER(G60), $B64 * H60, "")</f>
        <v>-4864.8648648648577</v>
      </c>
      <c r="J60" s="15">
        <v>17.600000000000001</v>
      </c>
      <c r="K60" s="32">
        <f t="shared" ref="K60:K63" si="28">IF(ISNUMBER(J60), (J60 - $B60) / $B60, "")</f>
        <v>-4.8648648648648575E-2</v>
      </c>
      <c r="L60" s="18">
        <f>IF(ISNUMBER(J60), $B64 * K60, "")</f>
        <v>-4864.8648648648577</v>
      </c>
      <c r="M60" s="31">
        <v>17.600000000000001</v>
      </c>
      <c r="N60" s="32">
        <f t="shared" ref="N60:N63" si="29">IF(ISNUMBER(M60), (M60 - $B60) / $B60, "")</f>
        <v>-4.8648648648648575E-2</v>
      </c>
      <c r="O60" s="18">
        <f>IF(ISNUMBER(M60), $B64 * N60, "")</f>
        <v>-4864.8648648648577</v>
      </c>
      <c r="Q60" s="251"/>
      <c r="R60" s="251"/>
      <c r="S60" s="251"/>
    </row>
    <row r="61" spans="1:19" ht="17.25" customHeight="1" thickBot="1">
      <c r="A61" s="162" t="s">
        <v>255</v>
      </c>
      <c r="B61" s="126">
        <v>56.1</v>
      </c>
      <c r="C61" s="77">
        <v>-2.7729635999999998E-2</v>
      </c>
      <c r="D61" s="15">
        <v>52.1</v>
      </c>
      <c r="E61" s="32">
        <f t="shared" si="26"/>
        <v>-7.130124777183601E-2</v>
      </c>
      <c r="F61" s="18">
        <f>IF(ISNUMBER(D61), $B64 * E61, "")</f>
        <v>-7130.1247771836006</v>
      </c>
      <c r="G61" s="31">
        <v>50.6</v>
      </c>
      <c r="H61" s="32">
        <f t="shared" si="27"/>
        <v>-9.8039215686274508E-2</v>
      </c>
      <c r="I61" s="101">
        <f>IF(ISNUMBER(G61), $B64 * H61, "")</f>
        <v>-9803.9215686274511</v>
      </c>
      <c r="J61" s="15">
        <v>51.3</v>
      </c>
      <c r="K61" s="32">
        <f t="shared" si="28"/>
        <v>-8.5561497326203287E-2</v>
      </c>
      <c r="L61" s="18">
        <f>IF(ISNUMBER(J61), $B64 * K61, "")</f>
        <v>-8556.149732620328</v>
      </c>
      <c r="M61" s="31">
        <v>49.8</v>
      </c>
      <c r="N61" s="32">
        <f t="shared" si="29"/>
        <v>-0.11229946524064179</v>
      </c>
      <c r="O61" s="18">
        <f>IF(ISNUMBER(M61), $B64 * N61, "")</f>
        <v>-11229.946524064178</v>
      </c>
      <c r="Q61" s="251"/>
      <c r="R61" s="251"/>
      <c r="S61" s="251"/>
    </row>
    <row r="62" spans="1:19" ht="17.25" customHeight="1">
      <c r="A62" s="162" t="s">
        <v>212</v>
      </c>
      <c r="B62" s="126">
        <v>9.52</v>
      </c>
      <c r="C62" s="77">
        <v>-3.1536113900000003E-2</v>
      </c>
      <c r="D62" s="15">
        <v>8.7100000000000009</v>
      </c>
      <c r="E62" s="32">
        <f t="shared" si="26"/>
        <v>-8.5084033613445242E-2</v>
      </c>
      <c r="F62" s="18">
        <f>IF(ISNUMBER(D62), $B64 * E62, "")</f>
        <v>-8508.4033613445245</v>
      </c>
      <c r="G62" s="31">
        <v>8.6999999999999993</v>
      </c>
      <c r="H62" s="32">
        <f t="shared" si="27"/>
        <v>-8.6134453781512632E-2</v>
      </c>
      <c r="I62" s="101">
        <f>IF(ISNUMBER(G62), $B64 * H62, "")</f>
        <v>-8613.4453781512639</v>
      </c>
      <c r="J62" s="15">
        <v>8.75</v>
      </c>
      <c r="K62" s="32">
        <f t="shared" si="28"/>
        <v>-8.0882352941176433E-2</v>
      </c>
      <c r="L62" s="18">
        <f>IF(ISNUMBER(J62), $B64 * K62, "")</f>
        <v>-8088.2352941176432</v>
      </c>
      <c r="M62" s="31">
        <v>8.52</v>
      </c>
      <c r="N62" s="32">
        <f t="shared" si="29"/>
        <v>-0.10504201680672269</v>
      </c>
      <c r="O62" s="18">
        <f>IF(ISNUMBER(M62), $B64 * N62, "")</f>
        <v>-10504.20168067227</v>
      </c>
      <c r="Q62" s="240"/>
      <c r="R62" s="241"/>
      <c r="S62" s="242"/>
    </row>
    <row r="63" spans="1:19" ht="17.25" customHeight="1" thickBot="1">
      <c r="A63" s="130" t="s">
        <v>134</v>
      </c>
      <c r="B63" s="131">
        <v>77.2</v>
      </c>
      <c r="C63" s="79">
        <v>-3.3792240299999998E-2</v>
      </c>
      <c r="D63" s="24">
        <v>73.7</v>
      </c>
      <c r="E63" s="25">
        <f t="shared" si="26"/>
        <v>-4.5336787564766841E-2</v>
      </c>
      <c r="F63" s="104">
        <f>IF(ISNUMBER(D63), $B64 * E63, "")</f>
        <v>-4533.6787564766837</v>
      </c>
      <c r="G63" s="102">
        <v>72</v>
      </c>
      <c r="H63" s="25">
        <f t="shared" si="27"/>
        <v>-6.7357512953367907E-2</v>
      </c>
      <c r="I63" s="103">
        <f>IF(ISNUMBER(G63), $B64 * H63, "")</f>
        <v>-6735.7512953367905</v>
      </c>
      <c r="J63" s="24">
        <v>71.8</v>
      </c>
      <c r="K63" s="25">
        <f t="shared" si="28"/>
        <v>-6.9948186528497477E-2</v>
      </c>
      <c r="L63" s="104">
        <f>IF(ISNUMBER(J63), $B64 * K63, "")</f>
        <v>-6994.8186528497481</v>
      </c>
      <c r="M63" s="102">
        <v>70.3</v>
      </c>
      <c r="N63" s="25">
        <f t="shared" si="29"/>
        <v>-8.937823834196898E-2</v>
      </c>
      <c r="O63" s="104">
        <f>IF(ISNUMBER(M63), $B64 * N63, "")</f>
        <v>-8937.8238341968972</v>
      </c>
      <c r="Q63" s="243"/>
      <c r="R63" s="244"/>
      <c r="S63" s="245"/>
    </row>
    <row r="64" spans="1:19" ht="17.25" customHeight="1" thickBot="1">
      <c r="A64" s="132" t="s">
        <v>295</v>
      </c>
      <c r="B64" s="304">
        <f>$B$37</f>
        <v>100000</v>
      </c>
      <c r="C64" s="305"/>
      <c r="D64" s="26" t="s">
        <v>296</v>
      </c>
      <c r="E64" s="27">
        <f>IF(COUNT(E44:E63), SUM(E44:E63) / COUNT(E44:E63), 0)</f>
        <v>-3.828956283390756E-2</v>
      </c>
      <c r="F64" s="28">
        <f>SUM(F44:F63)</f>
        <v>-76579.125667815111</v>
      </c>
      <c r="G64" s="26" t="s">
        <v>296</v>
      </c>
      <c r="H64" s="27">
        <f>IF(COUNT(H44:H63), SUM(H44:H63) / COUNT(H44:H63), 0)</f>
        <v>-4.1592161875744257E-2</v>
      </c>
      <c r="I64" s="28">
        <f>SUM(I44:I63)</f>
        <v>-83184.323751488526</v>
      </c>
      <c r="J64" s="26" t="s">
        <v>296</v>
      </c>
      <c r="K64" s="27">
        <f>IF(COUNT(K44:K63), SUM(K44:K63) / COUNT(K44:K63), 0)</f>
        <v>-3.8749865301606165E-2</v>
      </c>
      <c r="L64" s="28">
        <f>SUM(L44:L63)</f>
        <v>-77499.73060321236</v>
      </c>
      <c r="M64" s="26" t="s">
        <v>296</v>
      </c>
      <c r="N64" s="27">
        <f>IF(COUNT(N44:N63), SUM(N44:N63) / COUNT(N44:N63), 0)</f>
        <v>-5.952586560185312E-2</v>
      </c>
      <c r="O64" s="28">
        <f>SUM(O44:O63)</f>
        <v>-119051.73120370621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262" t="s">
        <v>45</v>
      </c>
      <c r="B67" s="263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4"/>
      <c r="Q67" s="261"/>
      <c r="R67" s="261"/>
      <c r="S67" s="261"/>
    </row>
    <row r="68" spans="1:19" ht="17.25" thickBot="1">
      <c r="A68" s="228" t="s">
        <v>292</v>
      </c>
      <c r="B68" s="262" t="s">
        <v>49</v>
      </c>
      <c r="C68" s="264"/>
      <c r="D68" s="262" t="s">
        <v>58</v>
      </c>
      <c r="E68" s="263"/>
      <c r="F68" s="264"/>
      <c r="G68" s="265">
        <f>_xlfn.IFNA(VLOOKUP(B68, 현재가테이블!$B$2:$D$200, 2, FALSE), "-")</f>
        <v>40538000</v>
      </c>
      <c r="H68" s="266"/>
      <c r="I68" s="267"/>
      <c r="J68" s="262" t="s">
        <v>59</v>
      </c>
      <c r="K68" s="263"/>
      <c r="L68" s="264"/>
      <c r="M68" s="268">
        <f>_xlfn.IFNA(VLOOKUP(B68, 현재가테이블!$B$2:$D$200, 3, FALSE), "-")</f>
        <v>-3.68275993E-2</v>
      </c>
      <c r="N68" s="269"/>
      <c r="O68" s="270"/>
      <c r="Q68" s="261"/>
      <c r="R68" s="261"/>
      <c r="S68" s="261"/>
    </row>
    <row r="69" spans="1:19" ht="17.25" thickBot="1">
      <c r="A69" s="306" t="s">
        <v>55</v>
      </c>
      <c r="B69" s="302" t="str">
        <f>TEXT($G$1, "[$-ko-KR]yyyy-mm-dd(ddd) ") &amp; "오전 00:00"</f>
        <v>2021-06-18(금) 오전 00:00</v>
      </c>
      <c r="C69" s="303"/>
      <c r="D69" s="275" t="str">
        <f>TEXT($G$1, "[$-ko-KR]yyyy-mm-dd(ddd) ") &amp; "오후 14:00"</f>
        <v>2021-06-18(금) 오후 14:00</v>
      </c>
      <c r="E69" s="276"/>
      <c r="F69" s="277"/>
      <c r="G69" s="275" t="str">
        <f>TEXT($G$1, "[$-ko-KR]yyyy-mm-dd(ddd) ") &amp; "오후 19:00"</f>
        <v>2021-06-18(금) 오후 19:00</v>
      </c>
      <c r="H69" s="276"/>
      <c r="I69" s="277"/>
      <c r="J69" s="275" t="str">
        <f>TEXT($G$1, "[$-ko-KR]yyyy-mm-dd(ddd) ") &amp; "오후 21:00"</f>
        <v>2021-06-18(금) 오후 21:00</v>
      </c>
      <c r="K69" s="276"/>
      <c r="L69" s="277"/>
      <c r="M69" s="275" t="str">
        <f>TEXT($G$1+1, "[$-ko-KR]yyyy-mm-dd(ddd) ") &amp; "오전 00:00"</f>
        <v>2021-06-19(토) 오전 00:00</v>
      </c>
      <c r="N69" s="276"/>
      <c r="O69" s="277"/>
      <c r="Q69" s="261"/>
      <c r="R69" s="261"/>
      <c r="S69" s="261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9" t="s">
        <v>58</v>
      </c>
      <c r="H70" s="230" t="s">
        <v>293</v>
      </c>
      <c r="I70" s="23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1"/>
      <c r="R70" s="251"/>
      <c r="S70" s="251"/>
    </row>
    <row r="71" spans="1:19" ht="17.25" thickBot="1">
      <c r="A71" s="161" t="s">
        <v>142</v>
      </c>
      <c r="B71" s="124">
        <v>641</v>
      </c>
      <c r="C71" s="76">
        <v>7.3701842500000003E-2</v>
      </c>
      <c r="D71" s="13">
        <v>731</v>
      </c>
      <c r="E71" s="14">
        <f>IF(ISNUMBER(D71), (D71 - $B71) / $B71, "")</f>
        <v>0.14040561622464898</v>
      </c>
      <c r="F71" s="16">
        <f>IF(ISNUMBER(D71), $B91 * E71, "")</f>
        <v>14040.561622464898</v>
      </c>
      <c r="G71" s="29">
        <v>692</v>
      </c>
      <c r="H71" s="14">
        <f>IF(ISNUMBER(G71), (G71 - $B71) / $B71, "")</f>
        <v>7.9563182527301088E-2</v>
      </c>
      <c r="I71" s="100">
        <f>IF(ISNUMBER(G71), $B91 * H71, "")</f>
        <v>7956.3182527301087</v>
      </c>
      <c r="J71" s="13">
        <v>694</v>
      </c>
      <c r="K71" s="14">
        <f>IF(ISNUMBER(J71), (J71 - $B71) / $B71, "")</f>
        <v>8.2683307332293288E-2</v>
      </c>
      <c r="L71" s="16">
        <f>IF(ISNUMBER(J71), $B91 * K71, "")</f>
        <v>8268.330733229328</v>
      </c>
      <c r="M71" s="29">
        <v>675</v>
      </c>
      <c r="N71" s="14">
        <f>IF(ISNUMBER(M71), (M71 - $B71) / $B71, "")</f>
        <v>5.3042121684867397E-2</v>
      </c>
      <c r="O71" s="16">
        <f>IF(ISNUMBER(M71), $B91 * N71, "")</f>
        <v>5304.2121684867398</v>
      </c>
      <c r="Q71" s="261"/>
      <c r="R71" s="261"/>
      <c r="S71" s="261"/>
    </row>
    <row r="72" spans="1:19" ht="17.25" thickBot="1">
      <c r="A72" s="162" t="s">
        <v>82</v>
      </c>
      <c r="B72" s="126">
        <v>856</v>
      </c>
      <c r="C72" s="77">
        <v>5.2890528899999997E-2</v>
      </c>
      <c r="D72" s="15">
        <v>812</v>
      </c>
      <c r="E72" s="32">
        <f t="shared" ref="E72:E75" si="30">IF(ISNUMBER(D72), (D72 - $B72) / $B72, "")</f>
        <v>-5.1401869158878503E-2</v>
      </c>
      <c r="F72" s="18">
        <f>IF(ISNUMBER(D72), $B91 * E72, "")</f>
        <v>-5140.1869158878508</v>
      </c>
      <c r="G72" s="31">
        <v>760</v>
      </c>
      <c r="H72" s="32">
        <f t="shared" ref="H72:H75" si="31">IF(ISNUMBER(G72), (G72 - $B72) / $B72, "")</f>
        <v>-0.11214953271028037</v>
      </c>
      <c r="I72" s="101">
        <f>IF(ISNUMBER(G72), $B91 * H72, "")</f>
        <v>-11214.953271028036</v>
      </c>
      <c r="J72" s="15">
        <v>684</v>
      </c>
      <c r="K72" s="32">
        <f t="shared" ref="K72:K75" si="32">IF(ISNUMBER(J72), (J72 - $B72) / $B72, "")</f>
        <v>-0.20093457943925233</v>
      </c>
      <c r="L72" s="18">
        <f>IF(ISNUMBER(J72), $B91 * K72, "")</f>
        <v>-20093.457943925234</v>
      </c>
      <c r="M72" s="31">
        <v>673</v>
      </c>
      <c r="N72" s="32">
        <f t="shared" ref="N72:N75" si="33">IF(ISNUMBER(M72), (M72 - $B72) / $B72, "")</f>
        <v>-0.21378504672897197</v>
      </c>
      <c r="O72" s="18">
        <f>IF(ISNUMBER(M72), $B91 * N72, "")</f>
        <v>-21378.504672897197</v>
      </c>
      <c r="Q72" s="261"/>
      <c r="R72" s="261"/>
      <c r="S72" s="261"/>
    </row>
    <row r="73" spans="1:19" ht="17.25" thickBot="1">
      <c r="A73" s="162" t="s">
        <v>136</v>
      </c>
      <c r="B73" s="126">
        <v>126</v>
      </c>
      <c r="C73" s="77">
        <v>2.4390243900000001E-2</v>
      </c>
      <c r="D73" s="15">
        <v>121</v>
      </c>
      <c r="E73" s="32">
        <f t="shared" si="30"/>
        <v>-3.968253968253968E-2</v>
      </c>
      <c r="F73" s="18">
        <f>IF(ISNUMBER(D73), $B91 * E73, "")</f>
        <v>-3968.2539682539682</v>
      </c>
      <c r="G73" s="31">
        <v>122</v>
      </c>
      <c r="H73" s="32">
        <f t="shared" si="31"/>
        <v>-3.1746031746031744E-2</v>
      </c>
      <c r="I73" s="101">
        <f>IF(ISNUMBER(G73), $B91 * H73, "")</f>
        <v>-3174.6031746031745</v>
      </c>
      <c r="J73" s="15">
        <v>123</v>
      </c>
      <c r="K73" s="32">
        <f t="shared" si="32"/>
        <v>-2.3809523809523808E-2</v>
      </c>
      <c r="L73" s="18">
        <f>IF(ISNUMBER(J73), $B91 * K73, "")</f>
        <v>-2380.9523809523807</v>
      </c>
      <c r="M73" s="31">
        <v>122</v>
      </c>
      <c r="N73" s="32">
        <f t="shared" si="33"/>
        <v>-3.1746031746031744E-2</v>
      </c>
      <c r="O73" s="18">
        <f>IF(ISNUMBER(M73), $B91 * N73, "")</f>
        <v>-3174.6031746031745</v>
      </c>
      <c r="Q73" s="251"/>
      <c r="R73" s="251"/>
      <c r="S73" s="251"/>
    </row>
    <row r="74" spans="1:19" ht="17.25" thickBot="1">
      <c r="A74" s="162" t="s">
        <v>116</v>
      </c>
      <c r="B74" s="126">
        <v>324</v>
      </c>
      <c r="C74" s="77">
        <v>1.5673981199999999E-2</v>
      </c>
      <c r="D74" s="15">
        <v>312</v>
      </c>
      <c r="E74" s="32">
        <f t="shared" si="30"/>
        <v>-3.7037037037037035E-2</v>
      </c>
      <c r="F74" s="18">
        <f>IF(ISNUMBER(D74), $B91 * E74, "")</f>
        <v>-3703.7037037037035</v>
      </c>
      <c r="G74" s="31">
        <v>307</v>
      </c>
      <c r="H74" s="32">
        <f t="shared" si="31"/>
        <v>-5.2469135802469133E-2</v>
      </c>
      <c r="I74" s="101">
        <f>IF(ISNUMBER(G74), $B91 * H74, "")</f>
        <v>-5246.9135802469136</v>
      </c>
      <c r="J74" s="15">
        <v>307</v>
      </c>
      <c r="K74" s="32">
        <f t="shared" si="32"/>
        <v>-5.2469135802469133E-2</v>
      </c>
      <c r="L74" s="18">
        <f>IF(ISNUMBER(J74), $B91 * K74, "")</f>
        <v>-5246.9135802469136</v>
      </c>
      <c r="M74" s="31">
        <v>302</v>
      </c>
      <c r="N74" s="32">
        <f t="shared" si="33"/>
        <v>-6.7901234567901231E-2</v>
      </c>
      <c r="O74" s="18">
        <f>IF(ISNUMBER(M74), $B91 * N74, "")</f>
        <v>-6790.1234567901229</v>
      </c>
      <c r="Q74" s="251"/>
      <c r="R74" s="251"/>
      <c r="S74" s="251"/>
    </row>
    <row r="75" spans="1:19" ht="17.25" thickBot="1">
      <c r="A75" s="163" t="s">
        <v>92</v>
      </c>
      <c r="B75" s="128">
        <v>995</v>
      </c>
      <c r="C75" s="78">
        <v>1.11788618E-2</v>
      </c>
      <c r="D75" s="20">
        <v>982</v>
      </c>
      <c r="E75" s="21">
        <f t="shared" si="30"/>
        <v>-1.3065326633165829E-2</v>
      </c>
      <c r="F75" s="22">
        <f>IF(ISNUMBER(D75), $B91 * E75, "")</f>
        <v>-1306.532663316583</v>
      </c>
      <c r="G75" s="30">
        <v>978</v>
      </c>
      <c r="H75" s="21">
        <f t="shared" si="31"/>
        <v>-1.7085427135678392E-2</v>
      </c>
      <c r="I75" s="105">
        <f>IF(ISNUMBER(G75), $B91 * H75, "")</f>
        <v>-1708.5427135678392</v>
      </c>
      <c r="J75" s="20">
        <v>979</v>
      </c>
      <c r="K75" s="21">
        <f t="shared" si="32"/>
        <v>-1.6080402010050253E-2</v>
      </c>
      <c r="L75" s="22">
        <f>IF(ISNUMBER(J75), $B91 * K75, "")</f>
        <v>-1608.0402010050252</v>
      </c>
      <c r="M75" s="30">
        <v>952</v>
      </c>
      <c r="N75" s="21">
        <f t="shared" si="33"/>
        <v>-4.3216080402010047E-2</v>
      </c>
      <c r="O75" s="22">
        <f>IF(ISNUMBER(M75), $B91 * N75, "")</f>
        <v>-4321.6080402010048</v>
      </c>
      <c r="Q75" s="251"/>
      <c r="R75" s="251"/>
      <c r="S75" s="251"/>
    </row>
    <row r="76" spans="1:19" ht="17.25" thickBot="1">
      <c r="A76" s="162" t="s">
        <v>51</v>
      </c>
      <c r="B76" s="129">
        <v>380</v>
      </c>
      <c r="C76" s="80">
        <v>1.06382979E-2</v>
      </c>
      <c r="D76" s="106">
        <v>368</v>
      </c>
      <c r="E76" s="107">
        <f>IF(ISNUMBER(D76), (D76 - $B76) / $B76, "")</f>
        <v>-3.1578947368421054E-2</v>
      </c>
      <c r="F76" s="108">
        <f>IF(ISNUMBER(D76), $B91 * E76, "")</f>
        <v>-3157.8947368421054</v>
      </c>
      <c r="G76" s="109">
        <v>365</v>
      </c>
      <c r="H76" s="107">
        <f>IF(ISNUMBER(G76), (G76 - $B76) / $B76, "")</f>
        <v>-3.9473684210526314E-2</v>
      </c>
      <c r="I76" s="110">
        <f>IF(ISNUMBER(G76), $B91 * H76, "")</f>
        <v>-3947.3684210526312</v>
      </c>
      <c r="J76" s="106">
        <v>367</v>
      </c>
      <c r="K76" s="107">
        <f>IF(ISNUMBER(J76), (J76 - $B76) / $B76, "")</f>
        <v>-3.4210526315789476E-2</v>
      </c>
      <c r="L76" s="108">
        <f>IF(ISNUMBER(J76), $B91 * K76, "")</f>
        <v>-3421.0526315789475</v>
      </c>
      <c r="M76" s="109">
        <v>354</v>
      </c>
      <c r="N76" s="107">
        <f>IF(ISNUMBER(M76), (M76 - $B76) / $B76, "")</f>
        <v>-6.8421052631578952E-2</v>
      </c>
      <c r="O76" s="108">
        <f>IF(ISNUMBER(M76), $B91 * N76, "")</f>
        <v>-6842.105263157895</v>
      </c>
      <c r="Q76" s="251"/>
      <c r="R76" s="251"/>
      <c r="S76" s="251"/>
    </row>
    <row r="77" spans="1:19" ht="17.25" thickBot="1">
      <c r="A77" s="162" t="s">
        <v>80</v>
      </c>
      <c r="B77" s="126">
        <v>784</v>
      </c>
      <c r="C77" s="77">
        <v>1.03092784E-2</v>
      </c>
      <c r="D77" s="15">
        <v>760</v>
      </c>
      <c r="E77" s="32">
        <f t="shared" ref="E77:E80" si="34">IF(ISNUMBER(D77), (D77 - $B77) / $B77, "")</f>
        <v>-3.0612244897959183E-2</v>
      </c>
      <c r="F77" s="18">
        <f>IF(ISNUMBER(D77), $B91 * E77, "")</f>
        <v>-3061.2244897959181</v>
      </c>
      <c r="G77" s="31">
        <v>744</v>
      </c>
      <c r="H77" s="32">
        <f t="shared" ref="H77:H80" si="35">IF(ISNUMBER(G77), (G77 - $B77) / $B77, "")</f>
        <v>-5.1020408163265307E-2</v>
      </c>
      <c r="I77" s="101">
        <f>IF(ISNUMBER(G77), $B91 * H77, "")</f>
        <v>-5102.0408163265311</v>
      </c>
      <c r="J77" s="15">
        <v>744</v>
      </c>
      <c r="K77" s="32">
        <f t="shared" ref="K77:K80" si="36">IF(ISNUMBER(J77), (J77 - $B77) / $B77, "")</f>
        <v>-5.1020408163265307E-2</v>
      </c>
      <c r="L77" s="18">
        <f>IF(ISNUMBER(J77), $B91 * K77, "")</f>
        <v>-5102.0408163265311</v>
      </c>
      <c r="M77" s="31">
        <v>726</v>
      </c>
      <c r="N77" s="32">
        <f t="shared" ref="N77:N80" si="37">IF(ISNUMBER(M77), (M77 - $B77) / $B77, "")</f>
        <v>-7.3979591836734693E-2</v>
      </c>
      <c r="O77" s="18">
        <f>IF(ISNUMBER(M77), $B91 * N77, "")</f>
        <v>-7397.9591836734689</v>
      </c>
      <c r="Q77" s="251"/>
      <c r="R77" s="251"/>
      <c r="S77" s="251"/>
    </row>
    <row r="78" spans="1:19" ht="17.25" thickBot="1">
      <c r="A78" s="162" t="s">
        <v>120</v>
      </c>
      <c r="B78" s="126">
        <v>135</v>
      </c>
      <c r="C78" s="77">
        <v>7.4626865999999998E-3</v>
      </c>
      <c r="D78" s="15">
        <v>132</v>
      </c>
      <c r="E78" s="32">
        <f t="shared" si="34"/>
        <v>-2.2222222222222223E-2</v>
      </c>
      <c r="F78" s="18">
        <f>IF(ISNUMBER(D78), $B91 * E78, "")</f>
        <v>-2222.2222222222222</v>
      </c>
      <c r="G78" s="31">
        <v>131</v>
      </c>
      <c r="H78" s="32">
        <f t="shared" si="35"/>
        <v>-2.9629629629629631E-2</v>
      </c>
      <c r="I78" s="101">
        <f>IF(ISNUMBER(G78), $B91 * H78, "")</f>
        <v>-2962.962962962963</v>
      </c>
      <c r="J78" s="15">
        <v>131</v>
      </c>
      <c r="K78" s="32">
        <f t="shared" si="36"/>
        <v>-2.9629629629629631E-2</v>
      </c>
      <c r="L78" s="18">
        <f>IF(ISNUMBER(J78), $B91 * K78, "")</f>
        <v>-2962.962962962963</v>
      </c>
      <c r="M78" s="31">
        <v>128</v>
      </c>
      <c r="N78" s="32">
        <f t="shared" si="37"/>
        <v>-5.185185185185185E-2</v>
      </c>
      <c r="O78" s="18">
        <f>IF(ISNUMBER(M78), $B91 * N78, "")</f>
        <v>-5185.1851851851852</v>
      </c>
      <c r="Q78" s="251"/>
      <c r="R78" s="251"/>
      <c r="S78" s="251"/>
    </row>
    <row r="79" spans="1:19" ht="17.25" thickBot="1">
      <c r="A79" s="162" t="s">
        <v>128</v>
      </c>
      <c r="B79" s="126">
        <v>300</v>
      </c>
      <c r="C79" s="77">
        <v>0</v>
      </c>
      <c r="D79" s="15">
        <v>288</v>
      </c>
      <c r="E79" s="32">
        <f t="shared" si="34"/>
        <v>-0.04</v>
      </c>
      <c r="F79" s="18">
        <f>IF(ISNUMBER(D79), $B91 * E79, "")</f>
        <v>-4000</v>
      </c>
      <c r="G79" s="31">
        <v>282</v>
      </c>
      <c r="H79" s="32">
        <f t="shared" si="35"/>
        <v>-0.06</v>
      </c>
      <c r="I79" s="101">
        <f>IF(ISNUMBER(G79), $B91 * H79, "")</f>
        <v>-6000</v>
      </c>
      <c r="J79" s="15">
        <v>283</v>
      </c>
      <c r="K79" s="32">
        <f t="shared" si="36"/>
        <v>-5.6666666666666664E-2</v>
      </c>
      <c r="L79" s="18">
        <f>IF(ISNUMBER(J79), $B91 * K79, "")</f>
        <v>-5666.6666666666661</v>
      </c>
      <c r="M79" s="31">
        <v>277</v>
      </c>
      <c r="N79" s="32">
        <f t="shared" si="37"/>
        <v>-7.6666666666666661E-2</v>
      </c>
      <c r="O79" s="18">
        <f>IF(ISNUMBER(M79), $B91 * N79, "")</f>
        <v>-7666.6666666666661</v>
      </c>
      <c r="Q79" s="33"/>
      <c r="R79" s="33"/>
    </row>
    <row r="80" spans="1:19" ht="17.25" thickBot="1">
      <c r="A80" s="130" t="s">
        <v>132</v>
      </c>
      <c r="B80" s="131">
        <v>127</v>
      </c>
      <c r="C80" s="79">
        <v>0</v>
      </c>
      <c r="D80" s="24">
        <v>124</v>
      </c>
      <c r="E80" s="25">
        <f t="shared" si="34"/>
        <v>-2.3622047244094488E-2</v>
      </c>
      <c r="F80" s="104">
        <f>IF(ISNUMBER(D80), $B91 * E80, "")</f>
        <v>-2362.2047244094488</v>
      </c>
      <c r="G80" s="102">
        <v>123</v>
      </c>
      <c r="H80" s="25">
        <f t="shared" si="35"/>
        <v>-3.1496062992125984E-2</v>
      </c>
      <c r="I80" s="103">
        <f>IF(ISNUMBER(G80), $B91 * H80, "")</f>
        <v>-3149.6062992125985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120</v>
      </c>
      <c r="N80" s="25">
        <f t="shared" si="37"/>
        <v>-5.5118110236220472E-2</v>
      </c>
      <c r="O80" s="104">
        <f>IF(ISNUMBER(M80), $B91 * N80, "")</f>
        <v>-5511.8110236220473</v>
      </c>
      <c r="Q80" s="252"/>
      <c r="R80" s="253"/>
      <c r="S80" s="254"/>
    </row>
    <row r="81" spans="1:19">
      <c r="A81" s="161" t="s">
        <v>57</v>
      </c>
      <c r="B81" s="124">
        <v>194</v>
      </c>
      <c r="C81" s="76">
        <v>-5.1282050999999999E-3</v>
      </c>
      <c r="D81" s="13">
        <v>187</v>
      </c>
      <c r="E81" s="14">
        <f>IF(ISNUMBER(D81), (D81 - $B81) / $B81, "")</f>
        <v>-3.608247422680412E-2</v>
      </c>
      <c r="F81" s="16">
        <f>IF(ISNUMBER(D81), $B91 * E81, "")</f>
        <v>-3608.247422680412</v>
      </c>
      <c r="G81" s="29">
        <v>185</v>
      </c>
      <c r="H81" s="14">
        <f>IF(ISNUMBER(G81), (G81 - $B81) / $B81, "")</f>
        <v>-4.6391752577319589E-2</v>
      </c>
      <c r="I81" s="100">
        <f>IF(ISNUMBER(G81), $B91 * H81, "")</f>
        <v>-4639.1752577319585</v>
      </c>
      <c r="J81" s="13">
        <v>186</v>
      </c>
      <c r="K81" s="14">
        <f>IF(ISNUMBER(J81), (J81 - $B81) / $B81, "")</f>
        <v>-4.1237113402061855E-2</v>
      </c>
      <c r="L81" s="16">
        <f>IF(ISNUMBER(J81), $B91 * K81, "")</f>
        <v>-4123.7113402061859</v>
      </c>
      <c r="M81" s="29">
        <v>181</v>
      </c>
      <c r="N81" s="14">
        <f>IF(ISNUMBER(M81), (M81 - $B81) / $B81, "")</f>
        <v>-6.7010309278350513E-2</v>
      </c>
      <c r="O81" s="16">
        <f>IF(ISNUMBER(M81), $B91 * N81, "")</f>
        <v>-6701.0309278350514</v>
      </c>
      <c r="Q81" s="255"/>
      <c r="R81" s="256"/>
      <c r="S81" s="257"/>
    </row>
    <row r="82" spans="1:19" ht="17.25" thickBot="1">
      <c r="A82" s="162" t="s">
        <v>291</v>
      </c>
      <c r="B82" s="126">
        <v>362</v>
      </c>
      <c r="C82" s="77">
        <v>-5.4945055E-3</v>
      </c>
      <c r="D82" s="15">
        <v>357</v>
      </c>
      <c r="E82" s="32">
        <f t="shared" ref="E82:E85" si="38">IF(ISNUMBER(D82), (D82 - $B82) / $B82, "")</f>
        <v>-1.3812154696132596E-2</v>
      </c>
      <c r="F82" s="18">
        <f>IF(ISNUMBER(D82), $B91 * E82, "")</f>
        <v>-1381.2154696132595</v>
      </c>
      <c r="G82" s="31">
        <v>354</v>
      </c>
      <c r="H82" s="32">
        <f t="shared" ref="H82:H85" si="39">IF(ISNUMBER(G82), (G82 - $B82) / $B82, "")</f>
        <v>-2.2099447513812154E-2</v>
      </c>
      <c r="I82" s="101">
        <f>IF(ISNUMBER(G82), $B91 * H82, "")</f>
        <v>-2209.9447513812152</v>
      </c>
      <c r="J82" s="15">
        <v>352</v>
      </c>
      <c r="K82" s="32">
        <f t="shared" ref="K82:K85" si="40">IF(ISNUMBER(J82), (J82 - $B82) / $B82, "")</f>
        <v>-2.7624309392265192E-2</v>
      </c>
      <c r="L82" s="18">
        <f>IF(ISNUMBER(J82), $B91 * K82, "")</f>
        <v>-2762.4309392265191</v>
      </c>
      <c r="M82" s="31">
        <v>343</v>
      </c>
      <c r="N82" s="32">
        <f t="shared" ref="N82:N85" si="41">IF(ISNUMBER(M82), (M82 - $B82) / $B82, "")</f>
        <v>-5.2486187845303865E-2</v>
      </c>
      <c r="O82" s="18">
        <f>IF(ISNUMBER(M82), $B91 * N82, "")</f>
        <v>-5248.6187845303866</v>
      </c>
      <c r="Q82" s="258"/>
      <c r="R82" s="259"/>
      <c r="S82" s="260"/>
    </row>
    <row r="83" spans="1:19" ht="17.25" thickBot="1">
      <c r="A83" s="162" t="s">
        <v>275</v>
      </c>
      <c r="B83" s="126">
        <v>811</v>
      </c>
      <c r="C83" s="77">
        <v>-6.1274509999999999E-3</v>
      </c>
      <c r="D83" s="15">
        <v>755</v>
      </c>
      <c r="E83" s="32">
        <f t="shared" si="38"/>
        <v>-6.9050554870530204E-2</v>
      </c>
      <c r="F83" s="18">
        <f>IF(ISNUMBER(D83), $B91 * E83, "")</f>
        <v>-6905.0554870530204</v>
      </c>
      <c r="G83" s="31">
        <v>748</v>
      </c>
      <c r="H83" s="32">
        <f t="shared" si="39"/>
        <v>-7.7681874229346484E-2</v>
      </c>
      <c r="I83" s="101">
        <f>IF(ISNUMBER(G83), $B91 * H83, "")</f>
        <v>-7768.1874229346486</v>
      </c>
      <c r="J83" s="15">
        <v>750</v>
      </c>
      <c r="K83" s="32">
        <f t="shared" si="40"/>
        <v>-7.52157829839704E-2</v>
      </c>
      <c r="L83" s="18">
        <f>IF(ISNUMBER(J83), $B91 * K83, "")</f>
        <v>-7521.5782983970403</v>
      </c>
      <c r="M83" s="31">
        <v>736</v>
      </c>
      <c r="N83" s="32">
        <f t="shared" si="41"/>
        <v>-9.2478421701602961E-2</v>
      </c>
      <c r="O83" s="18">
        <f>IF(ISNUMBER(M83), $B91 * N83, "")</f>
        <v>-9247.8421701602965</v>
      </c>
      <c r="Q83" s="251"/>
      <c r="R83" s="251"/>
      <c r="S83" s="251"/>
    </row>
    <row r="84" spans="1:19" ht="17.25" thickBot="1">
      <c r="A84" s="162" t="s">
        <v>214</v>
      </c>
      <c r="B84" s="126">
        <v>239</v>
      </c>
      <c r="C84" s="77">
        <v>-8.2987552000000006E-3</v>
      </c>
      <c r="D84" s="15">
        <v>240</v>
      </c>
      <c r="E84" s="32">
        <f t="shared" si="38"/>
        <v>4.1841004184100415E-3</v>
      </c>
      <c r="F84" s="18">
        <f>IF(ISNUMBER(D84), $B91 * E84, "")</f>
        <v>418.41004184100416</v>
      </c>
      <c r="G84" s="31">
        <v>233</v>
      </c>
      <c r="H84" s="32">
        <f t="shared" si="39"/>
        <v>-2.5104602510460251E-2</v>
      </c>
      <c r="I84" s="101">
        <f>IF(ISNUMBER(G84), $B91 * H84, "")</f>
        <v>-2510.460251046025</v>
      </c>
      <c r="J84" s="15">
        <v>237</v>
      </c>
      <c r="K84" s="32">
        <f t="shared" si="40"/>
        <v>-8.368200836820083E-3</v>
      </c>
      <c r="L84" s="18">
        <f>IF(ISNUMBER(J84), $B91 * K84, "")</f>
        <v>-836.82008368200832</v>
      </c>
      <c r="M84" s="31">
        <v>235</v>
      </c>
      <c r="N84" s="32">
        <f t="shared" si="41"/>
        <v>-1.6736401673640166E-2</v>
      </c>
      <c r="O84" s="18">
        <f>IF(ISNUMBER(M84), $B91 * N84, "")</f>
        <v>-1673.6401673640166</v>
      </c>
      <c r="Q84" s="261"/>
      <c r="R84" s="261"/>
      <c r="S84" s="261"/>
    </row>
    <row r="85" spans="1:19" ht="17.25" thickBot="1">
      <c r="A85" s="163" t="s">
        <v>169</v>
      </c>
      <c r="B85" s="128">
        <v>244</v>
      </c>
      <c r="C85" s="78">
        <v>-1.2145749000000001E-2</v>
      </c>
      <c r="D85" s="20">
        <v>236</v>
      </c>
      <c r="E85" s="21">
        <f t="shared" si="38"/>
        <v>-3.2786885245901641E-2</v>
      </c>
      <c r="F85" s="22">
        <f>IF(ISNUMBER(D85), $B91 * E85, "")</f>
        <v>-3278.688524590164</v>
      </c>
      <c r="G85" s="30">
        <v>232</v>
      </c>
      <c r="H85" s="21">
        <f t="shared" si="39"/>
        <v>-4.9180327868852458E-2</v>
      </c>
      <c r="I85" s="105">
        <f>IF(ISNUMBER(G85), $B91 * H85, "")</f>
        <v>-4918.0327868852455</v>
      </c>
      <c r="J85" s="20">
        <v>234</v>
      </c>
      <c r="K85" s="21">
        <f t="shared" si="40"/>
        <v>-4.0983606557377046E-2</v>
      </c>
      <c r="L85" s="22">
        <f>IF(ISNUMBER(J85), $B91 * K85, "")</f>
        <v>-4098.3606557377043</v>
      </c>
      <c r="M85" s="30">
        <v>232</v>
      </c>
      <c r="N85" s="21">
        <f t="shared" si="41"/>
        <v>-4.9180327868852458E-2</v>
      </c>
      <c r="O85" s="22">
        <f>IF(ISNUMBER(M85), $B91 * N85, "")</f>
        <v>-4918.0327868852455</v>
      </c>
      <c r="Q85" s="261"/>
      <c r="R85" s="261"/>
      <c r="S85" s="261"/>
    </row>
    <row r="86" spans="1:19" ht="17.25" thickBot="1">
      <c r="A86" s="162" t="s">
        <v>191</v>
      </c>
      <c r="B86" s="129">
        <v>951</v>
      </c>
      <c r="C86" s="80">
        <v>-1.2461059199999999E-2</v>
      </c>
      <c r="D86" s="106">
        <v>913</v>
      </c>
      <c r="E86" s="107">
        <f>IF(ISNUMBER(D86), (D86 - $B86) / $B86, "")</f>
        <v>-3.9957939011566773E-2</v>
      </c>
      <c r="F86" s="108">
        <f>IF(ISNUMBER(D86), $B91 * E86, "")</f>
        <v>-3995.7939011566773</v>
      </c>
      <c r="G86" s="109">
        <v>899</v>
      </c>
      <c r="H86" s="107">
        <f>IF(ISNUMBER(G86), (G86 - $B86) / $B86, "")</f>
        <v>-5.4679284963196635E-2</v>
      </c>
      <c r="I86" s="110">
        <f>IF(ISNUMBER(G86), $B91 * H86, "")</f>
        <v>-5467.9284963196633</v>
      </c>
      <c r="J86" s="106">
        <v>904</v>
      </c>
      <c r="K86" s="107">
        <f>IF(ISNUMBER(J86), (J86 - $B86) / $B86, "")</f>
        <v>-4.9421661409043111E-2</v>
      </c>
      <c r="L86" s="108">
        <f>IF(ISNUMBER(J86), $B91 * K86, "")</f>
        <v>-4942.1661409043109</v>
      </c>
      <c r="M86" s="109">
        <v>891</v>
      </c>
      <c r="N86" s="107">
        <f>IF(ISNUMBER(M86), (M86 - $B86) / $B86, "")</f>
        <v>-6.3091482649842268E-2</v>
      </c>
      <c r="O86" s="108">
        <f>IF(ISNUMBER(M86), $B91 * N86, "")</f>
        <v>-6309.1482649842264</v>
      </c>
      <c r="Q86" s="251"/>
      <c r="R86" s="251"/>
      <c r="S86" s="251"/>
    </row>
    <row r="87" spans="1:19" ht="17.25" thickBot="1">
      <c r="A87" s="162" t="s">
        <v>88</v>
      </c>
      <c r="B87" s="126">
        <v>395</v>
      </c>
      <c r="C87" s="77">
        <v>-1.2500000000000001E-2</v>
      </c>
      <c r="D87" s="15">
        <v>369</v>
      </c>
      <c r="E87" s="32">
        <f t="shared" ref="E87:E90" si="42">IF(ISNUMBER(D87), (D87 - $B87) / $B87, "")</f>
        <v>-6.5822784810126586E-2</v>
      </c>
      <c r="F87" s="18">
        <f>IF(ISNUMBER(D87), $B91 * E87, "")</f>
        <v>-6582.2784810126586</v>
      </c>
      <c r="G87" s="31">
        <v>364</v>
      </c>
      <c r="H87" s="32">
        <f t="shared" ref="H87:H90" si="43">IF(ISNUMBER(G87), (G87 - $B87) / $B87, "")</f>
        <v>-7.848101265822785E-2</v>
      </c>
      <c r="I87" s="101">
        <f>IF(ISNUMBER(G87), $B91 * H87, "")</f>
        <v>-7848.1012658227846</v>
      </c>
      <c r="J87" s="15">
        <v>360</v>
      </c>
      <c r="K87" s="32">
        <f t="shared" ref="K87:K90" si="44">IF(ISNUMBER(J87), (J87 - $B87) / $B87, "")</f>
        <v>-8.8607594936708861E-2</v>
      </c>
      <c r="L87" s="18">
        <f>IF(ISNUMBER(J87), $B91 * K87, "")</f>
        <v>-8860.7594936708865</v>
      </c>
      <c r="M87" s="31">
        <v>346</v>
      </c>
      <c r="N87" s="32">
        <f t="shared" ref="N87:N90" si="45">IF(ISNUMBER(M87), (M87 - $B87) / $B87, "")</f>
        <v>-0.1240506329113924</v>
      </c>
      <c r="O87" s="18">
        <f>IF(ISNUMBER(M87), $B91 * N87, "")</f>
        <v>-12405.06329113924</v>
      </c>
      <c r="Q87" s="251"/>
      <c r="R87" s="251"/>
      <c r="S87" s="251"/>
    </row>
    <row r="88" spans="1:19" ht="17.25" thickBot="1">
      <c r="A88" s="162" t="s">
        <v>251</v>
      </c>
      <c r="B88" s="126">
        <v>144</v>
      </c>
      <c r="C88" s="77">
        <v>-1.3698630099999999E-2</v>
      </c>
      <c r="D88" s="15">
        <v>136</v>
      </c>
      <c r="E88" s="32">
        <f t="shared" si="42"/>
        <v>-5.5555555555555552E-2</v>
      </c>
      <c r="F88" s="18">
        <f>IF(ISNUMBER(D88), $B91 * E88, "")</f>
        <v>-5555.5555555555557</v>
      </c>
      <c r="G88" s="31">
        <v>135</v>
      </c>
      <c r="H88" s="32">
        <f t="shared" si="43"/>
        <v>-6.25E-2</v>
      </c>
      <c r="I88" s="101">
        <f>IF(ISNUMBER(G88), $B91 * H88, "")</f>
        <v>-6250</v>
      </c>
      <c r="J88" s="15">
        <v>134</v>
      </c>
      <c r="K88" s="32">
        <f t="shared" si="44"/>
        <v>-6.9444444444444448E-2</v>
      </c>
      <c r="L88" s="18">
        <f>IF(ISNUMBER(J88), $B91 * K88, "")</f>
        <v>-6944.4444444444443</v>
      </c>
      <c r="M88" s="31">
        <v>133</v>
      </c>
      <c r="N88" s="32">
        <f t="shared" si="45"/>
        <v>-7.6388888888888895E-2</v>
      </c>
      <c r="O88" s="18">
        <f>IF(ISNUMBER(M88), $B91 * N88, "")</f>
        <v>-7638.8888888888896</v>
      </c>
      <c r="Q88" s="251"/>
      <c r="R88" s="251"/>
      <c r="S88" s="251"/>
    </row>
    <row r="89" spans="1:19">
      <c r="A89" s="162" t="s">
        <v>61</v>
      </c>
      <c r="B89" s="126">
        <v>825</v>
      </c>
      <c r="C89" s="77">
        <v>-1.55131265E-2</v>
      </c>
      <c r="D89" s="15">
        <v>798</v>
      </c>
      <c r="E89" s="32">
        <f t="shared" si="42"/>
        <v>-3.272727272727273E-2</v>
      </c>
      <c r="F89" s="18">
        <f>IF(ISNUMBER(D89), $B91 * E89, "")</f>
        <v>-3272.727272727273</v>
      </c>
      <c r="G89" s="31">
        <v>787</v>
      </c>
      <c r="H89" s="32">
        <f t="shared" si="43"/>
        <v>-4.6060606060606059E-2</v>
      </c>
      <c r="I89" s="101">
        <f>IF(ISNUMBER(G89), $B91 * H89, "")</f>
        <v>-4606.060606060606</v>
      </c>
      <c r="J89" s="15">
        <v>782</v>
      </c>
      <c r="K89" s="32">
        <f t="shared" si="44"/>
        <v>-5.2121212121212124E-2</v>
      </c>
      <c r="L89" s="18">
        <f>IF(ISNUMBER(J89), $B91 * K89, "")</f>
        <v>-5212.121212121212</v>
      </c>
      <c r="M89" s="31">
        <v>763</v>
      </c>
      <c r="N89" s="32">
        <f t="shared" si="45"/>
        <v>-7.515151515151515E-2</v>
      </c>
      <c r="O89" s="18">
        <f>IF(ISNUMBER(M89), $B91 * N89, "")</f>
        <v>-7515.151515151515</v>
      </c>
      <c r="Q89" s="240"/>
      <c r="R89" s="241"/>
      <c r="S89" s="242"/>
    </row>
    <row r="90" spans="1:19" ht="17.25" thickBot="1">
      <c r="A90" s="130" t="s">
        <v>181</v>
      </c>
      <c r="B90" s="131">
        <v>227</v>
      </c>
      <c r="C90" s="79">
        <v>-1.73160173E-2</v>
      </c>
      <c r="D90" s="24">
        <v>214</v>
      </c>
      <c r="E90" s="25">
        <f t="shared" si="42"/>
        <v>-5.7268722466960353E-2</v>
      </c>
      <c r="F90" s="104">
        <f>IF(ISNUMBER(D90), $B91 * E90, "")</f>
        <v>-5726.8722466960353</v>
      </c>
      <c r="G90" s="102">
        <v>212</v>
      </c>
      <c r="H90" s="25">
        <f t="shared" si="43"/>
        <v>-6.6079295154185022E-2</v>
      </c>
      <c r="I90" s="103">
        <f>IF(ISNUMBER(G90), $B91 * H90, "")</f>
        <v>-6607.929515418502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208</v>
      </c>
      <c r="N90" s="25">
        <f t="shared" si="45"/>
        <v>-8.3700440528634359E-2</v>
      </c>
      <c r="O90" s="104">
        <f>IF(ISNUMBER(M90), $B91 * N90, "")</f>
        <v>-8370.0440528634354</v>
      </c>
      <c r="Q90" s="243"/>
      <c r="R90" s="244"/>
      <c r="S90" s="245"/>
    </row>
    <row r="91" spans="1:19" ht="17.25" thickBot="1">
      <c r="A91" s="132" t="s">
        <v>295</v>
      </c>
      <c r="B91" s="304">
        <f>$B$37</f>
        <v>100000</v>
      </c>
      <c r="C91" s="305"/>
      <c r="D91" s="26" t="s">
        <v>296</v>
      </c>
      <c r="E91" s="27">
        <f>IF(COUNT(E71:E90), SUM(E71:E90) / COUNT(E71:E90), 0)</f>
        <v>-2.7384843060605478E-2</v>
      </c>
      <c r="F91" s="28">
        <f>SUM(F71:F90)</f>
        <v>-54769.686121210951</v>
      </c>
      <c r="G91" s="26" t="s">
        <v>296</v>
      </c>
      <c r="H91" s="27">
        <f>IF(COUNT(H71:H90), SUM(H71:H90) / COUNT(H71:H90), 0)</f>
        <v>-4.3688246669935607E-2</v>
      </c>
      <c r="I91" s="28">
        <f>SUM(I71:I90)</f>
        <v>-87376.493339871231</v>
      </c>
      <c r="J91" s="26" t="s">
        <v>296</v>
      </c>
      <c r="K91" s="27">
        <f>IF(COUNT(K71:K90), SUM(K71:K90) / COUNT(K71:K90), 0)</f>
        <v>-4.6636842436728373E-2</v>
      </c>
      <c r="L91" s="28">
        <f>SUM(L71:L90)</f>
        <v>-93273.684873456747</v>
      </c>
      <c r="M91" s="26" t="s">
        <v>296</v>
      </c>
      <c r="N91" s="27">
        <f>IF(COUNT(N71:N90), SUM(N71:N90) / COUNT(N71:N90), 0)</f>
        <v>-6.6495907674056165E-2</v>
      </c>
      <c r="O91" s="28">
        <f>SUM(O71:O90)</f>
        <v>-132991.81534811232</v>
      </c>
      <c r="Q91" s="246"/>
      <c r="R91" s="247"/>
      <c r="S91" s="248"/>
    </row>
    <row r="93" spans="1:19" ht="17.25" thickBot="1"/>
    <row r="94" spans="1:19" ht="17.25" thickBot="1">
      <c r="A94" s="262" t="s">
        <v>46</v>
      </c>
      <c r="B94" s="263"/>
      <c r="C94" s="263"/>
      <c r="D94" s="263"/>
      <c r="E94" s="263"/>
      <c r="F94" s="263"/>
      <c r="G94" s="263"/>
      <c r="H94" s="263"/>
      <c r="I94" s="263"/>
      <c r="J94" s="263"/>
      <c r="K94" s="263"/>
      <c r="L94" s="263"/>
      <c r="M94" s="263"/>
      <c r="N94" s="263"/>
      <c r="O94" s="264"/>
      <c r="Q94" s="261"/>
      <c r="R94" s="261"/>
      <c r="S94" s="261"/>
    </row>
    <row r="95" spans="1:19" ht="17.25" thickBot="1">
      <c r="A95" s="228" t="s">
        <v>292</v>
      </c>
      <c r="B95" s="262" t="s">
        <v>36</v>
      </c>
      <c r="C95" s="264"/>
      <c r="D95" s="262" t="s">
        <v>58</v>
      </c>
      <c r="E95" s="263"/>
      <c r="F95" s="264"/>
      <c r="G95" s="265">
        <f>_xlfn.IFNA(VLOOKUP(B95, 현재가테이블!$B$2:$D$200, 2, FALSE), "-")</f>
        <v>40538000</v>
      </c>
      <c r="H95" s="266"/>
      <c r="I95" s="267"/>
      <c r="J95" s="262" t="s">
        <v>59</v>
      </c>
      <c r="K95" s="263"/>
      <c r="L95" s="264"/>
      <c r="M95" s="268">
        <f>_xlfn.IFNA(VLOOKUP(B95, 현재가테이블!$B$2:$D$200, 3, FALSE), "-")</f>
        <v>-3.68275993E-2</v>
      </c>
      <c r="N95" s="269"/>
      <c r="O95" s="270"/>
      <c r="Q95" s="261"/>
      <c r="R95" s="261"/>
      <c r="S95" s="261"/>
    </row>
    <row r="96" spans="1:19" ht="17.25" thickBot="1">
      <c r="A96" s="306" t="s">
        <v>55</v>
      </c>
      <c r="B96" s="302" t="str">
        <f>TEXT($G$1, "[$-ko-KR]yyyy-mm-dd(ddd) ") &amp; "오전 00:00"</f>
        <v>2021-06-18(금) 오전 00:00</v>
      </c>
      <c r="C96" s="303"/>
      <c r="D96" s="275" t="str">
        <f>TEXT($G$1, "[$-ko-KR]yyyy-mm-dd(ddd) ") &amp; "오후 14:00"</f>
        <v>2021-06-18(금) 오후 14:00</v>
      </c>
      <c r="E96" s="276"/>
      <c r="F96" s="277"/>
      <c r="G96" s="275" t="str">
        <f>TEXT($G$1, "[$-ko-KR]yyyy-mm-dd(ddd) ") &amp; "오후 19:00"</f>
        <v>2021-06-18(금) 오후 19:00</v>
      </c>
      <c r="H96" s="276"/>
      <c r="I96" s="277"/>
      <c r="J96" s="275" t="str">
        <f>TEXT($G$1, "[$-ko-KR]yyyy-mm-dd(ddd) ") &amp; "오후 21:00"</f>
        <v>2021-06-18(금) 오후 21:00</v>
      </c>
      <c r="K96" s="276"/>
      <c r="L96" s="277"/>
      <c r="M96" s="275" t="str">
        <f>TEXT($G$1+1, "[$-ko-KR]yyyy-mm-dd(ddd) ") &amp; "오전 00:00"</f>
        <v>2021-06-19(토) 오전 00:00</v>
      </c>
      <c r="N96" s="276"/>
      <c r="O96" s="277"/>
      <c r="Q96" s="261"/>
      <c r="R96" s="261"/>
      <c r="S96" s="261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9" t="s">
        <v>58</v>
      </c>
      <c r="H97" s="230" t="s">
        <v>293</v>
      </c>
      <c r="I97" s="23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1"/>
      <c r="R97" s="251"/>
      <c r="S97" s="251"/>
    </row>
    <row r="98" spans="1:19" ht="17.25" thickBot="1">
      <c r="A98" s="161" t="s">
        <v>219</v>
      </c>
      <c r="B98" s="124">
        <v>9.81</v>
      </c>
      <c r="C98" s="76">
        <v>0.1527614571</v>
      </c>
      <c r="D98" s="13">
        <v>9.6999999999999993</v>
      </c>
      <c r="E98" s="14">
        <f>IF(ISNUMBER(D98), (D98 - $B98) / $B98, "")</f>
        <v>-1.121304791029574E-2</v>
      </c>
      <c r="F98" s="16">
        <f>IF(ISNUMBER(D98), $B118 * E98, "")</f>
        <v>-1121.3047910295741</v>
      </c>
      <c r="G98" s="29">
        <v>9.94</v>
      </c>
      <c r="H98" s="14">
        <f>IF(ISNUMBER(G98), (G98 - $B98) / $B98, "")</f>
        <v>1.3251783893985626E-2</v>
      </c>
      <c r="I98" s="100">
        <f>IF(ISNUMBER(G98), $B118 * H98, "")</f>
        <v>1325.1783893985626</v>
      </c>
      <c r="J98" s="13">
        <v>9.8000000000000007</v>
      </c>
      <c r="K98" s="14">
        <f>IF(ISNUMBER(J98), (J98 - $B98) / $B98, "")</f>
        <v>-1.0193679918450342E-3</v>
      </c>
      <c r="L98" s="16">
        <f>IF(ISNUMBER(J98), $B118 * K98, "")</f>
        <v>-101.93679918450343</v>
      </c>
      <c r="M98" s="29">
        <v>9.32</v>
      </c>
      <c r="N98" s="14">
        <f>IF(ISNUMBER(M98), (M98 - $B98) / $B98, "")</f>
        <v>-4.9949031600407763E-2</v>
      </c>
      <c r="O98" s="16">
        <f>IF(ISNUMBER(M98), $B118 * N98, "")</f>
        <v>-4994.9031600407761</v>
      </c>
      <c r="Q98" s="261"/>
      <c r="R98" s="261"/>
      <c r="S98" s="261"/>
    </row>
    <row r="99" spans="1:19" ht="17.25" thickBot="1">
      <c r="A99" s="162" t="s">
        <v>110</v>
      </c>
      <c r="B99" s="126">
        <v>1325</v>
      </c>
      <c r="C99" s="77">
        <v>0.10416666669999999</v>
      </c>
      <c r="D99" s="15">
        <v>1255</v>
      </c>
      <c r="E99" s="32">
        <f t="shared" ref="E99:E102" si="46">IF(ISNUMBER(D99), (D99 - $B99) / $B99, "")</f>
        <v>-5.2830188679245285E-2</v>
      </c>
      <c r="F99" s="18">
        <f>IF(ISNUMBER(D99), $B118 * E99, "")</f>
        <v>-5283.0188679245284</v>
      </c>
      <c r="G99" s="31">
        <v>1190</v>
      </c>
      <c r="H99" s="32">
        <f t="shared" ref="H99:H102" si="47">IF(ISNUMBER(G99), (G99 - $B99) / $B99, "")</f>
        <v>-0.10188679245283019</v>
      </c>
      <c r="I99" s="101">
        <f>IF(ISNUMBER(G99), $B118 * H99, "")</f>
        <v>-10188.67924528302</v>
      </c>
      <c r="J99" s="15">
        <v>1195</v>
      </c>
      <c r="K99" s="32">
        <f t="shared" ref="K99:K102" si="48">IF(ISNUMBER(J99), (J99 - $B99) / $B99, "")</f>
        <v>-9.8113207547169817E-2</v>
      </c>
      <c r="L99" s="18">
        <f>IF(ISNUMBER(J99), $B118 * K99, "")</f>
        <v>-9811.3207547169823</v>
      </c>
      <c r="M99" s="31">
        <v>1160</v>
      </c>
      <c r="N99" s="32">
        <f t="shared" ref="N99:N102" si="49">IF(ISNUMBER(M99), (M99 - $B99) / $B99, "")</f>
        <v>-0.12452830188679245</v>
      </c>
      <c r="O99" s="18">
        <f>IF(ISNUMBER(M99), $B118 * N99, "")</f>
        <v>-12452.830188679245</v>
      </c>
      <c r="Q99" s="261"/>
      <c r="R99" s="261"/>
      <c r="S99" s="261"/>
    </row>
    <row r="100" spans="1:19" ht="17.25" thickBot="1">
      <c r="A100" s="162" t="s">
        <v>163</v>
      </c>
      <c r="B100" s="126">
        <v>21950</v>
      </c>
      <c r="C100" s="77">
        <v>9.5309381200000001E-2</v>
      </c>
      <c r="D100" s="15">
        <v>20880</v>
      </c>
      <c r="E100" s="32">
        <f t="shared" si="46"/>
        <v>-4.8747152619589978E-2</v>
      </c>
      <c r="F100" s="18">
        <f>IF(ISNUMBER(D100), $B118 * E100, "")</f>
        <v>-4874.7152619589979</v>
      </c>
      <c r="G100" s="31">
        <v>20150</v>
      </c>
      <c r="H100" s="32">
        <f t="shared" si="47"/>
        <v>-8.2004555808656038E-2</v>
      </c>
      <c r="I100" s="101">
        <f>IF(ISNUMBER(G100), $B118 * H100, "")</f>
        <v>-8200.4555808656041</v>
      </c>
      <c r="J100" s="15">
        <v>20020</v>
      </c>
      <c r="K100" s="32">
        <f t="shared" si="48"/>
        <v>-8.7927107061503418E-2</v>
      </c>
      <c r="L100" s="18">
        <f>IF(ISNUMBER(J100), $B118 * K100, "")</f>
        <v>-8792.7107061503411</v>
      </c>
      <c r="M100" s="31">
        <v>19640</v>
      </c>
      <c r="N100" s="32">
        <f t="shared" si="49"/>
        <v>-0.10523917995444192</v>
      </c>
      <c r="O100" s="18">
        <f>IF(ISNUMBER(M100), $B118 * N100, "")</f>
        <v>-10523.917995444192</v>
      </c>
      <c r="Q100" s="251"/>
      <c r="R100" s="251"/>
      <c r="S100" s="251"/>
    </row>
    <row r="101" spans="1:19" ht="17.25" thickBot="1">
      <c r="A101" s="162" t="s">
        <v>98</v>
      </c>
      <c r="B101" s="126">
        <v>3980</v>
      </c>
      <c r="C101" s="77">
        <v>8.0054274100000003E-2</v>
      </c>
      <c r="D101" s="15">
        <v>3875</v>
      </c>
      <c r="E101" s="32">
        <f t="shared" si="46"/>
        <v>-2.6381909547738693E-2</v>
      </c>
      <c r="F101" s="18">
        <f>IF(ISNUMBER(D101), $B118 * E101, "")</f>
        <v>-2638.1909547738692</v>
      </c>
      <c r="G101" s="31">
        <v>3775</v>
      </c>
      <c r="H101" s="32">
        <f t="shared" si="47"/>
        <v>-5.1507537688442212E-2</v>
      </c>
      <c r="I101" s="101">
        <f>IF(ISNUMBER(G101), $B118 * H101, "")</f>
        <v>-5150.7537688442208</v>
      </c>
      <c r="J101" s="15">
        <v>3780</v>
      </c>
      <c r="K101" s="32">
        <f t="shared" si="48"/>
        <v>-5.0251256281407038E-2</v>
      </c>
      <c r="L101" s="18">
        <f>IF(ISNUMBER(J101), $B118 * K101, "")</f>
        <v>-5025.1256281407041</v>
      </c>
      <c r="M101" s="31">
        <v>3700</v>
      </c>
      <c r="N101" s="32">
        <f t="shared" si="49"/>
        <v>-7.0351758793969849E-2</v>
      </c>
      <c r="O101" s="18">
        <f>IF(ISNUMBER(M101), $B118 * N101, "")</f>
        <v>-7035.1758793969848</v>
      </c>
      <c r="Q101" s="251"/>
      <c r="R101" s="251"/>
      <c r="S101" s="251"/>
    </row>
    <row r="102" spans="1:19" ht="17.25" thickBot="1">
      <c r="A102" s="163" t="s">
        <v>142</v>
      </c>
      <c r="B102" s="128">
        <v>641</v>
      </c>
      <c r="C102" s="78">
        <v>7.3701842500000003E-2</v>
      </c>
      <c r="D102" s="20">
        <v>731</v>
      </c>
      <c r="E102" s="21">
        <f t="shared" si="46"/>
        <v>0.14040561622464898</v>
      </c>
      <c r="F102" s="22">
        <f>IF(ISNUMBER(D102), $B118 * E102, "")</f>
        <v>14040.561622464898</v>
      </c>
      <c r="G102" s="30">
        <v>692</v>
      </c>
      <c r="H102" s="21">
        <f t="shared" si="47"/>
        <v>7.9563182527301088E-2</v>
      </c>
      <c r="I102" s="105">
        <f>IF(ISNUMBER(G102), $B118 * H102, "")</f>
        <v>7956.3182527301087</v>
      </c>
      <c r="J102" s="20">
        <v>694</v>
      </c>
      <c r="K102" s="21">
        <f t="shared" si="48"/>
        <v>8.2683307332293288E-2</v>
      </c>
      <c r="L102" s="22">
        <f>IF(ISNUMBER(J102), $B118 * K102, "")</f>
        <v>8268.330733229328</v>
      </c>
      <c r="M102" s="30">
        <v>675</v>
      </c>
      <c r="N102" s="21">
        <f t="shared" si="49"/>
        <v>5.3042121684867397E-2</v>
      </c>
      <c r="O102" s="22">
        <f>IF(ISNUMBER(M102), $B118 * N102, "")</f>
        <v>5304.2121684867398</v>
      </c>
      <c r="Q102" s="251"/>
      <c r="R102" s="251"/>
      <c r="S102" s="251"/>
    </row>
    <row r="103" spans="1:19" ht="17.25" thickBot="1">
      <c r="A103" s="162" t="s">
        <v>94</v>
      </c>
      <c r="B103" s="129">
        <v>68460</v>
      </c>
      <c r="C103" s="80">
        <v>6.1395348799999999E-2</v>
      </c>
      <c r="D103" s="106">
        <v>65460</v>
      </c>
      <c r="E103" s="107">
        <f>IF(ISNUMBER(D103), (D103 - $B103) / $B103, "")</f>
        <v>-4.3821209465381247E-2</v>
      </c>
      <c r="F103" s="108">
        <f>IF(ISNUMBER(D103), $B118 * E103, "")</f>
        <v>-4382.1209465381244</v>
      </c>
      <c r="G103" s="109">
        <v>64620</v>
      </c>
      <c r="H103" s="107">
        <f>IF(ISNUMBER(G103), (G103 - $B103) / $B103, "")</f>
        <v>-5.6091148115687994E-2</v>
      </c>
      <c r="I103" s="110">
        <f>IF(ISNUMBER(G103), $B118 * H103, "")</f>
        <v>-5609.1148115687993</v>
      </c>
      <c r="J103" s="106">
        <v>64810</v>
      </c>
      <c r="K103" s="107">
        <f>IF(ISNUMBER(J103), (J103 - $B103) / $B103, "")</f>
        <v>-5.3315804849547184E-2</v>
      </c>
      <c r="L103" s="108">
        <f>IF(ISNUMBER(J103), $B118 * K103, "")</f>
        <v>-5331.5804849547185</v>
      </c>
      <c r="M103" s="109">
        <v>63620</v>
      </c>
      <c r="N103" s="107">
        <f>IF(ISNUMBER(M103), (M103 - $B103) / $B103, "")</f>
        <v>-7.0698217937481739E-2</v>
      </c>
      <c r="O103" s="108">
        <f>IF(ISNUMBER(M103), $B118 * N103, "")</f>
        <v>-7069.8217937481741</v>
      </c>
      <c r="Q103" s="251"/>
      <c r="R103" s="251"/>
      <c r="S103" s="251"/>
    </row>
    <row r="104" spans="1:19" ht="17.25" thickBot="1">
      <c r="A104" s="162" t="s">
        <v>158</v>
      </c>
      <c r="B104" s="126">
        <v>5230</v>
      </c>
      <c r="C104" s="77">
        <v>5.76339737E-2</v>
      </c>
      <c r="D104" s="15">
        <v>5835</v>
      </c>
      <c r="E104" s="32">
        <f t="shared" ref="E104:E107" si="50">IF(ISNUMBER(D104), (D104 - $B104) / $B104, "")</f>
        <v>0.11567877629063097</v>
      </c>
      <c r="F104" s="18">
        <f>IF(ISNUMBER(D104), $B118 * E104, "")</f>
        <v>11567.877629063098</v>
      </c>
      <c r="G104" s="31">
        <v>5595</v>
      </c>
      <c r="H104" s="32">
        <f t="shared" ref="H104:H107" si="51">IF(ISNUMBER(G104), (G104 - $B104) / $B104, "")</f>
        <v>6.9789674952198857E-2</v>
      </c>
      <c r="I104" s="101">
        <f>IF(ISNUMBER(G104), $B118 * H104, "")</f>
        <v>6978.9674952198857</v>
      </c>
      <c r="J104" s="15">
        <v>5545</v>
      </c>
      <c r="K104" s="32">
        <f t="shared" ref="K104:K107" si="52">IF(ISNUMBER(J104), (J104 - $B104) / $B104, "")</f>
        <v>6.022944550669216E-2</v>
      </c>
      <c r="L104" s="18">
        <f>IF(ISNUMBER(J104), $B118 * K104, "")</f>
        <v>6022.9445506692164</v>
      </c>
      <c r="M104" s="31">
        <v>5300</v>
      </c>
      <c r="N104" s="32">
        <f t="shared" ref="N104:N107" si="53">IF(ISNUMBER(M104), (M104 - $B104) / $B104, "")</f>
        <v>1.338432122370937E-2</v>
      </c>
      <c r="O104" s="18">
        <f>IF(ISNUMBER(M104), $B118 * N104, "")</f>
        <v>1338.4321223709369</v>
      </c>
      <c r="Q104" s="251"/>
      <c r="R104" s="251"/>
      <c r="S104" s="251"/>
    </row>
    <row r="105" spans="1:19" ht="17.25" thickBot="1">
      <c r="A105" s="162" t="s">
        <v>114</v>
      </c>
      <c r="B105" s="126">
        <v>11050</v>
      </c>
      <c r="C105" s="77">
        <v>5.3384175399999997E-2</v>
      </c>
      <c r="D105" s="15">
        <v>11590</v>
      </c>
      <c r="E105" s="32">
        <f t="shared" si="50"/>
        <v>4.8868778280542986E-2</v>
      </c>
      <c r="F105" s="18">
        <f>IF(ISNUMBER(D105), $B118 * E105, "")</f>
        <v>4886.8778280542983</v>
      </c>
      <c r="G105" s="31">
        <v>11220</v>
      </c>
      <c r="H105" s="32">
        <f t="shared" si="51"/>
        <v>1.5384615384615385E-2</v>
      </c>
      <c r="I105" s="101">
        <f>IF(ISNUMBER(G105), $B118 * H105, "")</f>
        <v>1538.4615384615386</v>
      </c>
      <c r="J105" s="15">
        <v>11100</v>
      </c>
      <c r="K105" s="32">
        <f t="shared" si="52"/>
        <v>4.5248868778280547E-3</v>
      </c>
      <c r="L105" s="18">
        <f>IF(ISNUMBER(J105), $B118 * K105, "")</f>
        <v>452.48868778280547</v>
      </c>
      <c r="M105" s="31">
        <v>10780</v>
      </c>
      <c r="N105" s="32">
        <f t="shared" si="53"/>
        <v>-2.4434389140271493E-2</v>
      </c>
      <c r="O105" s="18">
        <f>IF(ISNUMBER(M105), $B118 * N105, "")</f>
        <v>-2443.4389140271492</v>
      </c>
      <c r="Q105" s="251"/>
      <c r="R105" s="251"/>
      <c r="S105" s="251"/>
    </row>
    <row r="106" spans="1:19" ht="17.25" thickBot="1">
      <c r="A106" s="162" t="s">
        <v>360</v>
      </c>
      <c r="B106" s="126">
        <v>1680</v>
      </c>
      <c r="C106" s="77">
        <v>1.5100000000000001E-2</v>
      </c>
      <c r="D106" s="15">
        <v>1605</v>
      </c>
      <c r="E106" s="32">
        <f t="shared" si="50"/>
        <v>-4.4642857142857144E-2</v>
      </c>
      <c r="F106" s="18">
        <f>IF(ISNUMBER(D106), $B118 * E106, "")</f>
        <v>-4464.2857142857147</v>
      </c>
      <c r="G106" s="31">
        <v>1560</v>
      </c>
      <c r="H106" s="32">
        <f t="shared" si="51"/>
        <v>-7.1428571428571425E-2</v>
      </c>
      <c r="I106" s="101">
        <f>IF(ISNUMBER(G106), $B118 * H106, "")</f>
        <v>-7142.8571428571422</v>
      </c>
      <c r="J106" s="15">
        <v>1545</v>
      </c>
      <c r="K106" s="32">
        <f t="shared" si="52"/>
        <v>-8.0357142857142863E-2</v>
      </c>
      <c r="L106" s="18">
        <f>IF(ISNUMBER(J106), $B118 * K106, "")</f>
        <v>-8035.7142857142862</v>
      </c>
      <c r="M106" s="31">
        <v>1520</v>
      </c>
      <c r="N106" s="32">
        <f t="shared" si="53"/>
        <v>-9.5238095238095233E-2</v>
      </c>
      <c r="O106" s="18">
        <f>IF(ISNUMBER(M106), $B118 * N106, "")</f>
        <v>-9523.8095238095229</v>
      </c>
      <c r="Q106" s="33"/>
      <c r="R106" s="33"/>
    </row>
    <row r="107" spans="1:19" ht="17.25" thickBot="1">
      <c r="A107" s="130" t="s">
        <v>74</v>
      </c>
      <c r="B107" s="131">
        <v>16620</v>
      </c>
      <c r="C107" s="79">
        <v>4.65994962E-2</v>
      </c>
      <c r="D107" s="24">
        <v>15670</v>
      </c>
      <c r="E107" s="25">
        <f t="shared" si="50"/>
        <v>-5.7160048134777375E-2</v>
      </c>
      <c r="F107" s="104">
        <f>IF(ISNUMBER(D107), $B118 * E107, "")</f>
        <v>-5716.0048134777371</v>
      </c>
      <c r="G107" s="102">
        <v>15190</v>
      </c>
      <c r="H107" s="25">
        <f t="shared" si="51"/>
        <v>-8.6040914560770163E-2</v>
      </c>
      <c r="I107" s="103">
        <f>IF(ISNUMBER(G107), $B118 * H107, "")</f>
        <v>-8604.0914560770161</v>
      </c>
      <c r="J107" s="24">
        <v>15210</v>
      </c>
      <c r="K107" s="25">
        <f t="shared" si="52"/>
        <v>-8.4837545126353789E-2</v>
      </c>
      <c r="L107" s="104">
        <f>IF(ISNUMBER(J107), $B118 * K107, "")</f>
        <v>-8483.754512635378</v>
      </c>
      <c r="M107" s="102">
        <v>14950</v>
      </c>
      <c r="N107" s="25">
        <f t="shared" si="53"/>
        <v>-0.10048134777376655</v>
      </c>
      <c r="O107" s="104">
        <f>IF(ISNUMBER(M107), $B118 * N107, "")</f>
        <v>-10048.134777376656</v>
      </c>
      <c r="Q107" s="252"/>
      <c r="R107" s="253"/>
      <c r="S107" s="254"/>
    </row>
    <row r="108" spans="1:19">
      <c r="A108" s="161" t="s">
        <v>156</v>
      </c>
      <c r="B108" s="124">
        <v>84.8</v>
      </c>
      <c r="C108" s="76">
        <v>3.9215686299999997E-2</v>
      </c>
      <c r="D108" s="13">
        <v>85.2</v>
      </c>
      <c r="E108" s="14">
        <f>IF(ISNUMBER(D108), (D108 - $B108) / $B108, "")</f>
        <v>4.7169811320755392E-3</v>
      </c>
      <c r="F108" s="16">
        <f>IF(ISNUMBER(D108), $B118 * E108, "")</f>
        <v>471.69811320755394</v>
      </c>
      <c r="G108" s="29">
        <v>86.2</v>
      </c>
      <c r="H108" s="14">
        <f>IF(ISNUMBER(G108), (G108 - $B108) / $B108, "")</f>
        <v>1.650943396226422E-2</v>
      </c>
      <c r="I108" s="100">
        <f>IF(ISNUMBER(G108), $B118 * H108, "")</f>
        <v>1650.943396226422</v>
      </c>
      <c r="J108" s="13">
        <v>86.3</v>
      </c>
      <c r="K108" s="14">
        <f>IF(ISNUMBER(J108), (J108 - $B108) / $B108, "")</f>
        <v>1.7688679245283018E-2</v>
      </c>
      <c r="L108" s="16">
        <f>IF(ISNUMBER(J108), $B118 * K108, "")</f>
        <v>1768.8679245283017</v>
      </c>
      <c r="M108" s="29">
        <v>84</v>
      </c>
      <c r="N108" s="14">
        <f>IF(ISNUMBER(M108), (M108 - $B108) / $B108, "")</f>
        <v>-9.4339622641509101E-3</v>
      </c>
      <c r="O108" s="16">
        <f>IF(ISNUMBER(M108), $B118 * N108, "")</f>
        <v>-943.39622641509106</v>
      </c>
      <c r="Q108" s="255"/>
      <c r="R108" s="256"/>
      <c r="S108" s="257"/>
    </row>
    <row r="109" spans="1:19" ht="17.25" thickBot="1">
      <c r="A109" s="162" t="s">
        <v>108</v>
      </c>
      <c r="B109" s="126">
        <v>30040</v>
      </c>
      <c r="C109" s="77">
        <v>3.2302405499999999E-2</v>
      </c>
      <c r="D109" s="15">
        <v>29140</v>
      </c>
      <c r="E109" s="32">
        <f t="shared" ref="E109:E112" si="54">IF(ISNUMBER(D109), (D109 - $B109) / $B109, "")</f>
        <v>-2.9960053262316912E-2</v>
      </c>
      <c r="F109" s="18">
        <f>IF(ISNUMBER(D109), $B118 * E109, "")</f>
        <v>-2996.005326231691</v>
      </c>
      <c r="G109" s="31">
        <v>28650</v>
      </c>
      <c r="H109" s="32">
        <f t="shared" ref="H109:H112" si="55">IF(ISNUMBER(G109), (G109 - $B109) / $B109, "")</f>
        <v>-4.6271637816245006E-2</v>
      </c>
      <c r="I109" s="101">
        <f>IF(ISNUMBER(G109), $B118 * H109, "")</f>
        <v>-4627.1637816245011</v>
      </c>
      <c r="J109" s="15">
        <v>28670</v>
      </c>
      <c r="K109" s="32">
        <f t="shared" ref="K109:K112" si="56">IF(ISNUMBER(J109), (J109 - $B109) / $B109, "")</f>
        <v>-4.5605858854860189E-2</v>
      </c>
      <c r="L109" s="18">
        <f>IF(ISNUMBER(J109), $B118 * K109, "")</f>
        <v>-4560.5858854860189</v>
      </c>
      <c r="M109" s="31">
        <v>28310</v>
      </c>
      <c r="N109" s="32">
        <f t="shared" ref="N109:N112" si="57">IF(ISNUMBER(M109), (M109 - $B109) / $B109, "")</f>
        <v>-5.7589880159786951E-2</v>
      </c>
      <c r="O109" s="18">
        <f>IF(ISNUMBER(M109), $B118 * N109, "")</f>
        <v>-5758.9880159786953</v>
      </c>
      <c r="Q109" s="258"/>
      <c r="R109" s="259"/>
      <c r="S109" s="260"/>
    </row>
    <row r="110" spans="1:19" ht="17.25" thickBot="1">
      <c r="A110" s="162" t="s">
        <v>76</v>
      </c>
      <c r="B110" s="126">
        <v>27920</v>
      </c>
      <c r="C110" s="77">
        <v>2.4587155999999999E-2</v>
      </c>
      <c r="D110" s="15">
        <v>26760</v>
      </c>
      <c r="E110" s="32">
        <f t="shared" si="54"/>
        <v>-4.1547277936962751E-2</v>
      </c>
      <c r="F110" s="18">
        <f>IF(ISNUMBER(D110), $B118 * E110, "")</f>
        <v>-4154.7277936962755</v>
      </c>
      <c r="G110" s="31">
        <v>26400</v>
      </c>
      <c r="H110" s="32">
        <f t="shared" si="55"/>
        <v>-5.4441260744985676E-2</v>
      </c>
      <c r="I110" s="101">
        <f>IF(ISNUMBER(G110), $B118 * H110, "")</f>
        <v>-5444.1260744985675</v>
      </c>
      <c r="J110" s="15">
        <v>26280</v>
      </c>
      <c r="K110" s="32">
        <f t="shared" si="56"/>
        <v>-5.8739255014326648E-2</v>
      </c>
      <c r="L110" s="18">
        <f>IF(ISNUMBER(J110), $B118 * K110, "")</f>
        <v>-5873.9255014326645</v>
      </c>
      <c r="M110" s="31">
        <v>25850</v>
      </c>
      <c r="N110" s="32">
        <f t="shared" si="57"/>
        <v>-7.414040114613181E-2</v>
      </c>
      <c r="O110" s="18">
        <f>IF(ISNUMBER(M110), $B118 * N110, "")</f>
        <v>-7414.0401146131808</v>
      </c>
      <c r="Q110" s="251"/>
      <c r="R110" s="251"/>
      <c r="S110" s="251"/>
    </row>
    <row r="111" spans="1:19" ht="17.25" thickBot="1">
      <c r="A111" s="162" t="s">
        <v>136</v>
      </c>
      <c r="B111" s="126">
        <v>126</v>
      </c>
      <c r="C111" s="77">
        <v>2.4390243900000001E-2</v>
      </c>
      <c r="D111" s="15">
        <v>121</v>
      </c>
      <c r="E111" s="32">
        <f t="shared" si="54"/>
        <v>-3.968253968253968E-2</v>
      </c>
      <c r="F111" s="18">
        <f>IF(ISNUMBER(D111), $B118 * E111, "")</f>
        <v>-3968.2539682539682</v>
      </c>
      <c r="G111" s="31">
        <v>122</v>
      </c>
      <c r="H111" s="32">
        <f t="shared" si="55"/>
        <v>-3.1746031746031744E-2</v>
      </c>
      <c r="I111" s="101">
        <f>IF(ISNUMBER(G111), $B118 * H111, "")</f>
        <v>-3174.6031746031745</v>
      </c>
      <c r="J111" s="15">
        <v>123</v>
      </c>
      <c r="K111" s="32">
        <f t="shared" si="56"/>
        <v>-2.3809523809523808E-2</v>
      </c>
      <c r="L111" s="18">
        <f>IF(ISNUMBER(J111), $B118 * K111, "")</f>
        <v>-2380.9523809523807</v>
      </c>
      <c r="M111" s="31">
        <v>122</v>
      </c>
      <c r="N111" s="32">
        <f t="shared" si="57"/>
        <v>-3.1746031746031744E-2</v>
      </c>
      <c r="O111" s="18">
        <f>IF(ISNUMBER(M111), $B118 * N111, "")</f>
        <v>-3174.6031746031745</v>
      </c>
      <c r="Q111" s="261"/>
      <c r="R111" s="261"/>
      <c r="S111" s="261"/>
    </row>
    <row r="112" spans="1:19" ht="17.25" thickBot="1">
      <c r="A112" s="163" t="s">
        <v>183</v>
      </c>
      <c r="B112" s="128">
        <v>1330</v>
      </c>
      <c r="C112" s="78">
        <v>2.3076923100000001E-2</v>
      </c>
      <c r="D112" s="20">
        <v>1330</v>
      </c>
      <c r="E112" s="21">
        <f t="shared" si="54"/>
        <v>0</v>
      </c>
      <c r="F112" s="22">
        <f>IF(ISNUMBER(D112), $B118 * E112, "")</f>
        <v>0</v>
      </c>
      <c r="G112" s="30">
        <v>1295</v>
      </c>
      <c r="H112" s="21">
        <f t="shared" si="55"/>
        <v>-2.6315789473684209E-2</v>
      </c>
      <c r="I112" s="105">
        <f>IF(ISNUMBER(G112), $B118 * H112, "")</f>
        <v>-2631.5789473684208</v>
      </c>
      <c r="J112" s="20">
        <v>1300</v>
      </c>
      <c r="K112" s="21">
        <f t="shared" si="56"/>
        <v>-2.2556390977443608E-2</v>
      </c>
      <c r="L112" s="22">
        <f>IF(ISNUMBER(J112), $B118 * K112, "")</f>
        <v>-2255.6390977443607</v>
      </c>
      <c r="M112" s="30">
        <v>1275</v>
      </c>
      <c r="N112" s="21">
        <f t="shared" si="57"/>
        <v>-4.1353383458646614E-2</v>
      </c>
      <c r="O112" s="22">
        <f>IF(ISNUMBER(M112), $B118 * N112, "")</f>
        <v>-4135.3383458646613</v>
      </c>
      <c r="Q112" s="261"/>
      <c r="R112" s="261"/>
      <c r="S112" s="261"/>
    </row>
    <row r="113" spans="1:19" ht="17.25" thickBot="1">
      <c r="A113" s="162" t="s">
        <v>144</v>
      </c>
      <c r="B113" s="129">
        <v>6115</v>
      </c>
      <c r="C113" s="80">
        <v>2.2575250799999998E-2</v>
      </c>
      <c r="D113" s="106">
        <v>5770</v>
      </c>
      <c r="E113" s="107">
        <f>IF(ISNUMBER(D113), (D113 - $B113) / $B113, "")</f>
        <v>-5.6418642681929684E-2</v>
      </c>
      <c r="F113" s="108">
        <f>IF(ISNUMBER(D113), $B118 * E113, "")</f>
        <v>-5641.8642681929687</v>
      </c>
      <c r="G113" s="109">
        <v>5780</v>
      </c>
      <c r="H113" s="107">
        <f>IF(ISNUMBER(G113), (G113 - $B113) / $B113, "")</f>
        <v>-5.4783319705641861E-2</v>
      </c>
      <c r="I113" s="110">
        <f>IF(ISNUMBER(G113), $B118 * H113, "")</f>
        <v>-5478.3319705641861</v>
      </c>
      <c r="J113" s="106">
        <v>5820</v>
      </c>
      <c r="K113" s="107">
        <f>IF(ISNUMBER(J113), (J113 - $B113) / $B113, "")</f>
        <v>-4.8242027800490597E-2</v>
      </c>
      <c r="L113" s="108">
        <f>IF(ISNUMBER(J113), $B118 * K113, "")</f>
        <v>-4824.2027800490596</v>
      </c>
      <c r="M113" s="109">
        <v>5650</v>
      </c>
      <c r="N113" s="107">
        <f>IF(ISNUMBER(M113), (M113 - $B113) / $B113, "")</f>
        <v>-7.6042518397383477E-2</v>
      </c>
      <c r="O113" s="108">
        <f>IF(ISNUMBER(M113), $B118 * N113, "")</f>
        <v>-7604.2518397383474</v>
      </c>
      <c r="Q113" s="251"/>
      <c r="R113" s="251"/>
      <c r="S113" s="251"/>
    </row>
    <row r="114" spans="1:19" ht="17.25" thickBot="1">
      <c r="A114" s="162" t="s">
        <v>273</v>
      </c>
      <c r="B114" s="126">
        <v>71.900000000000006</v>
      </c>
      <c r="C114" s="77">
        <v>2.1306818200000001E-2</v>
      </c>
      <c r="D114" s="15">
        <v>71.099999999999994</v>
      </c>
      <c r="E114" s="32">
        <f t="shared" ref="E114:E117" si="58">IF(ISNUMBER(D114), (D114 - $B114) / $B114, "")</f>
        <v>-1.112656467315732E-2</v>
      </c>
      <c r="F114" s="18">
        <f>IF(ISNUMBER(D114), $B118 * E114, "")</f>
        <v>-1112.656467315732</v>
      </c>
      <c r="G114" s="31">
        <v>72.099999999999994</v>
      </c>
      <c r="H114" s="32">
        <f t="shared" ref="H114:H117" si="59">IF(ISNUMBER(G114), (G114 - $B114) / $B114, "")</f>
        <v>2.7816411682891323E-3</v>
      </c>
      <c r="I114" s="101">
        <f>IF(ISNUMBER(G114), $B118 * H114, "")</f>
        <v>278.16411682891322</v>
      </c>
      <c r="J114" s="15">
        <v>72.400000000000006</v>
      </c>
      <c r="K114" s="32">
        <f t="shared" ref="K114:K117" si="60">IF(ISNUMBER(J114), (J114 - $B114) / $B114, "")</f>
        <v>6.9541029207232262E-3</v>
      </c>
      <c r="L114" s="18">
        <f>IF(ISNUMBER(J114), $B118 * K114, "")</f>
        <v>695.41029207232259</v>
      </c>
      <c r="M114" s="31">
        <v>70.3</v>
      </c>
      <c r="N114" s="32">
        <f t="shared" ref="N114:N117" si="61">IF(ISNUMBER(M114), (M114 - $B114) / $B114, "")</f>
        <v>-2.2253129346314442E-2</v>
      </c>
      <c r="O114" s="18">
        <f>IF(ISNUMBER(M114), $B118 * N114, "")</f>
        <v>-2225.312934631444</v>
      </c>
      <c r="Q114" s="251"/>
      <c r="R114" s="251"/>
      <c r="S114" s="251"/>
    </row>
    <row r="115" spans="1:19" ht="17.25" thickBot="1">
      <c r="A115" s="162" t="s">
        <v>78</v>
      </c>
      <c r="B115" s="126">
        <v>715700</v>
      </c>
      <c r="C115" s="77">
        <v>2.06788363E-2</v>
      </c>
      <c r="D115" s="15">
        <v>694700</v>
      </c>
      <c r="E115" s="32">
        <f t="shared" si="58"/>
        <v>-2.9341903031996647E-2</v>
      </c>
      <c r="F115" s="18">
        <f>IF(ISNUMBER(D115), $B118 * E115, "")</f>
        <v>-2934.1903031996649</v>
      </c>
      <c r="G115" s="31">
        <v>691000</v>
      </c>
      <c r="H115" s="32">
        <f t="shared" si="59"/>
        <v>-3.4511666899538912E-2</v>
      </c>
      <c r="I115" s="101">
        <f>IF(ISNUMBER(G115), $B118 * H115, "")</f>
        <v>-3451.1666899538914</v>
      </c>
      <c r="J115" s="15">
        <v>690800</v>
      </c>
      <c r="K115" s="32">
        <f t="shared" si="60"/>
        <v>-3.4791113595081739E-2</v>
      </c>
      <c r="L115" s="18">
        <f>IF(ISNUMBER(J115), $B118 * K115, "")</f>
        <v>-3479.1113595081738</v>
      </c>
      <c r="M115" s="31">
        <v>678500</v>
      </c>
      <c r="N115" s="32">
        <f t="shared" si="61"/>
        <v>-5.1977085370965487E-2</v>
      </c>
      <c r="O115" s="18">
        <f>IF(ISNUMBER(M115), $B118 * N115, "")</f>
        <v>-5197.7085370965488</v>
      </c>
      <c r="Q115" s="251"/>
      <c r="R115" s="251"/>
      <c r="S115" s="251"/>
    </row>
    <row r="116" spans="1:19">
      <c r="A116" s="162" t="s">
        <v>86</v>
      </c>
      <c r="B116" s="126">
        <v>5855</v>
      </c>
      <c r="C116" s="77">
        <v>1.82608696E-2</v>
      </c>
      <c r="D116" s="15">
        <v>5665</v>
      </c>
      <c r="E116" s="32">
        <f t="shared" si="58"/>
        <v>-3.2450896669513236E-2</v>
      </c>
      <c r="F116" s="18">
        <f>IF(ISNUMBER(D116), $B118 * E116, "")</f>
        <v>-3245.0896669513236</v>
      </c>
      <c r="G116" s="31">
        <v>5635</v>
      </c>
      <c r="H116" s="32">
        <f t="shared" si="59"/>
        <v>-3.7574722459436376E-2</v>
      </c>
      <c r="I116" s="101">
        <f>IF(ISNUMBER(G116), $B118 * H116, "")</f>
        <v>-3757.4722459436375</v>
      </c>
      <c r="J116" s="15">
        <v>5645</v>
      </c>
      <c r="K116" s="32">
        <f t="shared" si="60"/>
        <v>-3.5866780529461996E-2</v>
      </c>
      <c r="L116" s="18">
        <f>IF(ISNUMBER(J116), $B118 * K116, "")</f>
        <v>-3586.6780529461994</v>
      </c>
      <c r="M116" s="31">
        <v>5550</v>
      </c>
      <c r="N116" s="32">
        <f t="shared" si="61"/>
        <v>-5.2092228864218618E-2</v>
      </c>
      <c r="O116" s="18">
        <f>IF(ISNUMBER(M116), $B118 * N116, "")</f>
        <v>-5209.2228864218614</v>
      </c>
      <c r="Q116" s="240"/>
      <c r="R116" s="241"/>
      <c r="S116" s="242"/>
    </row>
    <row r="117" spans="1:19" ht="17.25" thickBot="1">
      <c r="A117" s="130" t="s">
        <v>267</v>
      </c>
      <c r="B117" s="131">
        <v>1285</v>
      </c>
      <c r="C117" s="79">
        <v>1.5810276700000001E-2</v>
      </c>
      <c r="D117" s="24">
        <v>1230</v>
      </c>
      <c r="E117" s="25">
        <f t="shared" si="58"/>
        <v>-4.2801556420233464E-2</v>
      </c>
      <c r="F117" s="104">
        <f>IF(ISNUMBER(D117), $B118 * E117, "")</f>
        <v>-4280.1556420233464</v>
      </c>
      <c r="G117" s="102">
        <v>1220</v>
      </c>
      <c r="H117" s="25">
        <f t="shared" si="59"/>
        <v>-5.0583657587548639E-2</v>
      </c>
      <c r="I117" s="103">
        <f>IF(ISNUMBER(G117), $B118 * H117, "")</f>
        <v>-5058.3657587548641</v>
      </c>
      <c r="J117" s="24">
        <v>1235</v>
      </c>
      <c r="K117" s="25">
        <f t="shared" si="60"/>
        <v>-3.8910505836575876E-2</v>
      </c>
      <c r="L117" s="104">
        <f>IF(ISNUMBER(J117), $B118 * K117, "")</f>
        <v>-3891.0505836575876</v>
      </c>
      <c r="M117" s="102">
        <v>1200</v>
      </c>
      <c r="N117" s="25">
        <f t="shared" si="61"/>
        <v>-6.6147859922178989E-2</v>
      </c>
      <c r="O117" s="104">
        <f>IF(ISNUMBER(M117), $B118 * N117, "")</f>
        <v>-6614.7859922178986</v>
      </c>
      <c r="Q117" s="243"/>
      <c r="R117" s="244"/>
      <c r="S117" s="245"/>
    </row>
    <row r="118" spans="1:19" ht="17.25" thickBot="1">
      <c r="A118" s="132" t="s">
        <v>295</v>
      </c>
      <c r="B118" s="304">
        <f>$B$37</f>
        <v>100000</v>
      </c>
      <c r="C118" s="305"/>
      <c r="D118" s="26" t="s">
        <v>296</v>
      </c>
      <c r="E118" s="27">
        <f>IF(COUNT(E98:E117), SUM(E98:E117) / COUNT(E98:E117), 0)</f>
        <v>-1.2922784796531833E-2</v>
      </c>
      <c r="F118" s="28">
        <f>SUM(F98:F117)</f>
        <v>-25845.569593063668</v>
      </c>
      <c r="G118" s="26" t="s">
        <v>296</v>
      </c>
      <c r="H118" s="27">
        <f>IF(COUNT(H98:H117), SUM(H98:H117) / COUNT(H98:H117), 0)</f>
        <v>-2.9395363729970814E-2</v>
      </c>
      <c r="I118" s="28">
        <f>SUM(I98:I117)</f>
        <v>-58790.727459941612</v>
      </c>
      <c r="J118" s="26" t="s">
        <v>296</v>
      </c>
      <c r="K118" s="27">
        <f>IF(COUNT(K98:K117), SUM(K98:K117) / COUNT(K98:K117), 0)</f>
        <v>-2.9613123312495687E-2</v>
      </c>
      <c r="L118" s="28">
        <f>SUM(L98:L117)</f>
        <v>-59226.246624991385</v>
      </c>
      <c r="M118" s="26" t="s">
        <v>296</v>
      </c>
      <c r="N118" s="27">
        <f>IF(COUNT(N98:N117), SUM(N98:N117) / COUNT(N98:N117), 0)</f>
        <v>-5.2863518004622967E-2</v>
      </c>
      <c r="O118" s="28">
        <f>SUM(O98:O117)</f>
        <v>-105727.03600924595</v>
      </c>
      <c r="Q118" s="246"/>
      <c r="R118" s="247"/>
      <c r="S118" s="248"/>
    </row>
    <row r="120" spans="1:19" ht="17.25" thickBot="1"/>
    <row r="121" spans="1:19" ht="17.25" thickBot="1">
      <c r="A121" s="262" t="s">
        <v>283</v>
      </c>
      <c r="B121" s="263"/>
      <c r="C121" s="263"/>
      <c r="D121" s="263"/>
      <c r="E121" s="263"/>
      <c r="F121" s="263"/>
      <c r="G121" s="263"/>
      <c r="H121" s="263"/>
      <c r="I121" s="263"/>
      <c r="J121" s="263"/>
      <c r="K121" s="263"/>
      <c r="L121" s="263"/>
      <c r="M121" s="263"/>
      <c r="N121" s="263"/>
      <c r="O121" s="264"/>
      <c r="Q121" s="261"/>
      <c r="R121" s="261"/>
      <c r="S121" s="261"/>
    </row>
    <row r="122" spans="1:19" ht="17.25" thickBot="1">
      <c r="A122" s="228" t="s">
        <v>292</v>
      </c>
      <c r="B122" s="262" t="s">
        <v>49</v>
      </c>
      <c r="C122" s="264"/>
      <c r="D122" s="262" t="s">
        <v>58</v>
      </c>
      <c r="E122" s="263"/>
      <c r="F122" s="264"/>
      <c r="G122" s="265">
        <f>_xlfn.IFNA(VLOOKUP(B122, 현재가테이블!$B$2:$D$200, 2, FALSE), "-")</f>
        <v>40538000</v>
      </c>
      <c r="H122" s="266"/>
      <c r="I122" s="267"/>
      <c r="J122" s="262" t="s">
        <v>59</v>
      </c>
      <c r="K122" s="263"/>
      <c r="L122" s="264"/>
      <c r="M122" s="268">
        <f>_xlfn.IFNA(VLOOKUP(B122, 현재가테이블!$B$2:$D$200, 3, FALSE), "-")</f>
        <v>-3.68275993E-2</v>
      </c>
      <c r="N122" s="269"/>
      <c r="O122" s="270"/>
      <c r="Q122" s="261"/>
      <c r="R122" s="261"/>
      <c r="S122" s="261"/>
    </row>
    <row r="123" spans="1:19" ht="17.25" thickBot="1">
      <c r="A123" s="306" t="s">
        <v>55</v>
      </c>
      <c r="B123" s="302" t="str">
        <f>TEXT($G$1, "[$-ko-KR]yyyy-mm-dd(ddd) ") &amp; "오전 00:00"</f>
        <v>2021-06-18(금) 오전 00:00</v>
      </c>
      <c r="C123" s="303"/>
      <c r="D123" s="275" t="str">
        <f>TEXT($G$1, "[$-ko-KR]yyyy-mm-dd(ddd) ") &amp; "오후 14:00"</f>
        <v>2021-06-18(금) 오후 14:00</v>
      </c>
      <c r="E123" s="276"/>
      <c r="F123" s="277"/>
      <c r="G123" s="275" t="str">
        <f>TEXT($G$1, "[$-ko-KR]yyyy-mm-dd(ddd) ") &amp; "오후 19:00"</f>
        <v>2021-06-18(금) 오후 19:00</v>
      </c>
      <c r="H123" s="276"/>
      <c r="I123" s="277"/>
      <c r="J123" s="275" t="str">
        <f>TEXT($G$1, "[$-ko-KR]yyyy-mm-dd(ddd) ") &amp; "오후 21:00"</f>
        <v>2021-06-18(금) 오후 21:00</v>
      </c>
      <c r="K123" s="276"/>
      <c r="L123" s="277"/>
      <c r="M123" s="275" t="str">
        <f>TEXT($G$1+1, "[$-ko-KR]yyyy-mm-dd(ddd) ") &amp; "오전 00:00"</f>
        <v>2021-06-19(토) 오전 00:00</v>
      </c>
      <c r="N123" s="276"/>
      <c r="O123" s="277"/>
      <c r="Q123" s="261"/>
      <c r="R123" s="261"/>
      <c r="S123" s="261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9" t="s">
        <v>58</v>
      </c>
      <c r="H124" s="230" t="s">
        <v>293</v>
      </c>
      <c r="I124" s="23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1"/>
      <c r="R124" s="251"/>
      <c r="S124" s="251"/>
    </row>
    <row r="125" spans="1:19" ht="17.25" thickBot="1">
      <c r="A125" s="161" t="s">
        <v>212</v>
      </c>
      <c r="B125" s="124">
        <v>9.52</v>
      </c>
      <c r="C125" s="76">
        <v>-3.1536113900000003E-2</v>
      </c>
      <c r="D125" s="13">
        <v>8.7100000000000009</v>
      </c>
      <c r="E125" s="14">
        <f>IF(ISNUMBER(D125), (D125 - $B125) / $B125, "")</f>
        <v>-8.5084033613445242E-2</v>
      </c>
      <c r="F125" s="16">
        <f>IF(ISNUMBER(D125), $B145 * E125, "")</f>
        <v>-8508.4033613445245</v>
      </c>
      <c r="G125" s="29">
        <v>8.6999999999999993</v>
      </c>
      <c r="H125" s="14">
        <f>IF(ISNUMBER(G125), (G125 - $B125) / $B125, "")</f>
        <v>-8.6134453781512632E-2</v>
      </c>
      <c r="I125" s="100">
        <f>IF(ISNUMBER(G125), $B145 * H125, "")</f>
        <v>-8613.4453781512639</v>
      </c>
      <c r="J125" s="13">
        <v>8.75</v>
      </c>
      <c r="K125" s="14">
        <f>IF(ISNUMBER(J125), (J125 - $B125) / $B125, "")</f>
        <v>-8.0882352941176433E-2</v>
      </c>
      <c r="L125" s="16">
        <f>IF(ISNUMBER(J125), $B145 * K125, "")</f>
        <v>-8088.2352941176432</v>
      </c>
      <c r="M125" s="29">
        <v>8.52</v>
      </c>
      <c r="N125" s="14">
        <f>IF(ISNUMBER(M125), (M125 - $B125) / $B125, "")</f>
        <v>-0.10504201680672269</v>
      </c>
      <c r="O125" s="16">
        <f>IF(ISNUMBER(M125), $B145 * N125, "")</f>
        <v>-10504.20168067227</v>
      </c>
      <c r="Q125" s="261"/>
      <c r="R125" s="261"/>
      <c r="S125" s="261"/>
    </row>
    <row r="126" spans="1:19" ht="17.25" thickBot="1">
      <c r="A126" s="162" t="s">
        <v>134</v>
      </c>
      <c r="B126" s="126">
        <v>77.2</v>
      </c>
      <c r="C126" s="77">
        <v>-3.3792240299999998E-2</v>
      </c>
      <c r="D126" s="15">
        <v>73.7</v>
      </c>
      <c r="E126" s="32">
        <f t="shared" ref="E126:E129" si="62">IF(ISNUMBER(D126), (D126 - $B126) / $B126, "")</f>
        <v>-4.5336787564766841E-2</v>
      </c>
      <c r="F126" s="18">
        <f>IF(ISNUMBER(D126), $B145 * E126, "")</f>
        <v>-4533.6787564766837</v>
      </c>
      <c r="G126" s="31">
        <v>72</v>
      </c>
      <c r="H126" s="32">
        <f t="shared" ref="H126:H129" si="63">IF(ISNUMBER(G126), (G126 - $B126) / $B126, "")</f>
        <v>-6.7357512953367907E-2</v>
      </c>
      <c r="I126" s="101">
        <f>IF(ISNUMBER(G126), $B145 * H126, "")</f>
        <v>-6735.7512953367905</v>
      </c>
      <c r="J126" s="15">
        <v>71.8</v>
      </c>
      <c r="K126" s="32">
        <f t="shared" ref="K126:K129" si="64">IF(ISNUMBER(J126), (J126 - $B126) / $B126, "")</f>
        <v>-6.9948186528497477E-2</v>
      </c>
      <c r="L126" s="18">
        <f>IF(ISNUMBER(J126), $B145 * K126, "")</f>
        <v>-6994.8186528497481</v>
      </c>
      <c r="M126" s="31">
        <v>70.3</v>
      </c>
      <c r="N126" s="32">
        <f t="shared" ref="N126:N129" si="65">IF(ISNUMBER(M126), (M126 - $B126) / $B126, "")</f>
        <v>-8.937823834196898E-2</v>
      </c>
      <c r="O126" s="18">
        <f>IF(ISNUMBER(M126), $B145 * N126, "")</f>
        <v>-8937.8238341968972</v>
      </c>
      <c r="Q126" s="261"/>
      <c r="R126" s="261"/>
      <c r="S126" s="261"/>
    </row>
    <row r="127" spans="1:19" ht="17.25" thickBot="1">
      <c r="A127" s="162" t="s">
        <v>210</v>
      </c>
      <c r="B127" s="126">
        <v>53.3</v>
      </c>
      <c r="C127" s="77">
        <v>-3.9639639599999998E-2</v>
      </c>
      <c r="D127" s="15">
        <v>49.7</v>
      </c>
      <c r="E127" s="32">
        <f t="shared" si="62"/>
        <v>-6.7542213883677191E-2</v>
      </c>
      <c r="F127" s="18">
        <f>IF(ISNUMBER(D127), $B145 * E127, "")</f>
        <v>-6754.2213883677186</v>
      </c>
      <c r="G127" s="31">
        <v>49.8</v>
      </c>
      <c r="H127" s="32">
        <f t="shared" si="63"/>
        <v>-6.5666041275797379E-2</v>
      </c>
      <c r="I127" s="101">
        <f>IF(ISNUMBER(G127), $B145 * H127, "")</f>
        <v>-6566.6041275797379</v>
      </c>
      <c r="J127" s="15">
        <v>50.3</v>
      </c>
      <c r="K127" s="32">
        <f t="shared" si="64"/>
        <v>-5.6285178236397754E-2</v>
      </c>
      <c r="L127" s="18">
        <f>IF(ISNUMBER(J127), $B145 * K127, "")</f>
        <v>-5628.5178236397751</v>
      </c>
      <c r="M127" s="31">
        <v>49</v>
      </c>
      <c r="N127" s="32">
        <f t="shared" si="65"/>
        <v>-8.067542213883673E-2</v>
      </c>
      <c r="O127" s="18">
        <f>IF(ISNUMBER(M127), $B145 * N127, "")</f>
        <v>-8067.542213883673</v>
      </c>
      <c r="Q127" s="251"/>
      <c r="R127" s="251"/>
      <c r="S127" s="251"/>
    </row>
    <row r="128" spans="1:19" ht="17.25" thickBot="1">
      <c r="A128" s="162" t="s">
        <v>201</v>
      </c>
      <c r="B128" s="126">
        <v>84.9</v>
      </c>
      <c r="C128" s="77">
        <v>-5.66666667E-2</v>
      </c>
      <c r="D128" s="15">
        <v>77.599999999999994</v>
      </c>
      <c r="E128" s="32">
        <f t="shared" si="62"/>
        <v>-8.5983510011778688E-2</v>
      </c>
      <c r="F128" s="18">
        <f>IF(ISNUMBER(D128), $B145 * E128, "")</f>
        <v>-8598.351001177869</v>
      </c>
      <c r="G128" s="31">
        <v>76.3</v>
      </c>
      <c r="H128" s="32">
        <f t="shared" si="63"/>
        <v>-0.10129564193168443</v>
      </c>
      <c r="I128" s="101">
        <f>IF(ISNUMBER(G128), $B145 * H128, "")</f>
        <v>-10129.564193168442</v>
      </c>
      <c r="J128" s="15">
        <v>76.900000000000006</v>
      </c>
      <c r="K128" s="32">
        <f t="shared" si="64"/>
        <v>-9.4228504122497045E-2</v>
      </c>
      <c r="L128" s="18">
        <f>IF(ISNUMBER(J128), $B145 * K128, "")</f>
        <v>-9422.8504122497052</v>
      </c>
      <c r="M128" s="31">
        <v>76.099999999999994</v>
      </c>
      <c r="N128" s="32">
        <f t="shared" si="65"/>
        <v>-0.10365135453474689</v>
      </c>
      <c r="O128" s="18">
        <f>IF(ISNUMBER(M128), $B145 * N128, "")</f>
        <v>-10365.135453474688</v>
      </c>
      <c r="Q128" s="251"/>
      <c r="R128" s="251"/>
      <c r="S128" s="251"/>
    </row>
    <row r="129" spans="1:19" ht="17.25" thickBot="1">
      <c r="A129" s="163" t="s">
        <v>236</v>
      </c>
      <c r="B129" s="128">
        <v>85.7</v>
      </c>
      <c r="C129" s="78">
        <v>-5.82417582E-2</v>
      </c>
      <c r="D129" s="20">
        <v>78.8</v>
      </c>
      <c r="E129" s="21">
        <f t="shared" si="62"/>
        <v>-8.0513418903150585E-2</v>
      </c>
      <c r="F129" s="22">
        <f>IF(ISNUMBER(D129), $B145 * E129, "")</f>
        <v>-8051.3418903150587</v>
      </c>
      <c r="G129" s="30">
        <v>76.8</v>
      </c>
      <c r="H129" s="21">
        <f t="shared" si="63"/>
        <v>-0.103850641773629</v>
      </c>
      <c r="I129" s="105">
        <f>IF(ISNUMBER(G129), $B145 * H129, "")</f>
        <v>-10385.064177362899</v>
      </c>
      <c r="J129" s="20">
        <v>77.5</v>
      </c>
      <c r="K129" s="21">
        <f t="shared" si="64"/>
        <v>-9.5682613768961519E-2</v>
      </c>
      <c r="L129" s="22">
        <f>IF(ISNUMBER(J129), $B145 * K129, "")</f>
        <v>-9568.2613768961528</v>
      </c>
      <c r="M129" s="30">
        <v>76.900000000000006</v>
      </c>
      <c r="N129" s="21">
        <f t="shared" si="65"/>
        <v>-0.10268378063010498</v>
      </c>
      <c r="O129" s="22">
        <f>IF(ISNUMBER(M129), $B145 * N129, "")</f>
        <v>-10268.378063010499</v>
      </c>
      <c r="Q129" s="251"/>
      <c r="R129" s="251"/>
      <c r="S129" s="251"/>
    </row>
    <row r="130" spans="1:19" ht="17.25" thickBot="1">
      <c r="A130" s="162" t="s">
        <v>227</v>
      </c>
      <c r="B130" s="129">
        <v>88.7</v>
      </c>
      <c r="C130" s="80">
        <v>-6.1375661400000003E-2</v>
      </c>
      <c r="D130" s="106">
        <v>83.1</v>
      </c>
      <c r="E130" s="107">
        <f>IF(ISNUMBER(D130), (D130 - $B130) / $B130, "")</f>
        <v>-6.3134160090191752E-2</v>
      </c>
      <c r="F130" s="108">
        <f>IF(ISNUMBER(D130), $B145 * E130, "")</f>
        <v>-6313.4160090191754</v>
      </c>
      <c r="G130" s="109">
        <v>82.5</v>
      </c>
      <c r="H130" s="107">
        <f>IF(ISNUMBER(G130), (G130 - $B130) / $B130, "")</f>
        <v>-6.9898534385569366E-2</v>
      </c>
      <c r="I130" s="110">
        <f>IF(ISNUMBER(G130), $B145 * H130, "")</f>
        <v>-6989.8534385569365</v>
      </c>
      <c r="J130" s="106">
        <v>83.6</v>
      </c>
      <c r="K130" s="107">
        <f>IF(ISNUMBER(J130), (J130 - $B130) / $B130, "")</f>
        <v>-5.749718151071035E-2</v>
      </c>
      <c r="L130" s="108">
        <f>IF(ISNUMBER(J130), $B145 * K130, "")</f>
        <v>-5749.7181510710352</v>
      </c>
      <c r="M130" s="109">
        <v>82.1</v>
      </c>
      <c r="N130" s="107">
        <f>IF(ISNUMBER(M130), (M130 - $B130) / $B130, "")</f>
        <v>-7.440811724915454E-2</v>
      </c>
      <c r="O130" s="108">
        <f>IF(ISNUMBER(M130), $B145 * N130, "")</f>
        <v>-7440.8117249154539</v>
      </c>
      <c r="Q130" s="251"/>
      <c r="R130" s="251"/>
      <c r="S130" s="251"/>
    </row>
    <row r="131" spans="1:19" ht="17.25" thickBot="1">
      <c r="A131" s="162" t="s">
        <v>208</v>
      </c>
      <c r="B131" s="126">
        <v>86.6</v>
      </c>
      <c r="C131" s="77">
        <v>-6.6810344800000004E-2</v>
      </c>
      <c r="D131" s="15">
        <v>80.599999999999994</v>
      </c>
      <c r="E131" s="32">
        <f t="shared" ref="E131:E134" si="66">IF(ISNUMBER(D131), (D131 - $B131) / $B131, "")</f>
        <v>-6.9284064665127029E-2</v>
      </c>
      <c r="F131" s="18">
        <f>IF(ISNUMBER(D131), $B145 * E131, "")</f>
        <v>-6928.4064665127025</v>
      </c>
      <c r="G131" s="31">
        <v>79.7</v>
      </c>
      <c r="H131" s="32">
        <f t="shared" ref="H131:H134" si="67">IF(ISNUMBER(G131), (G131 - $B131) / $B131, "")</f>
        <v>-7.9676674364895977E-2</v>
      </c>
      <c r="I131" s="101">
        <f>IF(ISNUMBER(G131), $B145 * H131, "")</f>
        <v>-7967.667436489598</v>
      </c>
      <c r="J131" s="15">
        <v>80.5</v>
      </c>
      <c r="K131" s="32">
        <f t="shared" ref="K131:K134" si="68">IF(ISNUMBER(J131), (J131 - $B131) / $B131, "")</f>
        <v>-7.0438799076212408E-2</v>
      </c>
      <c r="L131" s="18">
        <f>IF(ISNUMBER(J131), $B145 * K131, "")</f>
        <v>-7043.8799076212408</v>
      </c>
      <c r="M131" s="31">
        <v>79</v>
      </c>
      <c r="N131" s="32">
        <f t="shared" ref="N131:N134" si="69">IF(ISNUMBER(M131), (M131 - $B131) / $B131, "")</f>
        <v>-8.7759815242494169E-2</v>
      </c>
      <c r="O131" s="18">
        <f>IF(ISNUMBER(M131), $B145 * N131, "")</f>
        <v>-8775.9815242494169</v>
      </c>
      <c r="Q131" s="251"/>
      <c r="R131" s="251"/>
      <c r="S131" s="251"/>
    </row>
    <row r="132" spans="1:19" ht="17.25" thickBot="1">
      <c r="A132" s="162" t="s">
        <v>263</v>
      </c>
      <c r="B132" s="126">
        <v>24.8</v>
      </c>
      <c r="C132" s="77">
        <v>-7.1161048700000007E-2</v>
      </c>
      <c r="D132" s="15">
        <v>23.9</v>
      </c>
      <c r="E132" s="32">
        <f t="shared" si="66"/>
        <v>-3.6290322580645247E-2</v>
      </c>
      <c r="F132" s="18">
        <f>IF(ISNUMBER(D132), $B145 * E132, "")</f>
        <v>-3629.0322580645247</v>
      </c>
      <c r="G132" s="31">
        <v>21.8</v>
      </c>
      <c r="H132" s="32">
        <f t="shared" si="67"/>
        <v>-0.12096774193548386</v>
      </c>
      <c r="I132" s="101">
        <f>IF(ISNUMBER(G132), $B145 * H132, "")</f>
        <v>-12096.774193548386</v>
      </c>
      <c r="J132" s="15">
        <v>21.3</v>
      </c>
      <c r="K132" s="32">
        <f t="shared" si="68"/>
        <v>-0.1411290322580645</v>
      </c>
      <c r="L132" s="18">
        <f>IF(ISNUMBER(J132), $B145 * K132, "")</f>
        <v>-14112.903225806451</v>
      </c>
      <c r="M132" s="31">
        <v>20.8</v>
      </c>
      <c r="N132" s="32">
        <f t="shared" si="69"/>
        <v>-0.16129032258064516</v>
      </c>
      <c r="O132" s="18">
        <f>IF(ISNUMBER(M132), $B145 * N132, "")</f>
        <v>-16129.032258064515</v>
      </c>
      <c r="Q132" s="251"/>
      <c r="R132" s="251"/>
      <c r="S132" s="251"/>
    </row>
    <row r="133" spans="1:19" ht="17.25" thickBot="1">
      <c r="A133" s="162" t="s">
        <v>229</v>
      </c>
      <c r="B133" s="126">
        <v>96.2</v>
      </c>
      <c r="C133" s="77">
        <v>-8.3809523799999994E-2</v>
      </c>
      <c r="D133" s="15">
        <v>90.1</v>
      </c>
      <c r="E133" s="32">
        <f t="shared" si="66"/>
        <v>-6.3409563409563496E-2</v>
      </c>
      <c r="F133" s="18">
        <f>IF(ISNUMBER(D133), $B145 * E133, "")</f>
        <v>-6340.9563409563498</v>
      </c>
      <c r="G133" s="31">
        <v>89.8</v>
      </c>
      <c r="H133" s="32">
        <f t="shared" si="67"/>
        <v>-6.6528066528066587E-2</v>
      </c>
      <c r="I133" s="101">
        <f>IF(ISNUMBER(G133), $B145 * H133, "")</f>
        <v>-6652.8066528066583</v>
      </c>
      <c r="J133" s="15">
        <v>89.5</v>
      </c>
      <c r="K133" s="32">
        <f t="shared" si="68"/>
        <v>-6.9646569646569678E-2</v>
      </c>
      <c r="L133" s="18">
        <f>IF(ISNUMBER(J133), $B145 * K133, "")</f>
        <v>-6964.6569646569678</v>
      </c>
      <c r="M133" s="31">
        <v>87.4</v>
      </c>
      <c r="N133" s="32">
        <f t="shared" si="69"/>
        <v>-9.147609147609144E-2</v>
      </c>
      <c r="O133" s="18">
        <f>IF(ISNUMBER(M133), $B145 * N133, "")</f>
        <v>-9147.6091476091442</v>
      </c>
      <c r="Q133" s="33"/>
      <c r="R133" s="33"/>
    </row>
    <row r="134" spans="1:19" ht="17.25" thickBot="1">
      <c r="A134" s="130" t="s">
        <v>197</v>
      </c>
      <c r="B134" s="131">
        <v>13.7</v>
      </c>
      <c r="C134" s="79">
        <v>-8.6666666700000006E-2</v>
      </c>
      <c r="D134" s="24">
        <v>12.7</v>
      </c>
      <c r="E134" s="25">
        <f t="shared" si="66"/>
        <v>-7.2992700729927015E-2</v>
      </c>
      <c r="F134" s="104">
        <f>IF(ISNUMBER(D134), $B145 * E134, "")</f>
        <v>-7299.2700729927019</v>
      </c>
      <c r="G134" s="102">
        <v>12.7</v>
      </c>
      <c r="H134" s="25">
        <f t="shared" si="67"/>
        <v>-7.2992700729927015E-2</v>
      </c>
      <c r="I134" s="103">
        <f>IF(ISNUMBER(G134), $B145 * H134, "")</f>
        <v>-7299.2700729927019</v>
      </c>
      <c r="J134" s="24">
        <v>12.8</v>
      </c>
      <c r="K134" s="25">
        <f t="shared" si="68"/>
        <v>-6.5693430656934212E-2</v>
      </c>
      <c r="L134" s="104">
        <f>IF(ISNUMBER(J134), $B145 * K134, "")</f>
        <v>-6569.3430656934215</v>
      </c>
      <c r="M134" s="102">
        <v>12.4</v>
      </c>
      <c r="N134" s="25">
        <f t="shared" si="69"/>
        <v>-9.4890510948905035E-2</v>
      </c>
      <c r="O134" s="104">
        <f>IF(ISNUMBER(M134), $B145 * N134, "")</f>
        <v>-9489.051094890503</v>
      </c>
      <c r="Q134" s="252"/>
      <c r="R134" s="253"/>
      <c r="S134" s="254"/>
    </row>
    <row r="135" spans="1:19">
      <c r="A135" s="161" t="s">
        <v>234</v>
      </c>
      <c r="B135" s="124">
        <v>78.7</v>
      </c>
      <c r="C135" s="76">
        <v>-0.1005714286</v>
      </c>
      <c r="D135" s="13" t="s">
        <v>362</v>
      </c>
      <c r="E135" s="14" t="str">
        <f>IF(ISNUMBER(D135), (D135 - $B135) / $B135, "")</f>
        <v/>
      </c>
      <c r="F135" s="16" t="str">
        <f>IF(ISNUMBER(D135), $B145 * E135, "")</f>
        <v/>
      </c>
      <c r="G135" s="29" t="s">
        <v>362</v>
      </c>
      <c r="H135" s="14" t="str">
        <f>IF(ISNUMBER(G135), (G135 - $B135) / $B135, "")</f>
        <v/>
      </c>
      <c r="I135" s="100" t="str">
        <f>IF(ISNUMBER(G135), $B145 * H135, "")</f>
        <v/>
      </c>
      <c r="J135" s="13" t="s">
        <v>362</v>
      </c>
      <c r="K135" s="14" t="str">
        <f>IF(ISNUMBER(J135), (J135 - $B135) / $B135, "")</f>
        <v/>
      </c>
      <c r="L135" s="16" t="str">
        <f>IF(ISNUMBER(J135), $B145 * K135, "")</f>
        <v/>
      </c>
      <c r="M135" s="29" t="s">
        <v>362</v>
      </c>
      <c r="N135" s="14" t="str">
        <f>IF(ISNUMBER(M135), (M135 - $B135) / $B135, "")</f>
        <v/>
      </c>
      <c r="O135" s="16" t="str">
        <f>IF(ISNUMBER(M135), $B145 * N135, "")</f>
        <v/>
      </c>
      <c r="Q135" s="255"/>
      <c r="R135" s="256"/>
      <c r="S135" s="257"/>
    </row>
    <row r="136" spans="1:19" ht="17.25" thickBot="1">
      <c r="A136" s="162" t="s">
        <v>277</v>
      </c>
      <c r="B136" s="126">
        <v>48</v>
      </c>
      <c r="C136" s="77">
        <v>-0.14132379249999999</v>
      </c>
      <c r="D136" s="15">
        <v>47.3</v>
      </c>
      <c r="E136" s="32">
        <f t="shared" ref="E136:E139" si="70">IF(ISNUMBER(D136), (D136 - $B136) / $B136, "")</f>
        <v>-1.4583333333333393E-2</v>
      </c>
      <c r="F136" s="18">
        <f>IF(ISNUMBER(D136), $B145 * E136, "")</f>
        <v>-1458.3333333333392</v>
      </c>
      <c r="G136" s="31">
        <v>68.2</v>
      </c>
      <c r="H136" s="32">
        <f t="shared" ref="H136:H139" si="71">IF(ISNUMBER(G136), (G136 - $B136) / $B136, "")</f>
        <v>0.42083333333333339</v>
      </c>
      <c r="I136" s="101">
        <f>IF(ISNUMBER(G136), $B145 * H136, "")</f>
        <v>42083.333333333336</v>
      </c>
      <c r="J136" s="15">
        <v>63.1</v>
      </c>
      <c r="K136" s="32">
        <f t="shared" ref="K136:K139" si="72">IF(ISNUMBER(J136), (J136 - $B136) / $B136, "")</f>
        <v>0.31458333333333338</v>
      </c>
      <c r="L136" s="18">
        <f>IF(ISNUMBER(J136), $B145 * K136, "")</f>
        <v>31458.333333333339</v>
      </c>
      <c r="M136" s="31">
        <v>63.4</v>
      </c>
      <c r="N136" s="32">
        <f t="shared" ref="N136:N139" si="73">IF(ISNUMBER(M136), (M136 - $B136) / $B136, "")</f>
        <v>0.3208333333333333</v>
      </c>
      <c r="O136" s="18">
        <f>IF(ISNUMBER(M136), $B145 * N136, "")</f>
        <v>32083.333333333332</v>
      </c>
      <c r="Q136" s="258"/>
      <c r="R136" s="259"/>
      <c r="S136" s="260"/>
    </row>
    <row r="137" spans="1:19" ht="17.25" thickBot="1">
      <c r="A137" s="162" t="s">
        <v>233</v>
      </c>
      <c r="B137" s="126">
        <v>15.1</v>
      </c>
      <c r="C137" s="77">
        <v>-0.15642458100000001</v>
      </c>
      <c r="D137" s="15">
        <v>11.9</v>
      </c>
      <c r="E137" s="32">
        <f t="shared" si="70"/>
        <v>-0.21192052980132445</v>
      </c>
      <c r="F137" s="18">
        <f>IF(ISNUMBER(D137), $B145 * E137, "")</f>
        <v>-21192.052980132445</v>
      </c>
      <c r="G137" s="31">
        <v>11.2</v>
      </c>
      <c r="H137" s="32">
        <f t="shared" si="71"/>
        <v>-0.25827814569536428</v>
      </c>
      <c r="I137" s="101">
        <f>IF(ISNUMBER(G137), $B145 * H137, "")</f>
        <v>-25827.814569536429</v>
      </c>
      <c r="J137" s="15">
        <v>10.6</v>
      </c>
      <c r="K137" s="32">
        <f t="shared" si="72"/>
        <v>-0.29801324503311261</v>
      </c>
      <c r="L137" s="18">
        <f>IF(ISNUMBER(J137), $B145 * K137, "")</f>
        <v>-29801.324503311262</v>
      </c>
      <c r="M137" s="31">
        <v>10.6</v>
      </c>
      <c r="N137" s="32">
        <f t="shared" si="73"/>
        <v>-0.29801324503311261</v>
      </c>
      <c r="O137" s="18">
        <f>IF(ISNUMBER(M137), $B145 * N137, "")</f>
        <v>-29801.324503311262</v>
      </c>
      <c r="Q137" s="251"/>
      <c r="R137" s="251"/>
      <c r="S137" s="251"/>
    </row>
    <row r="138" spans="1:19" ht="17.25" thickBot="1">
      <c r="A138" s="162" t="s">
        <v>246</v>
      </c>
      <c r="B138" s="126">
        <v>53.1</v>
      </c>
      <c r="C138" s="77">
        <v>-0.16246056780000001</v>
      </c>
      <c r="D138" s="15">
        <v>44.8</v>
      </c>
      <c r="E138" s="32">
        <f t="shared" si="70"/>
        <v>-0.15630885122410554</v>
      </c>
      <c r="F138" s="18">
        <f>IF(ISNUMBER(D138), $B145 * E138, "")</f>
        <v>-15630.885122410555</v>
      </c>
      <c r="G138" s="31">
        <v>39.799999999999997</v>
      </c>
      <c r="H138" s="32">
        <f t="shared" si="71"/>
        <v>-0.25047080979284375</v>
      </c>
      <c r="I138" s="101">
        <f>IF(ISNUMBER(G138), $B145 * H138, "")</f>
        <v>-25047.080979284376</v>
      </c>
      <c r="J138" s="15">
        <v>37.5</v>
      </c>
      <c r="K138" s="32">
        <f t="shared" si="72"/>
        <v>-0.29378531073446329</v>
      </c>
      <c r="L138" s="18">
        <f>IF(ISNUMBER(J138), $B145 * K138, "")</f>
        <v>-29378.531073446327</v>
      </c>
      <c r="M138" s="31">
        <v>37.6</v>
      </c>
      <c r="N138" s="32">
        <f t="shared" si="73"/>
        <v>-0.29190207156308851</v>
      </c>
      <c r="O138" s="18">
        <f>IF(ISNUMBER(M138), $B145 * N138, "")</f>
        <v>-29190.20715630885</v>
      </c>
      <c r="Q138" s="261"/>
      <c r="R138" s="261"/>
      <c r="S138" s="261"/>
    </row>
    <row r="139" spans="1:19" ht="17.25" thickBot="1">
      <c r="A139" s="163" t="s">
        <v>248</v>
      </c>
      <c r="B139" s="128">
        <v>85.2</v>
      </c>
      <c r="C139" s="78">
        <v>-0.1647058824</v>
      </c>
      <c r="D139" s="20">
        <v>73.099999999999994</v>
      </c>
      <c r="E139" s="21">
        <f t="shared" si="70"/>
        <v>-0.14201877934272311</v>
      </c>
      <c r="F139" s="22">
        <f>IF(ISNUMBER(D139), $B145 * E139, "")</f>
        <v>-14201.877934272312</v>
      </c>
      <c r="G139" s="30">
        <v>65.599999999999994</v>
      </c>
      <c r="H139" s="21">
        <f t="shared" si="71"/>
        <v>-0.23004694835680761</v>
      </c>
      <c r="I139" s="105">
        <f>IF(ISNUMBER(G139), $B145 * H139, "")</f>
        <v>-23004.694835680762</v>
      </c>
      <c r="J139" s="20">
        <v>62.8</v>
      </c>
      <c r="K139" s="21">
        <f t="shared" si="72"/>
        <v>-0.2629107981220658</v>
      </c>
      <c r="L139" s="22">
        <f>IF(ISNUMBER(J139), $B145 * K139, "")</f>
        <v>-26291.079812206579</v>
      </c>
      <c r="M139" s="30">
        <v>61.8</v>
      </c>
      <c r="N139" s="21">
        <f t="shared" si="73"/>
        <v>-0.27464788732394374</v>
      </c>
      <c r="O139" s="22">
        <f>IF(ISNUMBER(M139), $B145 * N139, "")</f>
        <v>-27464.788732394372</v>
      </c>
      <c r="Q139" s="261"/>
      <c r="R139" s="261"/>
      <c r="S139" s="261"/>
    </row>
    <row r="140" spans="1:19" ht="17.25" thickBot="1">
      <c r="A140" s="162" t="s">
        <v>249</v>
      </c>
      <c r="B140" s="129">
        <v>16.399999999999999</v>
      </c>
      <c r="C140" s="80">
        <v>-0.1717171717</v>
      </c>
      <c r="D140" s="106" t="s">
        <v>362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362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362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362</v>
      </c>
      <c r="N140" s="107" t="str">
        <f>IF(ISNUMBER(M140), (M140 - $B140) / $B140, "")</f>
        <v/>
      </c>
      <c r="O140" s="108" t="str">
        <f>IF(ISNUMBER(M140), $B145 * N140, "")</f>
        <v/>
      </c>
      <c r="Q140" s="251"/>
      <c r="R140" s="251"/>
      <c r="S140" s="251"/>
    </row>
    <row r="141" spans="1:19" ht="17.25" thickBot="1">
      <c r="A141" s="162" t="s">
        <v>215</v>
      </c>
      <c r="B141" s="126">
        <v>4.55</v>
      </c>
      <c r="C141" s="77">
        <v>-0.19753086419999999</v>
      </c>
      <c r="D141" s="15" t="s">
        <v>362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362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362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362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1"/>
      <c r="R141" s="251"/>
      <c r="S141" s="251"/>
    </row>
    <row r="142" spans="1:19" ht="17.25" thickBot="1">
      <c r="A142" s="162" t="s">
        <v>171</v>
      </c>
      <c r="B142" s="126">
        <v>4.0999999999999996</v>
      </c>
      <c r="C142" s="77">
        <v>-0.19765166340000001</v>
      </c>
      <c r="D142" s="15">
        <v>3.4</v>
      </c>
      <c r="E142" s="32">
        <f t="shared" si="74"/>
        <v>-0.17073170731707313</v>
      </c>
      <c r="F142" s="18">
        <f>IF(ISNUMBER(D142), $B145 * E142, "")</f>
        <v>-17073.170731707312</v>
      </c>
      <c r="G142" s="31">
        <v>3.07</v>
      </c>
      <c r="H142" s="32">
        <f t="shared" si="75"/>
        <v>-0.25121951219512195</v>
      </c>
      <c r="I142" s="101">
        <f>IF(ISNUMBER(G142), $B145 * H142, "")</f>
        <v>-25121.951219512197</v>
      </c>
      <c r="J142" s="15">
        <v>2.95</v>
      </c>
      <c r="K142" s="32">
        <f t="shared" si="76"/>
        <v>-0.2804878048780487</v>
      </c>
      <c r="L142" s="18">
        <f>IF(ISNUMBER(J142), $B145 * K142, "")</f>
        <v>-28048.78048780487</v>
      </c>
      <c r="M142" s="31">
        <v>2.92</v>
      </c>
      <c r="N142" s="32">
        <f t="shared" si="77"/>
        <v>-0.28780487804878047</v>
      </c>
      <c r="O142" s="18">
        <f>IF(ISNUMBER(M142), $B145 * N142, "")</f>
        <v>-28780.487804878048</v>
      </c>
      <c r="Q142" s="251"/>
      <c r="R142" s="251"/>
      <c r="S142" s="251"/>
    </row>
    <row r="143" spans="1:19">
      <c r="A143" s="162" t="s">
        <v>206</v>
      </c>
      <c r="B143" s="126">
        <v>72</v>
      </c>
      <c r="C143" s="77">
        <v>-0.19821826279999999</v>
      </c>
      <c r="D143" s="15" t="s">
        <v>362</v>
      </c>
      <c r="E143" s="32" t="str">
        <f t="shared" si="74"/>
        <v/>
      </c>
      <c r="F143" s="18" t="str">
        <f>IF(ISNUMBER(D143), $B145 * E143, "")</f>
        <v/>
      </c>
      <c r="G143" s="31" t="s">
        <v>362</v>
      </c>
      <c r="H143" s="32" t="str">
        <f t="shared" si="75"/>
        <v/>
      </c>
      <c r="I143" s="101" t="str">
        <f>IF(ISNUMBER(G143), $B145 * H143, "")</f>
        <v/>
      </c>
      <c r="J143" s="15" t="s">
        <v>362</v>
      </c>
      <c r="K143" s="32" t="str">
        <f t="shared" si="76"/>
        <v/>
      </c>
      <c r="L143" s="18" t="str">
        <f>IF(ISNUMBER(J143), $B145 * K143, "")</f>
        <v/>
      </c>
      <c r="M143" s="31" t="s">
        <v>362</v>
      </c>
      <c r="N143" s="32" t="str">
        <f t="shared" si="77"/>
        <v/>
      </c>
      <c r="O143" s="18" t="str">
        <f>IF(ISNUMBER(M143), $B145 * N143, "")</f>
        <v/>
      </c>
      <c r="Q143" s="240"/>
      <c r="R143" s="241"/>
      <c r="S143" s="242"/>
    </row>
    <row r="144" spans="1:19" ht="17.25" thickBot="1">
      <c r="A144" s="130" t="s">
        <v>122</v>
      </c>
      <c r="B144" s="131">
        <v>18.899999999999999</v>
      </c>
      <c r="C144" s="79">
        <v>-0.21900826449999999</v>
      </c>
      <c r="D144" s="24">
        <v>14.6</v>
      </c>
      <c r="E144" s="25">
        <f t="shared" si="74"/>
        <v>-0.22751322751322747</v>
      </c>
      <c r="F144" s="104">
        <f>IF(ISNUMBER(D144), $B145 * E144, "")</f>
        <v>-22751.322751322747</v>
      </c>
      <c r="G144" s="102">
        <v>14.6</v>
      </c>
      <c r="H144" s="25">
        <f t="shared" si="75"/>
        <v>-0.22751322751322747</v>
      </c>
      <c r="I144" s="103">
        <f>IF(ISNUMBER(G144), $B145 * H144, "")</f>
        <v>-22751.322751322747</v>
      </c>
      <c r="J144" s="24">
        <v>13.7</v>
      </c>
      <c r="K144" s="25">
        <f t="shared" si="76"/>
        <v>-0.27513227513227512</v>
      </c>
      <c r="L144" s="104">
        <f>IF(ISNUMBER(J144), $B145 * K144, "")</f>
        <v>-27513.22751322751</v>
      </c>
      <c r="M144" s="102">
        <v>13.6</v>
      </c>
      <c r="N144" s="25">
        <f t="shared" si="77"/>
        <v>-0.28042328042328041</v>
      </c>
      <c r="O144" s="104">
        <f>IF(ISNUMBER(M144), $B145 * N144, "")</f>
        <v>-28042.328042328041</v>
      </c>
      <c r="Q144" s="243"/>
      <c r="R144" s="244"/>
      <c r="S144" s="245"/>
    </row>
    <row r="145" spans="1:19" ht="17.25" thickBot="1">
      <c r="A145" s="132" t="s">
        <v>295</v>
      </c>
      <c r="B145" s="304">
        <f>$B$37</f>
        <v>100000</v>
      </c>
      <c r="C145" s="305"/>
      <c r="D145" s="26" t="s">
        <v>296</v>
      </c>
      <c r="E145" s="27">
        <f>IF(COUNT(E125:E144), SUM(E125:E144) / COUNT(E125:E144), 0)</f>
        <v>-9.9540450249003751E-2</v>
      </c>
      <c r="F145" s="28">
        <f>SUM(F125:F144)</f>
        <v>-159264.72039840603</v>
      </c>
      <c r="G145" s="26" t="s">
        <v>296</v>
      </c>
      <c r="H145" s="27">
        <f>IF(COUNT(H125:H144), SUM(H125:H144) / COUNT(H125:H144), 0)</f>
        <v>-0.10194145749249788</v>
      </c>
      <c r="I145" s="28">
        <f>SUM(I125:I144)</f>
        <v>-163106.33198799659</v>
      </c>
      <c r="J145" s="26" t="s">
        <v>296</v>
      </c>
      <c r="K145" s="27">
        <f>IF(COUNT(K125:K144), SUM(K125:K144) / COUNT(K125:K144), 0)</f>
        <v>-0.11857362183204083</v>
      </c>
      <c r="L145" s="28">
        <f>SUM(L125:L144)</f>
        <v>-189717.79493126535</v>
      </c>
      <c r="M145" s="26" t="s">
        <v>296</v>
      </c>
      <c r="N145" s="27">
        <f>IF(COUNT(N125:N144), SUM(N125:N144) / COUNT(N125:N144), 0)</f>
        <v>-0.13145085618803393</v>
      </c>
      <c r="O145" s="28">
        <f>SUM(O125:O144)</f>
        <v>-210321.36990085428</v>
      </c>
      <c r="Q145" s="246"/>
      <c r="R145" s="247"/>
      <c r="S145" s="248"/>
    </row>
    <row r="147" spans="1:19" ht="17.25" thickBot="1"/>
    <row r="148" spans="1:19" ht="17.25" thickBot="1">
      <c r="A148" s="262" t="s">
        <v>284</v>
      </c>
      <c r="B148" s="263"/>
      <c r="C148" s="263"/>
      <c r="D148" s="263"/>
      <c r="E148" s="263"/>
      <c r="F148" s="263"/>
      <c r="G148" s="263"/>
      <c r="H148" s="263"/>
      <c r="I148" s="263"/>
      <c r="J148" s="263"/>
      <c r="K148" s="263"/>
      <c r="L148" s="263"/>
      <c r="M148" s="263"/>
      <c r="N148" s="263"/>
      <c r="O148" s="264"/>
      <c r="Q148" s="261"/>
      <c r="R148" s="261"/>
      <c r="S148" s="261"/>
    </row>
    <row r="149" spans="1:19" ht="17.25" thickBot="1">
      <c r="A149" s="228" t="s">
        <v>292</v>
      </c>
      <c r="B149" s="262" t="s">
        <v>49</v>
      </c>
      <c r="C149" s="264"/>
      <c r="D149" s="262" t="s">
        <v>58</v>
      </c>
      <c r="E149" s="263"/>
      <c r="F149" s="264"/>
      <c r="G149" s="265">
        <f>_xlfn.IFNA(VLOOKUP(B149, 현재가테이블!$B$2:$D$200, 2, FALSE), "-")</f>
        <v>40538000</v>
      </c>
      <c r="H149" s="266"/>
      <c r="I149" s="267"/>
      <c r="J149" s="262" t="s">
        <v>59</v>
      </c>
      <c r="K149" s="263"/>
      <c r="L149" s="264"/>
      <c r="M149" s="268">
        <f>_xlfn.IFNA(VLOOKUP(B149, 현재가테이블!$B$2:$D$200, 3, FALSE), "-")</f>
        <v>-3.68275993E-2</v>
      </c>
      <c r="N149" s="269"/>
      <c r="O149" s="270"/>
      <c r="Q149" s="261"/>
      <c r="R149" s="261"/>
      <c r="S149" s="261"/>
    </row>
    <row r="150" spans="1:19" ht="17.25" thickBot="1">
      <c r="A150" s="306" t="s">
        <v>55</v>
      </c>
      <c r="B150" s="302" t="str">
        <f>TEXT($G$1, "[$-ko-KR]yyyy-mm-dd(ddd) ") &amp; "오전 00:00"</f>
        <v>2021-06-18(금) 오전 00:00</v>
      </c>
      <c r="C150" s="303"/>
      <c r="D150" s="275" t="str">
        <f>TEXT($G$1, "[$-ko-KR]yyyy-mm-dd(ddd) ") &amp; "오후 14:00"</f>
        <v>2021-06-18(금) 오후 14:00</v>
      </c>
      <c r="E150" s="276"/>
      <c r="F150" s="277"/>
      <c r="G150" s="275" t="str">
        <f>TEXT($G$1, "[$-ko-KR]yyyy-mm-dd(ddd) ") &amp; "오후 19:00"</f>
        <v>2021-06-18(금) 오후 19:00</v>
      </c>
      <c r="H150" s="276"/>
      <c r="I150" s="277"/>
      <c r="J150" s="275" t="str">
        <f>TEXT($G$1, "[$-ko-KR]yyyy-mm-dd(ddd) ") &amp; "오후 21:00"</f>
        <v>2021-06-18(금) 오후 21:00</v>
      </c>
      <c r="K150" s="276"/>
      <c r="L150" s="277"/>
      <c r="M150" s="275" t="str">
        <f>TEXT($G$1+1, "[$-ko-KR]yyyy-mm-dd(ddd) ") &amp; "오전 00:00"</f>
        <v>2021-06-19(토) 오전 00:00</v>
      </c>
      <c r="N150" s="276"/>
      <c r="O150" s="277"/>
      <c r="Q150" s="261"/>
      <c r="R150" s="261"/>
      <c r="S150" s="261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9" t="s">
        <v>58</v>
      </c>
      <c r="H151" s="230" t="s">
        <v>293</v>
      </c>
      <c r="I151" s="23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1"/>
      <c r="R151" s="251"/>
      <c r="S151" s="251"/>
    </row>
    <row r="152" spans="1:19" ht="17.25" thickBot="1">
      <c r="A152" s="161" t="s">
        <v>275</v>
      </c>
      <c r="B152" s="124">
        <v>811</v>
      </c>
      <c r="C152" s="76">
        <v>-6.1274509999999999E-3</v>
      </c>
      <c r="D152" s="13">
        <v>755</v>
      </c>
      <c r="E152" s="14">
        <f>IF(ISNUMBER(D152), (D152 - $B152) / $B152, "")</f>
        <v>-6.9050554870530204E-2</v>
      </c>
      <c r="F152" s="16">
        <f>IF(ISNUMBER(D152), $B172 * E152, "")</f>
        <v>-6905.0554870530204</v>
      </c>
      <c r="G152" s="29">
        <v>748</v>
      </c>
      <c r="H152" s="14">
        <f>IF(ISNUMBER(G152), (G152 - $B152) / $B152, "")</f>
        <v>-7.7681874229346484E-2</v>
      </c>
      <c r="I152" s="100">
        <f>IF(ISNUMBER(G152), $B172 * H152, "")</f>
        <v>-7768.1874229346486</v>
      </c>
      <c r="J152" s="13">
        <v>750</v>
      </c>
      <c r="K152" s="14">
        <f>IF(ISNUMBER(J152), (J152 - $B152) / $B152, "")</f>
        <v>-7.52157829839704E-2</v>
      </c>
      <c r="L152" s="16">
        <f>IF(ISNUMBER(J152), $B172 * K152, "")</f>
        <v>-7521.5782983970403</v>
      </c>
      <c r="M152" s="29">
        <v>736</v>
      </c>
      <c r="N152" s="14">
        <f>IF(ISNUMBER(M152), (M152 - $B152) / $B152, "")</f>
        <v>-9.2478421701602961E-2</v>
      </c>
      <c r="O152" s="16">
        <f>IF(ISNUMBER(M152), $B172 * N152, "")</f>
        <v>-9247.8421701602965</v>
      </c>
      <c r="Q152" s="261"/>
      <c r="R152" s="261"/>
      <c r="S152" s="261"/>
    </row>
    <row r="153" spans="1:19" ht="17.25" thickBot="1">
      <c r="A153" s="162" t="s">
        <v>214</v>
      </c>
      <c r="B153" s="126">
        <v>239</v>
      </c>
      <c r="C153" s="77">
        <v>-8.2987552000000006E-3</v>
      </c>
      <c r="D153" s="15">
        <v>240</v>
      </c>
      <c r="E153" s="32">
        <f t="shared" ref="E153:E156" si="78">IF(ISNUMBER(D153), (D153 - $B153) / $B153, "")</f>
        <v>4.1841004184100415E-3</v>
      </c>
      <c r="F153" s="18">
        <f>IF(ISNUMBER(D153), $B172 * E153, "")</f>
        <v>418.41004184100416</v>
      </c>
      <c r="G153" s="31">
        <v>233</v>
      </c>
      <c r="H153" s="32">
        <f t="shared" ref="H153:H156" si="79">IF(ISNUMBER(G153), (G153 - $B153) / $B153, "")</f>
        <v>-2.5104602510460251E-2</v>
      </c>
      <c r="I153" s="101">
        <f>IF(ISNUMBER(G153), $B172 * H153, "")</f>
        <v>-2510.460251046025</v>
      </c>
      <c r="J153" s="15">
        <v>237</v>
      </c>
      <c r="K153" s="32">
        <f t="shared" ref="K153:K156" si="80">IF(ISNUMBER(J153), (J153 - $B153) / $B153, "")</f>
        <v>-8.368200836820083E-3</v>
      </c>
      <c r="L153" s="18">
        <f>IF(ISNUMBER(J153), $B172 * K153, "")</f>
        <v>-836.82008368200832</v>
      </c>
      <c r="M153" s="31">
        <v>235</v>
      </c>
      <c r="N153" s="32">
        <f t="shared" ref="N153:N156" si="81">IF(ISNUMBER(M153), (M153 - $B153) / $B153, "")</f>
        <v>-1.6736401673640166E-2</v>
      </c>
      <c r="O153" s="18">
        <f>IF(ISNUMBER(M153), $B172 * N153, "")</f>
        <v>-1673.6401673640166</v>
      </c>
      <c r="Q153" s="261"/>
      <c r="R153" s="261"/>
      <c r="S153" s="261"/>
    </row>
    <row r="154" spans="1:19" ht="17.25" thickBot="1">
      <c r="A154" s="162" t="s">
        <v>169</v>
      </c>
      <c r="B154" s="126">
        <v>244</v>
      </c>
      <c r="C154" s="77">
        <v>-1.2145749000000001E-2</v>
      </c>
      <c r="D154" s="15">
        <v>236</v>
      </c>
      <c r="E154" s="32">
        <f t="shared" si="78"/>
        <v>-3.2786885245901641E-2</v>
      </c>
      <c r="F154" s="18">
        <f>IF(ISNUMBER(D154), $B172 * E154, "")</f>
        <v>-3278.688524590164</v>
      </c>
      <c r="G154" s="31">
        <v>232</v>
      </c>
      <c r="H154" s="32">
        <f t="shared" si="79"/>
        <v>-4.9180327868852458E-2</v>
      </c>
      <c r="I154" s="101">
        <f>IF(ISNUMBER(G154), $B172 * H154, "")</f>
        <v>-4918.0327868852455</v>
      </c>
      <c r="J154" s="15">
        <v>234</v>
      </c>
      <c r="K154" s="32">
        <f t="shared" si="80"/>
        <v>-4.0983606557377046E-2</v>
      </c>
      <c r="L154" s="18">
        <f>IF(ISNUMBER(J154), $B172 * K154, "")</f>
        <v>-4098.3606557377043</v>
      </c>
      <c r="M154" s="31">
        <v>232</v>
      </c>
      <c r="N154" s="32">
        <f t="shared" si="81"/>
        <v>-4.9180327868852458E-2</v>
      </c>
      <c r="O154" s="18">
        <f>IF(ISNUMBER(M154), $B172 * N154, "")</f>
        <v>-4918.0327868852455</v>
      </c>
      <c r="Q154" s="251"/>
      <c r="R154" s="251"/>
      <c r="S154" s="251"/>
    </row>
    <row r="155" spans="1:19" ht="17.25" thickBot="1">
      <c r="A155" s="162" t="s">
        <v>191</v>
      </c>
      <c r="B155" s="126">
        <v>951</v>
      </c>
      <c r="C155" s="77">
        <v>-1.2461059199999999E-2</v>
      </c>
      <c r="D155" s="15">
        <v>913</v>
      </c>
      <c r="E155" s="32">
        <f t="shared" si="78"/>
        <v>-3.9957939011566773E-2</v>
      </c>
      <c r="F155" s="18">
        <f>IF(ISNUMBER(D155), $B172 * E155, "")</f>
        <v>-3995.7939011566773</v>
      </c>
      <c r="G155" s="31">
        <v>899</v>
      </c>
      <c r="H155" s="32">
        <f t="shared" si="79"/>
        <v>-5.4679284963196635E-2</v>
      </c>
      <c r="I155" s="101">
        <f>IF(ISNUMBER(G155), $B172 * H155, "")</f>
        <v>-5467.9284963196633</v>
      </c>
      <c r="J155" s="15">
        <v>904</v>
      </c>
      <c r="K155" s="32">
        <f t="shared" si="80"/>
        <v>-4.9421661409043111E-2</v>
      </c>
      <c r="L155" s="18">
        <f>IF(ISNUMBER(J155), $B172 * K155, "")</f>
        <v>-4942.1661409043109</v>
      </c>
      <c r="M155" s="31">
        <v>891</v>
      </c>
      <c r="N155" s="32">
        <f t="shared" si="81"/>
        <v>-6.3091482649842268E-2</v>
      </c>
      <c r="O155" s="18">
        <f>IF(ISNUMBER(M155), $B172 * N155, "")</f>
        <v>-6309.1482649842264</v>
      </c>
      <c r="Q155" s="251"/>
      <c r="R155" s="251"/>
      <c r="S155" s="251"/>
    </row>
    <row r="156" spans="1:19" ht="17.25" thickBot="1">
      <c r="A156" s="163" t="s">
        <v>88</v>
      </c>
      <c r="B156" s="128">
        <v>395</v>
      </c>
      <c r="C156" s="78">
        <v>-1.2500000000000001E-2</v>
      </c>
      <c r="D156" s="20">
        <v>369</v>
      </c>
      <c r="E156" s="21">
        <f t="shared" si="78"/>
        <v>-6.5822784810126586E-2</v>
      </c>
      <c r="F156" s="22">
        <f>IF(ISNUMBER(D156), $B172 * E156, "")</f>
        <v>-6582.2784810126586</v>
      </c>
      <c r="G156" s="30">
        <v>364</v>
      </c>
      <c r="H156" s="21">
        <f t="shared" si="79"/>
        <v>-7.848101265822785E-2</v>
      </c>
      <c r="I156" s="105">
        <f>IF(ISNUMBER(G156), $B172 * H156, "")</f>
        <v>-7848.1012658227846</v>
      </c>
      <c r="J156" s="20">
        <v>360</v>
      </c>
      <c r="K156" s="21">
        <f t="shared" si="80"/>
        <v>-8.8607594936708861E-2</v>
      </c>
      <c r="L156" s="22">
        <f>IF(ISNUMBER(J156), $B172 * K156, "")</f>
        <v>-8860.7594936708865</v>
      </c>
      <c r="M156" s="30">
        <v>346</v>
      </c>
      <c r="N156" s="21">
        <f t="shared" si="81"/>
        <v>-0.1240506329113924</v>
      </c>
      <c r="O156" s="22">
        <f>IF(ISNUMBER(M156), $B172 * N156, "")</f>
        <v>-12405.06329113924</v>
      </c>
      <c r="Q156" s="251"/>
      <c r="R156" s="251"/>
      <c r="S156" s="251"/>
    </row>
    <row r="157" spans="1:19" ht="17.25" thickBot="1">
      <c r="A157" s="162" t="s">
        <v>251</v>
      </c>
      <c r="B157" s="129">
        <v>144</v>
      </c>
      <c r="C157" s="80">
        <v>-1.3698630099999999E-2</v>
      </c>
      <c r="D157" s="106">
        <v>136</v>
      </c>
      <c r="E157" s="107">
        <f>IF(ISNUMBER(D157), (D157 - $B157) / $B157, "")</f>
        <v>-5.5555555555555552E-2</v>
      </c>
      <c r="F157" s="108">
        <f>IF(ISNUMBER(D157), $B172 * E157, "")</f>
        <v>-5555.5555555555557</v>
      </c>
      <c r="G157" s="109">
        <v>135</v>
      </c>
      <c r="H157" s="107">
        <f>IF(ISNUMBER(G157), (G157 - $B157) / $B157, "")</f>
        <v>-6.25E-2</v>
      </c>
      <c r="I157" s="110">
        <f>IF(ISNUMBER(G157), $B172 * H157, "")</f>
        <v>-6250</v>
      </c>
      <c r="J157" s="106">
        <v>134</v>
      </c>
      <c r="K157" s="107">
        <f>IF(ISNUMBER(J157), (J157 - $B157) / $B157, "")</f>
        <v>-6.9444444444444448E-2</v>
      </c>
      <c r="L157" s="108">
        <f>IF(ISNUMBER(J157), $B172 * K157, "")</f>
        <v>-6944.4444444444443</v>
      </c>
      <c r="M157" s="109">
        <v>133</v>
      </c>
      <c r="N157" s="107">
        <f>IF(ISNUMBER(M157), (M157 - $B157) / $B157, "")</f>
        <v>-7.6388888888888895E-2</v>
      </c>
      <c r="O157" s="108">
        <f>IF(ISNUMBER(M157), $B172 * N157, "")</f>
        <v>-7638.8888888888896</v>
      </c>
      <c r="Q157" s="251"/>
      <c r="R157" s="251"/>
      <c r="S157" s="251"/>
    </row>
    <row r="158" spans="1:19" ht="17.25" thickBot="1">
      <c r="A158" s="162" t="s">
        <v>61</v>
      </c>
      <c r="B158" s="126">
        <v>825</v>
      </c>
      <c r="C158" s="77">
        <v>-1.55131265E-2</v>
      </c>
      <c r="D158" s="15">
        <v>798</v>
      </c>
      <c r="E158" s="32">
        <f t="shared" ref="E158:E161" si="82">IF(ISNUMBER(D158), (D158 - $B158) / $B158, "")</f>
        <v>-3.272727272727273E-2</v>
      </c>
      <c r="F158" s="18">
        <f>IF(ISNUMBER(D158), $B172 * E158, "")</f>
        <v>-3272.727272727273</v>
      </c>
      <c r="G158" s="31">
        <v>787</v>
      </c>
      <c r="H158" s="32">
        <f t="shared" ref="H158:H161" si="83">IF(ISNUMBER(G158), (G158 - $B158) / $B158, "")</f>
        <v>-4.6060606060606059E-2</v>
      </c>
      <c r="I158" s="101">
        <f>IF(ISNUMBER(G158), $B172 * H158, "")</f>
        <v>-4606.060606060606</v>
      </c>
      <c r="J158" s="15">
        <v>782</v>
      </c>
      <c r="K158" s="32">
        <f t="shared" ref="K158:K161" si="84">IF(ISNUMBER(J158), (J158 - $B158) / $B158, "")</f>
        <v>-5.2121212121212124E-2</v>
      </c>
      <c r="L158" s="18">
        <f>IF(ISNUMBER(J158), $B172 * K158, "")</f>
        <v>-5212.121212121212</v>
      </c>
      <c r="M158" s="31">
        <v>763</v>
      </c>
      <c r="N158" s="32">
        <f t="shared" ref="N158:N161" si="85">IF(ISNUMBER(M158), (M158 - $B158) / $B158, "")</f>
        <v>-7.515151515151515E-2</v>
      </c>
      <c r="O158" s="18">
        <f>IF(ISNUMBER(M158), $B172 * N158, "")</f>
        <v>-7515.151515151515</v>
      </c>
      <c r="Q158" s="251"/>
      <c r="R158" s="251"/>
      <c r="S158" s="251"/>
    </row>
    <row r="159" spans="1:19" ht="17.25" thickBot="1">
      <c r="A159" s="162" t="s">
        <v>181</v>
      </c>
      <c r="B159" s="126">
        <v>227</v>
      </c>
      <c r="C159" s="77">
        <v>-1.73160173E-2</v>
      </c>
      <c r="D159" s="15">
        <v>214</v>
      </c>
      <c r="E159" s="32">
        <f t="shared" si="82"/>
        <v>-5.7268722466960353E-2</v>
      </c>
      <c r="F159" s="18">
        <f>IF(ISNUMBER(D159), $B172 * E159, "")</f>
        <v>-5726.8722466960353</v>
      </c>
      <c r="G159" s="31">
        <v>212</v>
      </c>
      <c r="H159" s="32">
        <f t="shared" si="83"/>
        <v>-6.6079295154185022E-2</v>
      </c>
      <c r="I159" s="101">
        <f>IF(ISNUMBER(G159), $B172 * H159, "")</f>
        <v>-6607.929515418502</v>
      </c>
      <c r="J159" s="15">
        <v>212</v>
      </c>
      <c r="K159" s="32">
        <f t="shared" si="84"/>
        <v>-6.6079295154185022E-2</v>
      </c>
      <c r="L159" s="18">
        <f>IF(ISNUMBER(J159), $B172 * K159, "")</f>
        <v>-6607.929515418502</v>
      </c>
      <c r="M159" s="31">
        <v>208</v>
      </c>
      <c r="N159" s="32">
        <f t="shared" si="85"/>
        <v>-8.3700440528634359E-2</v>
      </c>
      <c r="O159" s="18">
        <f>IF(ISNUMBER(M159), $B172 * N159, "")</f>
        <v>-8370.0440528634354</v>
      </c>
      <c r="Q159" s="251"/>
      <c r="R159" s="251"/>
      <c r="S159" s="251"/>
    </row>
    <row r="160" spans="1:19" ht="17.25" thickBot="1">
      <c r="A160" s="162" t="s">
        <v>242</v>
      </c>
      <c r="B160" s="126">
        <v>250</v>
      </c>
      <c r="C160" s="77">
        <v>-1.9607843100000001E-2</v>
      </c>
      <c r="D160" s="15">
        <v>233</v>
      </c>
      <c r="E160" s="32">
        <f t="shared" si="82"/>
        <v>-6.8000000000000005E-2</v>
      </c>
      <c r="F160" s="18">
        <f>IF(ISNUMBER(D160), $B172 * E160, "")</f>
        <v>-6800.0000000000009</v>
      </c>
      <c r="G160" s="31">
        <v>230</v>
      </c>
      <c r="H160" s="32">
        <f t="shared" si="83"/>
        <v>-0.08</v>
      </c>
      <c r="I160" s="101">
        <f>IF(ISNUMBER(G160), $B172 * H160, "")</f>
        <v>-8000</v>
      </c>
      <c r="J160" s="15">
        <v>231</v>
      </c>
      <c r="K160" s="32">
        <f t="shared" si="84"/>
        <v>-7.5999999999999998E-2</v>
      </c>
      <c r="L160" s="18">
        <f>IF(ISNUMBER(J160), $B172 * K160, "")</f>
        <v>-7600</v>
      </c>
      <c r="M160" s="31">
        <v>230</v>
      </c>
      <c r="N160" s="32">
        <f t="shared" si="85"/>
        <v>-0.08</v>
      </c>
      <c r="O160" s="18">
        <f>IF(ISNUMBER(M160), $B172 * N160, "")</f>
        <v>-8000</v>
      </c>
      <c r="Q160" s="33"/>
      <c r="R160" s="33"/>
    </row>
    <row r="161" spans="1:19" ht="17.25" thickBot="1">
      <c r="A161" s="130" t="s">
        <v>279</v>
      </c>
      <c r="B161" s="131">
        <v>193</v>
      </c>
      <c r="C161" s="79">
        <v>-2.0304568499999998E-2</v>
      </c>
      <c r="D161" s="24">
        <v>187</v>
      </c>
      <c r="E161" s="25">
        <f t="shared" si="82"/>
        <v>-3.1088082901554404E-2</v>
      </c>
      <c r="F161" s="104">
        <f>IF(ISNUMBER(D161), $B172 * E161, "")</f>
        <v>-3108.8082901554403</v>
      </c>
      <c r="G161" s="102">
        <v>187</v>
      </c>
      <c r="H161" s="25">
        <f t="shared" si="83"/>
        <v>-3.1088082901554404E-2</v>
      </c>
      <c r="I161" s="103">
        <f>IF(ISNUMBER(G161), $B172 * H161, "")</f>
        <v>-3108.8082901554403</v>
      </c>
      <c r="J161" s="24">
        <v>188</v>
      </c>
      <c r="K161" s="25">
        <f t="shared" si="84"/>
        <v>-2.5906735751295335E-2</v>
      </c>
      <c r="L161" s="104">
        <f>IF(ISNUMBER(J161), $B172 * K161, "")</f>
        <v>-2590.6735751295337</v>
      </c>
      <c r="M161" s="102">
        <v>185</v>
      </c>
      <c r="N161" s="25">
        <f t="shared" si="85"/>
        <v>-4.145077720207254E-2</v>
      </c>
      <c r="O161" s="104">
        <f>IF(ISNUMBER(M161), $B172 * N161, "")</f>
        <v>-4145.0777202072541</v>
      </c>
      <c r="Q161" s="252"/>
      <c r="R161" s="253"/>
      <c r="S161" s="254"/>
    </row>
    <row r="162" spans="1:19">
      <c r="A162" s="161" t="s">
        <v>54</v>
      </c>
      <c r="B162" s="124">
        <v>238</v>
      </c>
      <c r="C162" s="76">
        <v>-2.05761317E-2</v>
      </c>
      <c r="D162" s="13">
        <v>268</v>
      </c>
      <c r="E162" s="14">
        <f>IF(ISNUMBER(D162), (D162 - $B162) / $B162, "")</f>
        <v>0.12605042016806722</v>
      </c>
      <c r="F162" s="16">
        <f>IF(ISNUMBER(D162), $B172 * E162, "")</f>
        <v>12605.042016806723</v>
      </c>
      <c r="G162" s="29">
        <v>252</v>
      </c>
      <c r="H162" s="14">
        <f>IF(ISNUMBER(G162), (G162 - $B162) / $B162, "")</f>
        <v>5.8823529411764705E-2</v>
      </c>
      <c r="I162" s="100">
        <f>IF(ISNUMBER(G162), $B172 * H162, "")</f>
        <v>5882.3529411764703</v>
      </c>
      <c r="J162" s="13">
        <v>253</v>
      </c>
      <c r="K162" s="14">
        <f>IF(ISNUMBER(J162), (J162 - $B162) / $B162, "")</f>
        <v>6.3025210084033612E-2</v>
      </c>
      <c r="L162" s="16">
        <f>IF(ISNUMBER(J162), $B172 * K162, "")</f>
        <v>6302.5210084033615</v>
      </c>
      <c r="M162" s="29">
        <v>241</v>
      </c>
      <c r="N162" s="14">
        <f>IF(ISNUMBER(M162), (M162 - $B162) / $B162, "")</f>
        <v>1.2605042016806723E-2</v>
      </c>
      <c r="O162" s="16">
        <f>IF(ISNUMBER(M162), $B172 * N162, "")</f>
        <v>1260.5042016806724</v>
      </c>
      <c r="Q162" s="255"/>
      <c r="R162" s="256"/>
      <c r="S162" s="257"/>
    </row>
    <row r="163" spans="1:19" ht="17.25" thickBot="1">
      <c r="A163" s="162" t="s">
        <v>253</v>
      </c>
      <c r="B163" s="126">
        <v>398</v>
      </c>
      <c r="C163" s="77">
        <v>-2.4509803899999998E-2</v>
      </c>
      <c r="D163" s="15">
        <v>384</v>
      </c>
      <c r="E163" s="32">
        <f t="shared" ref="E163:E166" si="86">IF(ISNUMBER(D163), (D163 - $B163) / $B163, "")</f>
        <v>-3.5175879396984924E-2</v>
      </c>
      <c r="F163" s="18">
        <f>IF(ISNUMBER(D163), $B172 * E163, "")</f>
        <v>-3517.5879396984924</v>
      </c>
      <c r="G163" s="31">
        <v>380</v>
      </c>
      <c r="H163" s="32">
        <f t="shared" ref="H163:H166" si="87">IF(ISNUMBER(G163), (G163 - $B163) / $B163, "")</f>
        <v>-4.5226130653266333E-2</v>
      </c>
      <c r="I163" s="101">
        <f>IF(ISNUMBER(G163), $B172 * H163, "")</f>
        <v>-4522.6130653266337</v>
      </c>
      <c r="J163" s="15">
        <v>380</v>
      </c>
      <c r="K163" s="32">
        <f t="shared" ref="K163:K166" si="88">IF(ISNUMBER(J163), (J163 - $B163) / $B163, "")</f>
        <v>-4.5226130653266333E-2</v>
      </c>
      <c r="L163" s="18">
        <f>IF(ISNUMBER(J163), $B172 * K163, "")</f>
        <v>-4522.6130653266337</v>
      </c>
      <c r="M163" s="31">
        <v>374</v>
      </c>
      <c r="N163" s="32">
        <f t="shared" ref="N163:N166" si="89">IF(ISNUMBER(M163), (M163 - $B163) / $B163, "")</f>
        <v>-6.030150753768844E-2</v>
      </c>
      <c r="O163" s="18">
        <f>IF(ISNUMBER(M163), $B172 * N163, "")</f>
        <v>-6030.150753768844</v>
      </c>
      <c r="Q163" s="258"/>
      <c r="R163" s="259"/>
      <c r="S163" s="260"/>
    </row>
    <row r="164" spans="1:19" ht="17.25" thickBot="1">
      <c r="A164" s="162" t="s">
        <v>257</v>
      </c>
      <c r="B164" s="126">
        <v>474</v>
      </c>
      <c r="C164" s="77">
        <v>-2.6694045199999999E-2</v>
      </c>
      <c r="D164" s="15">
        <v>455</v>
      </c>
      <c r="E164" s="32">
        <f t="shared" si="86"/>
        <v>-4.0084388185654012E-2</v>
      </c>
      <c r="F164" s="18">
        <f>IF(ISNUMBER(D164), $B172 * E164, "")</f>
        <v>-4008.4388185654011</v>
      </c>
      <c r="G164" s="31">
        <v>451</v>
      </c>
      <c r="H164" s="32">
        <f t="shared" si="87"/>
        <v>-4.852320675105485E-2</v>
      </c>
      <c r="I164" s="101">
        <f>IF(ISNUMBER(G164), $B172 * H164, "")</f>
        <v>-4852.320675105485</v>
      </c>
      <c r="J164" s="15">
        <v>448</v>
      </c>
      <c r="K164" s="32">
        <f t="shared" si="88"/>
        <v>-5.4852320675105488E-2</v>
      </c>
      <c r="L164" s="18">
        <f>IF(ISNUMBER(J164), $B172 * K164, "")</f>
        <v>-5485.2320675105484</v>
      </c>
      <c r="M164" s="31">
        <v>435</v>
      </c>
      <c r="N164" s="32">
        <f t="shared" si="89"/>
        <v>-8.2278481012658222E-2</v>
      </c>
      <c r="O164" s="18">
        <f>IF(ISNUMBER(M164), $B172 * N164, "")</f>
        <v>-8227.8481012658231</v>
      </c>
      <c r="Q164" s="251"/>
      <c r="R164" s="251"/>
      <c r="S164" s="251"/>
    </row>
    <row r="165" spans="1:19" ht="17.25" thickBot="1">
      <c r="A165" s="162" t="s">
        <v>223</v>
      </c>
      <c r="B165" s="126">
        <v>210</v>
      </c>
      <c r="C165" s="77">
        <v>-2.77777778E-2</v>
      </c>
      <c r="D165" s="15">
        <v>197</v>
      </c>
      <c r="E165" s="32">
        <f t="shared" si="86"/>
        <v>-6.1904761904761907E-2</v>
      </c>
      <c r="F165" s="18">
        <f>IF(ISNUMBER(D165), $B172 * E165, "")</f>
        <v>-6190.4761904761908</v>
      </c>
      <c r="G165" s="31">
        <v>191</v>
      </c>
      <c r="H165" s="32">
        <f t="shared" si="87"/>
        <v>-9.0476190476190474E-2</v>
      </c>
      <c r="I165" s="101">
        <f>IF(ISNUMBER(G165), $B172 * H165, "")</f>
        <v>-9047.6190476190477</v>
      </c>
      <c r="J165" s="15">
        <v>195</v>
      </c>
      <c r="K165" s="32">
        <f t="shared" si="88"/>
        <v>-7.1428571428571425E-2</v>
      </c>
      <c r="L165" s="18">
        <f>IF(ISNUMBER(J165), $B172 * K165, "")</f>
        <v>-7142.8571428571422</v>
      </c>
      <c r="M165" s="31">
        <v>189</v>
      </c>
      <c r="N165" s="32">
        <f t="shared" si="89"/>
        <v>-0.1</v>
      </c>
      <c r="O165" s="18">
        <f>IF(ISNUMBER(M165), $B172 * N165, "")</f>
        <v>-10000</v>
      </c>
      <c r="Q165" s="261"/>
      <c r="R165" s="261"/>
      <c r="S165" s="261"/>
    </row>
    <row r="166" spans="1:19" ht="17.25" thickBot="1">
      <c r="A166" s="163" t="s">
        <v>265</v>
      </c>
      <c r="B166" s="128">
        <v>329</v>
      </c>
      <c r="C166" s="78">
        <v>-3.8011695900000003E-2</v>
      </c>
      <c r="D166" s="20">
        <v>318</v>
      </c>
      <c r="E166" s="21">
        <f t="shared" si="86"/>
        <v>-3.3434650455927049E-2</v>
      </c>
      <c r="F166" s="22">
        <f>IF(ISNUMBER(D166), $B172 * E166, "")</f>
        <v>-3343.4650455927049</v>
      </c>
      <c r="G166" s="30">
        <v>313</v>
      </c>
      <c r="H166" s="21">
        <f t="shared" si="87"/>
        <v>-4.8632218844984802E-2</v>
      </c>
      <c r="I166" s="105">
        <f>IF(ISNUMBER(G166), $B172 * H166, "")</f>
        <v>-4863.22188449848</v>
      </c>
      <c r="J166" s="20">
        <v>307</v>
      </c>
      <c r="K166" s="21">
        <f t="shared" si="88"/>
        <v>-6.6869300911854099E-2</v>
      </c>
      <c r="L166" s="22">
        <f>IF(ISNUMBER(J166), $B172 * K166, "")</f>
        <v>-6686.9300911854098</v>
      </c>
      <c r="M166" s="30">
        <v>308</v>
      </c>
      <c r="N166" s="21">
        <f t="shared" si="89"/>
        <v>-6.3829787234042548E-2</v>
      </c>
      <c r="O166" s="22">
        <f>IF(ISNUMBER(M166), $B172 * N166, "")</f>
        <v>-6382.9787234042551</v>
      </c>
      <c r="Q166" s="261"/>
      <c r="R166" s="261"/>
      <c r="S166" s="261"/>
    </row>
    <row r="167" spans="1:19" ht="17.25" thickBot="1">
      <c r="A167" s="162" t="s">
        <v>199</v>
      </c>
      <c r="B167" s="129">
        <v>165</v>
      </c>
      <c r="C167" s="80">
        <v>-5.1724137900000001E-2</v>
      </c>
      <c r="D167" s="106">
        <v>170</v>
      </c>
      <c r="E167" s="107">
        <f>IF(ISNUMBER(D167), (D167 - $B167) / $B167, "")</f>
        <v>3.0303030303030304E-2</v>
      </c>
      <c r="F167" s="108">
        <f>IF(ISNUMBER(D167), $B172 * E167, "")</f>
        <v>3030.3030303030305</v>
      </c>
      <c r="G167" s="109">
        <v>192</v>
      </c>
      <c r="H167" s="107">
        <f>IF(ISNUMBER(G167), (G167 - $B167) / $B167, "")</f>
        <v>0.16363636363636364</v>
      </c>
      <c r="I167" s="110">
        <f>IF(ISNUMBER(G167), $B172 * H167, "")</f>
        <v>16363.636363636364</v>
      </c>
      <c r="J167" s="106">
        <v>199</v>
      </c>
      <c r="K167" s="107">
        <f>IF(ISNUMBER(J167), (J167 - $B167) / $B167, "")</f>
        <v>0.20606060606060606</v>
      </c>
      <c r="L167" s="108">
        <f>IF(ISNUMBER(J167), $B172 * K167, "")</f>
        <v>20606.060606060604</v>
      </c>
      <c r="M167" s="109">
        <v>183</v>
      </c>
      <c r="N167" s="107">
        <f>IF(ISNUMBER(M167), (M167 - $B167) / $B167, "")</f>
        <v>0.10909090909090909</v>
      </c>
      <c r="O167" s="108">
        <f>IF(ISNUMBER(M167), $B172 * N167, "")</f>
        <v>10909.090909090908</v>
      </c>
      <c r="Q167" s="251"/>
      <c r="R167" s="251"/>
      <c r="S167" s="251"/>
    </row>
    <row r="168" spans="1:19" ht="17.25" thickBot="1">
      <c r="A168" s="162" t="s">
        <v>173</v>
      </c>
      <c r="B168" s="126">
        <v>112</v>
      </c>
      <c r="C168" s="77">
        <v>-6.6666666700000002E-2</v>
      </c>
      <c r="D168" s="15">
        <v>105</v>
      </c>
      <c r="E168" s="32">
        <f t="shared" ref="E168:E171" si="90">IF(ISNUMBER(D168), (D168 - $B168) / $B168, "")</f>
        <v>-6.25E-2</v>
      </c>
      <c r="F168" s="18">
        <f>IF(ISNUMBER(D168), $B172 * E168, "")</f>
        <v>-6250</v>
      </c>
      <c r="G168" s="31">
        <v>104</v>
      </c>
      <c r="H168" s="32">
        <f t="shared" ref="H168:H171" si="91">IF(ISNUMBER(G168), (G168 - $B168) / $B168, "")</f>
        <v>-7.1428571428571425E-2</v>
      </c>
      <c r="I168" s="101">
        <f>IF(ISNUMBER(G168), $B172 * H168, "")</f>
        <v>-7142.8571428571422</v>
      </c>
      <c r="J168" s="15">
        <v>104</v>
      </c>
      <c r="K168" s="32">
        <f t="shared" ref="K168:K171" si="92">IF(ISNUMBER(J168), (J168 - $B168) / $B168, "")</f>
        <v>-7.1428571428571425E-2</v>
      </c>
      <c r="L168" s="18">
        <f>IF(ISNUMBER(J168), $B172 * K168, "")</f>
        <v>-7142.8571428571422</v>
      </c>
      <c r="M168" s="31">
        <v>105</v>
      </c>
      <c r="N168" s="32">
        <f t="shared" ref="N168:N171" si="93">IF(ISNUMBER(M168), (M168 - $B168) / $B168, "")</f>
        <v>-6.25E-2</v>
      </c>
      <c r="O168" s="18">
        <f>IF(ISNUMBER(M168), $B172 * N168, "")</f>
        <v>-6250</v>
      </c>
      <c r="Q168" s="251"/>
      <c r="R168" s="251"/>
      <c r="S168" s="251"/>
    </row>
    <row r="169" spans="1:19" ht="17.25" thickBot="1">
      <c r="A169" s="162" t="s">
        <v>112</v>
      </c>
      <c r="B169" s="126">
        <v>125</v>
      </c>
      <c r="C169" s="77">
        <v>-6.7164179099999999E-2</v>
      </c>
      <c r="D169" s="15">
        <v>119</v>
      </c>
      <c r="E169" s="32">
        <f t="shared" si="90"/>
        <v>-4.8000000000000001E-2</v>
      </c>
      <c r="F169" s="18">
        <f>IF(ISNUMBER(D169), $B172 * E169, "")</f>
        <v>-4800</v>
      </c>
      <c r="G169" s="31">
        <v>117</v>
      </c>
      <c r="H169" s="32">
        <f t="shared" si="91"/>
        <v>-6.4000000000000001E-2</v>
      </c>
      <c r="I169" s="101">
        <f>IF(ISNUMBER(G169), $B172 * H169, "")</f>
        <v>-6400</v>
      </c>
      <c r="J169" s="15">
        <v>117</v>
      </c>
      <c r="K169" s="32">
        <f t="shared" si="92"/>
        <v>-6.4000000000000001E-2</v>
      </c>
      <c r="L169" s="18">
        <f>IF(ISNUMBER(J169), $B172 * K169, "")</f>
        <v>-6400</v>
      </c>
      <c r="M169" s="31">
        <v>113</v>
      </c>
      <c r="N169" s="32">
        <f t="shared" si="93"/>
        <v>-9.6000000000000002E-2</v>
      </c>
      <c r="O169" s="18">
        <f>IF(ISNUMBER(M169), $B172 * N169, "")</f>
        <v>-9600</v>
      </c>
      <c r="Q169" s="251"/>
      <c r="R169" s="251"/>
      <c r="S169" s="251"/>
    </row>
    <row r="170" spans="1:19">
      <c r="A170" s="162" t="s">
        <v>231</v>
      </c>
      <c r="B170" s="126">
        <v>270</v>
      </c>
      <c r="C170" s="77">
        <v>-0.14285714290000001</v>
      </c>
      <c r="D170" s="15">
        <v>236</v>
      </c>
      <c r="E170" s="32">
        <f t="shared" si="90"/>
        <v>-0.12592592592592591</v>
      </c>
      <c r="F170" s="18">
        <f>IF(ISNUMBER(D170), $B172 * E170, "")</f>
        <v>-12592.592592592591</v>
      </c>
      <c r="G170" s="31">
        <v>198</v>
      </c>
      <c r="H170" s="32">
        <f t="shared" si="91"/>
        <v>-0.26666666666666666</v>
      </c>
      <c r="I170" s="101">
        <f>IF(ISNUMBER(G170), $B172 * H170, "")</f>
        <v>-26666.666666666668</v>
      </c>
      <c r="J170" s="15">
        <v>192</v>
      </c>
      <c r="K170" s="32">
        <f t="shared" si="92"/>
        <v>-0.28888888888888886</v>
      </c>
      <c r="L170" s="18">
        <f>IF(ISNUMBER(J170), $B172 * K170, "")</f>
        <v>-28888.888888888887</v>
      </c>
      <c r="M170" s="31">
        <v>192</v>
      </c>
      <c r="N170" s="32">
        <f t="shared" si="93"/>
        <v>-0.28888888888888886</v>
      </c>
      <c r="O170" s="18">
        <f>IF(ISNUMBER(M170), $B172 * N170, "")</f>
        <v>-28888.888888888887</v>
      </c>
      <c r="Q170" s="240"/>
      <c r="R170" s="241"/>
      <c r="S170" s="242"/>
    </row>
    <row r="171" spans="1:19" ht="17.25" thickBot="1">
      <c r="A171" s="130" t="s">
        <v>161</v>
      </c>
      <c r="B171" s="131">
        <v>619</v>
      </c>
      <c r="C171" s="79">
        <v>-0.17024128690000001</v>
      </c>
      <c r="D171" s="24" t="s">
        <v>362</v>
      </c>
      <c r="E171" s="25" t="str">
        <f t="shared" si="90"/>
        <v/>
      </c>
      <c r="F171" s="104" t="str">
        <f>IF(ISNUMBER(D171), $B172 * E171, "")</f>
        <v/>
      </c>
      <c r="G171" s="102" t="s">
        <v>362</v>
      </c>
      <c r="H171" s="25" t="str">
        <f t="shared" si="91"/>
        <v/>
      </c>
      <c r="I171" s="103" t="str">
        <f>IF(ISNUMBER(G171), $B172 * H171, "")</f>
        <v/>
      </c>
      <c r="J171" s="24" t="s">
        <v>362</v>
      </c>
      <c r="K171" s="25" t="str">
        <f t="shared" si="92"/>
        <v/>
      </c>
      <c r="L171" s="104" t="str">
        <f>IF(ISNUMBER(J171), $B172 * K171, "")</f>
        <v/>
      </c>
      <c r="M171" s="102" t="s">
        <v>362</v>
      </c>
      <c r="N171" s="25" t="str">
        <f t="shared" si="93"/>
        <v/>
      </c>
      <c r="O171" s="104" t="str">
        <f>IF(ISNUMBER(M171), $B172 * N171, "")</f>
        <v/>
      </c>
      <c r="Q171" s="243"/>
      <c r="R171" s="244"/>
      <c r="S171" s="245"/>
    </row>
    <row r="172" spans="1:19" ht="17.25" thickBot="1">
      <c r="A172" s="132" t="s">
        <v>295</v>
      </c>
      <c r="B172" s="304">
        <f>$B$37</f>
        <v>100000</v>
      </c>
      <c r="C172" s="305"/>
      <c r="D172" s="26" t="s">
        <v>296</v>
      </c>
      <c r="E172" s="27">
        <f>IF(COUNT(E152:E171), SUM(E152:E171) / COUNT(E152:E171), 0)</f>
        <v>-3.6776097503642871E-2</v>
      </c>
      <c r="F172" s="28">
        <f>SUM(F152:F171)</f>
        <v>-69874.585256921448</v>
      </c>
      <c r="G172" s="26" t="s">
        <v>296</v>
      </c>
      <c r="H172" s="27">
        <f>IF(COUNT(H152:H171), SUM(H152:H171) / COUNT(H152:H171), 0)</f>
        <v>-5.1755167269422905E-2</v>
      </c>
      <c r="I172" s="28">
        <f>SUM(I152:I171)</f>
        <v>-98334.817811903544</v>
      </c>
      <c r="J172" s="26" t="s">
        <v>296</v>
      </c>
      <c r="K172" s="27">
        <f>IF(COUNT(K152:K171), SUM(K152:K171) / COUNT(K152:K171), 0)</f>
        <v>-4.9776658001930221E-2</v>
      </c>
      <c r="L172" s="28">
        <f>SUM(L152:L171)</f>
        <v>-94575.65020366745</v>
      </c>
      <c r="M172" s="26" t="s">
        <v>296</v>
      </c>
      <c r="N172" s="27">
        <f>IF(COUNT(N152:N171), SUM(N152:N171) / COUNT(N152:N171), 0)</f>
        <v>-7.0227979060105444E-2</v>
      </c>
      <c r="O172" s="28">
        <f>SUM(O152:O171)</f>
        <v>-133433.16021420032</v>
      </c>
      <c r="Q172" s="246"/>
      <c r="R172" s="247"/>
      <c r="S172" s="248"/>
    </row>
    <row r="174" spans="1:19" ht="17.25" thickBot="1"/>
    <row r="175" spans="1:19" ht="17.25" thickBot="1">
      <c r="A175" s="262" t="s">
        <v>280</v>
      </c>
      <c r="B175" s="263"/>
      <c r="C175" s="263"/>
      <c r="D175" s="263"/>
      <c r="E175" s="263"/>
      <c r="F175" s="263"/>
      <c r="G175" s="263"/>
      <c r="H175" s="263"/>
      <c r="I175" s="263"/>
      <c r="J175" s="263"/>
      <c r="K175" s="263"/>
      <c r="L175" s="263"/>
      <c r="M175" s="263"/>
      <c r="N175" s="263"/>
      <c r="O175" s="264"/>
      <c r="Q175" s="261"/>
      <c r="R175" s="261"/>
      <c r="S175" s="261"/>
    </row>
    <row r="176" spans="1:19" ht="17.25" thickBot="1">
      <c r="A176" s="228" t="s">
        <v>292</v>
      </c>
      <c r="B176" s="262" t="s">
        <v>49</v>
      </c>
      <c r="C176" s="264"/>
      <c r="D176" s="262" t="s">
        <v>58</v>
      </c>
      <c r="E176" s="263"/>
      <c r="F176" s="264"/>
      <c r="G176" s="265">
        <f>_xlfn.IFNA(VLOOKUP(B176, 현재가테이블!$B$2:$D$200, 2, FALSE), "-")</f>
        <v>40538000</v>
      </c>
      <c r="H176" s="266"/>
      <c r="I176" s="267"/>
      <c r="J176" s="262" t="s">
        <v>59</v>
      </c>
      <c r="K176" s="263"/>
      <c r="L176" s="264"/>
      <c r="M176" s="268">
        <f>_xlfn.IFNA(VLOOKUP(B176, 현재가테이블!$B$2:$D$200, 3, FALSE), "-")</f>
        <v>-3.68275993E-2</v>
      </c>
      <c r="N176" s="269"/>
      <c r="O176" s="270"/>
      <c r="Q176" s="261"/>
      <c r="R176" s="261"/>
      <c r="S176" s="261"/>
    </row>
    <row r="177" spans="1:19" ht="17.25" thickBot="1">
      <c r="A177" s="306" t="s">
        <v>55</v>
      </c>
      <c r="B177" s="302" t="str">
        <f>TEXT($G$1, "[$-ko-KR]yyyy-mm-dd(ddd) ") &amp; "오전 00:00"</f>
        <v>2021-06-18(금) 오전 00:00</v>
      </c>
      <c r="C177" s="303"/>
      <c r="D177" s="275" t="str">
        <f>TEXT($G$1, "[$-ko-KR]yyyy-mm-dd(ddd) ") &amp; "오후 14:00"</f>
        <v>2021-06-18(금) 오후 14:00</v>
      </c>
      <c r="E177" s="276"/>
      <c r="F177" s="277"/>
      <c r="G177" s="275" t="str">
        <f>TEXT($G$1, "[$-ko-KR]yyyy-mm-dd(ddd) ") &amp; "오후 19:00"</f>
        <v>2021-06-18(금) 오후 19:00</v>
      </c>
      <c r="H177" s="276"/>
      <c r="I177" s="277"/>
      <c r="J177" s="275" t="str">
        <f>TEXT($G$1, "[$-ko-KR]yyyy-mm-dd(ddd) ") &amp; "오후 21:00"</f>
        <v>2021-06-18(금) 오후 21:00</v>
      </c>
      <c r="K177" s="276"/>
      <c r="L177" s="277"/>
      <c r="M177" s="275" t="str">
        <f>TEXT($G$1+1, "[$-ko-KR]yyyy-mm-dd(ddd) ") &amp; "오전 00:00"</f>
        <v>2021-06-19(토) 오전 00:00</v>
      </c>
      <c r="N177" s="276"/>
      <c r="O177" s="277"/>
      <c r="Q177" s="261"/>
      <c r="R177" s="261"/>
      <c r="S177" s="261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9" t="s">
        <v>58</v>
      </c>
      <c r="H178" s="230" t="s">
        <v>293</v>
      </c>
      <c r="I178" s="23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1"/>
      <c r="R178" s="251"/>
      <c r="S178" s="251"/>
    </row>
    <row r="179" spans="1:19" ht="17.25" thickBot="1">
      <c r="A179" s="161" t="s">
        <v>227</v>
      </c>
      <c r="B179" s="124">
        <v>88.7</v>
      </c>
      <c r="C179" s="76">
        <v>-6.1375661400000003E-2</v>
      </c>
      <c r="D179" s="13">
        <v>83.1</v>
      </c>
      <c r="E179" s="14">
        <f>IF(ISNUMBER(D179), (D179 - $B179) / $B179, "")</f>
        <v>-6.3134160090191752E-2</v>
      </c>
      <c r="F179" s="16">
        <f>IF(ISNUMBER(D179), $B199 * E179, "")</f>
        <v>-6313.4160090191754</v>
      </c>
      <c r="G179" s="29">
        <v>82.5</v>
      </c>
      <c r="H179" s="14">
        <f>IF(ISNUMBER(G179), (G179 - $B179) / $B179, "")</f>
        <v>-6.9898534385569366E-2</v>
      </c>
      <c r="I179" s="100">
        <f>IF(ISNUMBER(G179), $B199 * H179, "")</f>
        <v>-6989.8534385569365</v>
      </c>
      <c r="J179" s="13">
        <v>83.6</v>
      </c>
      <c r="K179" s="14">
        <f>IF(ISNUMBER(J179), (J179 - $B179) / $B179, "")</f>
        <v>-5.749718151071035E-2</v>
      </c>
      <c r="L179" s="16">
        <f>IF(ISNUMBER(J179), $B199 * K179, "")</f>
        <v>-5749.7181510710352</v>
      </c>
      <c r="M179" s="29">
        <v>82.1</v>
      </c>
      <c r="N179" s="14">
        <f>IF(ISNUMBER(M179), (M179 - $B179) / $B179, "")</f>
        <v>-7.440811724915454E-2</v>
      </c>
      <c r="O179" s="16">
        <f>IF(ISNUMBER(M179), $B199 * N179, "")</f>
        <v>-7440.8117249154539</v>
      </c>
      <c r="Q179" s="261"/>
      <c r="R179" s="261"/>
      <c r="S179" s="261"/>
    </row>
    <row r="180" spans="1:19" ht="17.25" thickBot="1">
      <c r="A180" s="162" t="s">
        <v>173</v>
      </c>
      <c r="B180" s="126">
        <v>112</v>
      </c>
      <c r="C180" s="77">
        <v>-6.6666666700000002E-2</v>
      </c>
      <c r="D180" s="15">
        <v>105</v>
      </c>
      <c r="E180" s="32">
        <f t="shared" ref="E180:E183" si="94">IF(ISNUMBER(D180), (D180 - $B180) / $B180, "")</f>
        <v>-6.25E-2</v>
      </c>
      <c r="F180" s="18">
        <f>IF(ISNUMBER(D180), $B199 * E180, "")</f>
        <v>-6250</v>
      </c>
      <c r="G180" s="31">
        <v>104</v>
      </c>
      <c r="H180" s="32">
        <f t="shared" ref="H180:H183" si="95">IF(ISNUMBER(G180), (G180 - $B180) / $B180, "")</f>
        <v>-7.1428571428571425E-2</v>
      </c>
      <c r="I180" s="101">
        <f>IF(ISNUMBER(G180), $B199 * H180, "")</f>
        <v>-7142.8571428571422</v>
      </c>
      <c r="J180" s="15">
        <v>104</v>
      </c>
      <c r="K180" s="32">
        <f t="shared" ref="K180:K183" si="96">IF(ISNUMBER(J180), (J180 - $B180) / $B180, "")</f>
        <v>-7.1428571428571425E-2</v>
      </c>
      <c r="L180" s="18">
        <f>IF(ISNUMBER(J180), $B199 * K180, "")</f>
        <v>-7142.8571428571422</v>
      </c>
      <c r="M180" s="31">
        <v>105</v>
      </c>
      <c r="N180" s="32">
        <f t="shared" ref="N180:N183" si="97">IF(ISNUMBER(M180), (M180 - $B180) / $B180, "")</f>
        <v>-6.25E-2</v>
      </c>
      <c r="O180" s="18">
        <f>IF(ISNUMBER(M180), $B199 * N180, "")</f>
        <v>-6250</v>
      </c>
      <c r="Q180" s="261"/>
      <c r="R180" s="261"/>
      <c r="S180" s="261"/>
    </row>
    <row r="181" spans="1:19" ht="17.25" thickBot="1">
      <c r="A181" s="162" t="s">
        <v>208</v>
      </c>
      <c r="B181" s="126">
        <v>86.6</v>
      </c>
      <c r="C181" s="77">
        <v>-6.6810344800000004E-2</v>
      </c>
      <c r="D181" s="15">
        <v>80.599999999999994</v>
      </c>
      <c r="E181" s="32">
        <f t="shared" si="94"/>
        <v>-6.9284064665127029E-2</v>
      </c>
      <c r="F181" s="18">
        <f>IF(ISNUMBER(D181), $B199 * E181, "")</f>
        <v>-6928.4064665127025</v>
      </c>
      <c r="G181" s="31">
        <v>79.7</v>
      </c>
      <c r="H181" s="32">
        <f t="shared" si="95"/>
        <v>-7.9676674364895977E-2</v>
      </c>
      <c r="I181" s="101">
        <f>IF(ISNUMBER(G181), $B199 * H181, "")</f>
        <v>-7967.667436489598</v>
      </c>
      <c r="J181" s="15">
        <v>80.5</v>
      </c>
      <c r="K181" s="32">
        <f t="shared" si="96"/>
        <v>-7.0438799076212408E-2</v>
      </c>
      <c r="L181" s="18">
        <f>IF(ISNUMBER(J181), $B199 * K181, "")</f>
        <v>-7043.8799076212408</v>
      </c>
      <c r="M181" s="31">
        <v>79</v>
      </c>
      <c r="N181" s="32">
        <f t="shared" si="97"/>
        <v>-8.7759815242494169E-2</v>
      </c>
      <c r="O181" s="18">
        <f>IF(ISNUMBER(M181), $B199 * N181, "")</f>
        <v>-8775.9815242494169</v>
      </c>
      <c r="Q181" s="251"/>
      <c r="R181" s="251"/>
      <c r="S181" s="251"/>
    </row>
    <row r="182" spans="1:19" ht="17.25" thickBot="1">
      <c r="A182" s="162" t="s">
        <v>112</v>
      </c>
      <c r="B182" s="126">
        <v>125</v>
      </c>
      <c r="C182" s="77">
        <v>-6.7164179099999999E-2</v>
      </c>
      <c r="D182" s="15">
        <v>119</v>
      </c>
      <c r="E182" s="32">
        <f t="shared" si="94"/>
        <v>-4.8000000000000001E-2</v>
      </c>
      <c r="F182" s="18">
        <f>IF(ISNUMBER(D182), $B199 * E182, "")</f>
        <v>-4800</v>
      </c>
      <c r="G182" s="31">
        <v>117</v>
      </c>
      <c r="H182" s="32">
        <f t="shared" si="95"/>
        <v>-6.4000000000000001E-2</v>
      </c>
      <c r="I182" s="101">
        <f>IF(ISNUMBER(G182), $B199 * H182, "")</f>
        <v>-6400</v>
      </c>
      <c r="J182" s="15">
        <v>117</v>
      </c>
      <c r="K182" s="32">
        <f t="shared" si="96"/>
        <v>-6.4000000000000001E-2</v>
      </c>
      <c r="L182" s="18">
        <f>IF(ISNUMBER(J182), $B199 * K182, "")</f>
        <v>-6400</v>
      </c>
      <c r="M182" s="31">
        <v>113</v>
      </c>
      <c r="N182" s="32">
        <f t="shared" si="97"/>
        <v>-9.6000000000000002E-2</v>
      </c>
      <c r="O182" s="18">
        <f>IF(ISNUMBER(M182), $B199 * N182, "")</f>
        <v>-9600</v>
      </c>
      <c r="Q182" s="251"/>
      <c r="R182" s="251"/>
      <c r="S182" s="251"/>
    </row>
    <row r="183" spans="1:19" ht="17.25" thickBot="1">
      <c r="A183" s="163" t="s">
        <v>263</v>
      </c>
      <c r="B183" s="128">
        <v>24.8</v>
      </c>
      <c r="C183" s="78">
        <v>-7.1161048700000007E-2</v>
      </c>
      <c r="D183" s="20">
        <v>23.9</v>
      </c>
      <c r="E183" s="21">
        <f t="shared" si="94"/>
        <v>-3.6290322580645247E-2</v>
      </c>
      <c r="F183" s="22">
        <f>IF(ISNUMBER(D183), $B199 * E183, "")</f>
        <v>-3629.0322580645247</v>
      </c>
      <c r="G183" s="30">
        <v>21.8</v>
      </c>
      <c r="H183" s="21">
        <f t="shared" si="95"/>
        <v>-0.12096774193548386</v>
      </c>
      <c r="I183" s="105">
        <f>IF(ISNUMBER(G183), $B199 * H183, "")</f>
        <v>-12096.774193548386</v>
      </c>
      <c r="J183" s="20">
        <v>21.3</v>
      </c>
      <c r="K183" s="21">
        <f t="shared" si="96"/>
        <v>-0.1411290322580645</v>
      </c>
      <c r="L183" s="22">
        <f>IF(ISNUMBER(J183), $B199 * K183, "")</f>
        <v>-14112.903225806451</v>
      </c>
      <c r="M183" s="30">
        <v>20.8</v>
      </c>
      <c r="N183" s="21">
        <f t="shared" si="97"/>
        <v>-0.16129032258064516</v>
      </c>
      <c r="O183" s="22">
        <f>IF(ISNUMBER(M183), $B199 * N183, "")</f>
        <v>-16129.032258064515</v>
      </c>
      <c r="Q183" s="251"/>
      <c r="R183" s="251"/>
      <c r="S183" s="251"/>
    </row>
    <row r="184" spans="1:19" ht="17.25" thickBot="1">
      <c r="A184" s="162" t="s">
        <v>229</v>
      </c>
      <c r="B184" s="129">
        <v>96.2</v>
      </c>
      <c r="C184" s="80">
        <v>-8.3809523799999994E-2</v>
      </c>
      <c r="D184" s="106">
        <v>90.1</v>
      </c>
      <c r="E184" s="107">
        <f>IF(ISNUMBER(D184), (D184 - $B184) / $B184, "")</f>
        <v>-6.3409563409563496E-2</v>
      </c>
      <c r="F184" s="108">
        <f>IF(ISNUMBER(D184), $B199 * E184, "")</f>
        <v>-6340.9563409563498</v>
      </c>
      <c r="G184" s="109">
        <v>89.8</v>
      </c>
      <c r="H184" s="107">
        <f>IF(ISNUMBER(G184), (G184 - $B184) / $B184, "")</f>
        <v>-6.6528066528066587E-2</v>
      </c>
      <c r="I184" s="110">
        <f>IF(ISNUMBER(G184), $B199 * H184, "")</f>
        <v>-6652.8066528066583</v>
      </c>
      <c r="J184" s="106">
        <v>89.5</v>
      </c>
      <c r="K184" s="107">
        <f>IF(ISNUMBER(J184), (J184 - $B184) / $B184, "")</f>
        <v>-6.9646569646569678E-2</v>
      </c>
      <c r="L184" s="108">
        <f>IF(ISNUMBER(J184), $B199 * K184, "")</f>
        <v>-6964.6569646569678</v>
      </c>
      <c r="M184" s="109">
        <v>87.4</v>
      </c>
      <c r="N184" s="107">
        <f>IF(ISNUMBER(M184), (M184 - $B184) / $B184, "")</f>
        <v>-9.147609147609144E-2</v>
      </c>
      <c r="O184" s="108">
        <f>IF(ISNUMBER(M184), $B199 * N184, "")</f>
        <v>-9147.6091476091442</v>
      </c>
      <c r="Q184" s="251"/>
      <c r="R184" s="251"/>
      <c r="S184" s="251"/>
    </row>
    <row r="185" spans="1:19" ht="17.25" thickBot="1">
      <c r="A185" s="162" t="s">
        <v>197</v>
      </c>
      <c r="B185" s="126">
        <v>13.7</v>
      </c>
      <c r="C185" s="77">
        <v>-8.6666666700000006E-2</v>
      </c>
      <c r="D185" s="15">
        <v>12.7</v>
      </c>
      <c r="E185" s="32">
        <f t="shared" ref="E185:E188" si="98">IF(ISNUMBER(D185), (D185 - $B185) / $B185, "")</f>
        <v>-7.2992700729927015E-2</v>
      </c>
      <c r="F185" s="18">
        <f>IF(ISNUMBER(D185), $B199 * E185, "")</f>
        <v>-7299.2700729927019</v>
      </c>
      <c r="G185" s="31">
        <v>12.7</v>
      </c>
      <c r="H185" s="32">
        <f t="shared" ref="H185:H188" si="99">IF(ISNUMBER(G185), (G185 - $B185) / $B185, "")</f>
        <v>-7.2992700729927015E-2</v>
      </c>
      <c r="I185" s="101">
        <f>IF(ISNUMBER(G185), $B199 * H185, "")</f>
        <v>-7299.2700729927019</v>
      </c>
      <c r="J185" s="15">
        <v>12.8</v>
      </c>
      <c r="K185" s="32">
        <f t="shared" ref="K185:K188" si="100">IF(ISNUMBER(J185), (J185 - $B185) / $B185, "")</f>
        <v>-6.5693430656934212E-2</v>
      </c>
      <c r="L185" s="18">
        <f>IF(ISNUMBER(J185), $B199 * K185, "")</f>
        <v>-6569.3430656934215</v>
      </c>
      <c r="M185" s="31">
        <v>12.4</v>
      </c>
      <c r="N185" s="32">
        <f t="shared" ref="N185:N188" si="101">IF(ISNUMBER(M185), (M185 - $B185) / $B185, "")</f>
        <v>-9.4890510948905035E-2</v>
      </c>
      <c r="O185" s="18">
        <f>IF(ISNUMBER(M185), $B199 * N185, "")</f>
        <v>-9489.051094890503</v>
      </c>
      <c r="Q185" s="251"/>
      <c r="R185" s="251"/>
      <c r="S185" s="251"/>
    </row>
    <row r="186" spans="1:19" ht="17.25" thickBot="1">
      <c r="A186" s="162" t="s">
        <v>234</v>
      </c>
      <c r="B186" s="126">
        <v>78.7</v>
      </c>
      <c r="C186" s="77">
        <v>-0.1005714286</v>
      </c>
      <c r="D186" s="15" t="s">
        <v>362</v>
      </c>
      <c r="E186" s="32" t="str">
        <f t="shared" si="98"/>
        <v/>
      </c>
      <c r="F186" s="18" t="str">
        <f>IF(ISNUMBER(D186), $B199 * E186, "")</f>
        <v/>
      </c>
      <c r="G186" s="31" t="s">
        <v>362</v>
      </c>
      <c r="H186" s="32" t="str">
        <f t="shared" si="99"/>
        <v/>
      </c>
      <c r="I186" s="101" t="str">
        <f>IF(ISNUMBER(G186), $B199 * H186, "")</f>
        <v/>
      </c>
      <c r="J186" s="15" t="s">
        <v>362</v>
      </c>
      <c r="K186" s="32" t="str">
        <f t="shared" si="100"/>
        <v/>
      </c>
      <c r="L186" s="18" t="str">
        <f>IF(ISNUMBER(J186), $B199 * K186, "")</f>
        <v/>
      </c>
      <c r="M186" s="31" t="s">
        <v>362</v>
      </c>
      <c r="N186" s="32" t="str">
        <f t="shared" si="101"/>
        <v/>
      </c>
      <c r="O186" s="18" t="str">
        <f>IF(ISNUMBER(M186), $B199 * N186, "")</f>
        <v/>
      </c>
      <c r="Q186" s="251"/>
      <c r="R186" s="251"/>
      <c r="S186" s="251"/>
    </row>
    <row r="187" spans="1:19" ht="17.25" thickBot="1">
      <c r="A187" s="162" t="s">
        <v>140</v>
      </c>
      <c r="B187" s="126">
        <v>2320</v>
      </c>
      <c r="C187" s="77">
        <v>-0.1076923077</v>
      </c>
      <c r="D187" s="15">
        <v>2230</v>
      </c>
      <c r="E187" s="32">
        <f t="shared" si="98"/>
        <v>-3.8793103448275863E-2</v>
      </c>
      <c r="F187" s="18">
        <f>IF(ISNUMBER(D187), $B199 * E187, "")</f>
        <v>-3879.3103448275865</v>
      </c>
      <c r="G187" s="31">
        <v>2185</v>
      </c>
      <c r="H187" s="32">
        <f t="shared" si="99"/>
        <v>-5.8189655172413791E-2</v>
      </c>
      <c r="I187" s="101">
        <f>IF(ISNUMBER(G187), $B199 * H187, "")</f>
        <v>-5818.9655172413795</v>
      </c>
      <c r="J187" s="15">
        <v>2165</v>
      </c>
      <c r="K187" s="32">
        <f t="shared" si="100"/>
        <v>-6.6810344827586202E-2</v>
      </c>
      <c r="L187" s="18">
        <f>IF(ISNUMBER(J187), $B199 * K187, "")</f>
        <v>-6681.0344827586205</v>
      </c>
      <c r="M187" s="31">
        <v>2135</v>
      </c>
      <c r="N187" s="32">
        <f t="shared" si="101"/>
        <v>-7.9741379310344834E-2</v>
      </c>
      <c r="O187" s="18">
        <f>IF(ISNUMBER(M187), $B199 * N187, "")</f>
        <v>-7974.1379310344837</v>
      </c>
      <c r="Q187" s="33"/>
      <c r="R187" s="33"/>
    </row>
    <row r="188" spans="1:19" ht="17.25" thickBot="1">
      <c r="A188" s="130" t="s">
        <v>277</v>
      </c>
      <c r="B188" s="131">
        <v>48</v>
      </c>
      <c r="C188" s="79">
        <v>-0.14132379249999999</v>
      </c>
      <c r="D188" s="24">
        <v>47.3</v>
      </c>
      <c r="E188" s="25">
        <f t="shared" si="98"/>
        <v>-1.4583333333333393E-2</v>
      </c>
      <c r="F188" s="104">
        <f>IF(ISNUMBER(D188), $B199 * E188, "")</f>
        <v>-1458.3333333333392</v>
      </c>
      <c r="G188" s="102">
        <v>68.2</v>
      </c>
      <c r="H188" s="25">
        <f t="shared" si="99"/>
        <v>0.42083333333333339</v>
      </c>
      <c r="I188" s="103">
        <f>IF(ISNUMBER(G188), $B199 * H188, "")</f>
        <v>42083.333333333336</v>
      </c>
      <c r="J188" s="24">
        <v>63.1</v>
      </c>
      <c r="K188" s="25">
        <f t="shared" si="100"/>
        <v>0.31458333333333338</v>
      </c>
      <c r="L188" s="104">
        <f>IF(ISNUMBER(J188), $B199 * K188, "")</f>
        <v>31458.333333333339</v>
      </c>
      <c r="M188" s="102">
        <v>63.4</v>
      </c>
      <c r="N188" s="25">
        <f t="shared" si="101"/>
        <v>0.3208333333333333</v>
      </c>
      <c r="O188" s="104">
        <f>IF(ISNUMBER(M188), $B199 * N188, "")</f>
        <v>32083.333333333332</v>
      </c>
      <c r="Q188" s="252"/>
      <c r="R188" s="253"/>
      <c r="S188" s="254"/>
    </row>
    <row r="189" spans="1:19">
      <c r="A189" s="161" t="s">
        <v>231</v>
      </c>
      <c r="B189" s="124">
        <v>270</v>
      </c>
      <c r="C189" s="76">
        <v>-0.14285714290000001</v>
      </c>
      <c r="D189" s="13">
        <v>236</v>
      </c>
      <c r="E189" s="14">
        <f>IF(ISNUMBER(D189), (D189 - $B189) / $B189, "")</f>
        <v>-0.12592592592592591</v>
      </c>
      <c r="F189" s="16">
        <f>IF(ISNUMBER(D189), $B199 * E189, "")</f>
        <v>-12592.592592592591</v>
      </c>
      <c r="G189" s="29">
        <v>198</v>
      </c>
      <c r="H189" s="14">
        <f>IF(ISNUMBER(G189), (G189 - $B189) / $B189, "")</f>
        <v>-0.26666666666666666</v>
      </c>
      <c r="I189" s="100">
        <f>IF(ISNUMBER(G189), $B199 * H189, "")</f>
        <v>-26666.666666666668</v>
      </c>
      <c r="J189" s="13">
        <v>192</v>
      </c>
      <c r="K189" s="14">
        <f>IF(ISNUMBER(J189), (J189 - $B189) / $B189, "")</f>
        <v>-0.28888888888888886</v>
      </c>
      <c r="L189" s="16">
        <f>IF(ISNUMBER(J189), $B199 * K189, "")</f>
        <v>-28888.888888888887</v>
      </c>
      <c r="M189" s="29">
        <v>192</v>
      </c>
      <c r="N189" s="14">
        <f>IF(ISNUMBER(M189), (M189 - $B189) / $B189, "")</f>
        <v>-0.28888888888888886</v>
      </c>
      <c r="O189" s="16">
        <f>IF(ISNUMBER(M189), $B199 * N189, "")</f>
        <v>-28888.888888888887</v>
      </c>
      <c r="Q189" s="255"/>
      <c r="R189" s="256"/>
      <c r="S189" s="257"/>
    </row>
    <row r="190" spans="1:19" ht="17.25" thickBot="1">
      <c r="A190" s="162" t="s">
        <v>233</v>
      </c>
      <c r="B190" s="126">
        <v>15.1</v>
      </c>
      <c r="C190" s="77">
        <v>-0.15642458100000001</v>
      </c>
      <c r="D190" s="15">
        <v>11.9</v>
      </c>
      <c r="E190" s="32">
        <f t="shared" ref="E190:E193" si="102">IF(ISNUMBER(D190), (D190 - $B190) / $B190, "")</f>
        <v>-0.21192052980132445</v>
      </c>
      <c r="F190" s="18">
        <f>IF(ISNUMBER(D190), $B199 * E190, "")</f>
        <v>-21192.052980132445</v>
      </c>
      <c r="G190" s="31">
        <v>11.2</v>
      </c>
      <c r="H190" s="32">
        <f t="shared" ref="H190:H193" si="103">IF(ISNUMBER(G190), (G190 - $B190) / $B190, "")</f>
        <v>-0.25827814569536428</v>
      </c>
      <c r="I190" s="101">
        <f>IF(ISNUMBER(G190), $B199 * H190, "")</f>
        <v>-25827.814569536429</v>
      </c>
      <c r="J190" s="15">
        <v>10.6</v>
      </c>
      <c r="K190" s="32">
        <f t="shared" ref="K190:K193" si="104">IF(ISNUMBER(J190), (J190 - $B190) / $B190, "")</f>
        <v>-0.29801324503311261</v>
      </c>
      <c r="L190" s="18">
        <f>IF(ISNUMBER(J190), $B199 * K190, "")</f>
        <v>-29801.324503311262</v>
      </c>
      <c r="M190" s="31">
        <v>10.6</v>
      </c>
      <c r="N190" s="32">
        <f t="shared" ref="N190:N193" si="105">IF(ISNUMBER(M190), (M190 - $B190) / $B190, "")</f>
        <v>-0.29801324503311261</v>
      </c>
      <c r="O190" s="18">
        <f>IF(ISNUMBER(M190), $B199 * N190, "")</f>
        <v>-29801.324503311262</v>
      </c>
      <c r="Q190" s="258"/>
      <c r="R190" s="259"/>
      <c r="S190" s="260"/>
    </row>
    <row r="191" spans="1:19" ht="17.25" thickBot="1">
      <c r="A191" s="162" t="s">
        <v>246</v>
      </c>
      <c r="B191" s="126">
        <v>53.1</v>
      </c>
      <c r="C191" s="77">
        <v>-0.16246056780000001</v>
      </c>
      <c r="D191" s="15">
        <v>44.8</v>
      </c>
      <c r="E191" s="32">
        <f t="shared" si="102"/>
        <v>-0.15630885122410554</v>
      </c>
      <c r="F191" s="18">
        <f>IF(ISNUMBER(D191), $B199 * E191, "")</f>
        <v>-15630.885122410555</v>
      </c>
      <c r="G191" s="31">
        <v>39.799999999999997</v>
      </c>
      <c r="H191" s="32">
        <f t="shared" si="103"/>
        <v>-0.25047080979284375</v>
      </c>
      <c r="I191" s="101">
        <f>IF(ISNUMBER(G191), $B199 * H191, "")</f>
        <v>-25047.080979284376</v>
      </c>
      <c r="J191" s="15">
        <v>37.5</v>
      </c>
      <c r="K191" s="32">
        <f t="shared" si="104"/>
        <v>-0.29378531073446329</v>
      </c>
      <c r="L191" s="18">
        <f>IF(ISNUMBER(J191), $B199 * K191, "")</f>
        <v>-29378.531073446327</v>
      </c>
      <c r="M191" s="31">
        <v>37.6</v>
      </c>
      <c r="N191" s="32">
        <f t="shared" si="105"/>
        <v>-0.29190207156308851</v>
      </c>
      <c r="O191" s="18">
        <f>IF(ISNUMBER(M191), $B199 * N191, "")</f>
        <v>-29190.20715630885</v>
      </c>
      <c r="Q191" s="251"/>
      <c r="R191" s="251"/>
      <c r="S191" s="251"/>
    </row>
    <row r="192" spans="1:19" ht="17.25" thickBot="1">
      <c r="A192" s="162" t="s">
        <v>248</v>
      </c>
      <c r="B192" s="126">
        <v>85.2</v>
      </c>
      <c r="C192" s="77">
        <v>-0.1647058824</v>
      </c>
      <c r="D192" s="15">
        <v>73.099999999999994</v>
      </c>
      <c r="E192" s="32">
        <f t="shared" si="102"/>
        <v>-0.14201877934272311</v>
      </c>
      <c r="F192" s="18">
        <f>IF(ISNUMBER(D192), $B199 * E192, "")</f>
        <v>-14201.877934272312</v>
      </c>
      <c r="G192" s="31">
        <v>65.599999999999994</v>
      </c>
      <c r="H192" s="32">
        <f t="shared" si="103"/>
        <v>-0.23004694835680761</v>
      </c>
      <c r="I192" s="101">
        <f>IF(ISNUMBER(G192), $B199 * H192, "")</f>
        <v>-23004.694835680762</v>
      </c>
      <c r="J192" s="15">
        <v>62.8</v>
      </c>
      <c r="K192" s="32">
        <f t="shared" si="104"/>
        <v>-0.2629107981220658</v>
      </c>
      <c r="L192" s="18">
        <f>IF(ISNUMBER(J192), $B199 * K192, "")</f>
        <v>-26291.079812206579</v>
      </c>
      <c r="M192" s="31">
        <v>61.8</v>
      </c>
      <c r="N192" s="32">
        <f t="shared" si="105"/>
        <v>-0.27464788732394374</v>
      </c>
      <c r="O192" s="18">
        <f>IF(ISNUMBER(M192), $B199 * N192, "")</f>
        <v>-27464.788732394372</v>
      </c>
      <c r="Q192" s="261"/>
      <c r="R192" s="261"/>
      <c r="S192" s="261"/>
    </row>
    <row r="193" spans="1:19" ht="17.25" thickBot="1">
      <c r="A193" s="163" t="s">
        <v>161</v>
      </c>
      <c r="B193" s="128">
        <v>619</v>
      </c>
      <c r="C193" s="78">
        <v>-0.17024128690000001</v>
      </c>
      <c r="D193" s="20" t="s">
        <v>362</v>
      </c>
      <c r="E193" s="21" t="str">
        <f t="shared" si="102"/>
        <v/>
      </c>
      <c r="F193" s="22" t="str">
        <f>IF(ISNUMBER(D193), $B199 * E193, "")</f>
        <v/>
      </c>
      <c r="G193" s="30" t="s">
        <v>362</v>
      </c>
      <c r="H193" s="21" t="str">
        <f t="shared" si="103"/>
        <v/>
      </c>
      <c r="I193" s="105" t="str">
        <f>IF(ISNUMBER(G193), $B199 * H193, "")</f>
        <v/>
      </c>
      <c r="J193" s="20" t="s">
        <v>362</v>
      </c>
      <c r="K193" s="21" t="str">
        <f t="shared" si="104"/>
        <v/>
      </c>
      <c r="L193" s="22" t="str">
        <f>IF(ISNUMBER(J193), $B199 * K193, "")</f>
        <v/>
      </c>
      <c r="M193" s="30" t="s">
        <v>362</v>
      </c>
      <c r="N193" s="21" t="str">
        <f t="shared" si="105"/>
        <v/>
      </c>
      <c r="O193" s="22" t="str">
        <f>IF(ISNUMBER(M193), $B199 * N193, "")</f>
        <v/>
      </c>
      <c r="Q193" s="261"/>
      <c r="R193" s="261"/>
      <c r="S193" s="261"/>
    </row>
    <row r="194" spans="1:19" ht="17.25" thickBot="1">
      <c r="A194" s="162" t="s">
        <v>249</v>
      </c>
      <c r="B194" s="129">
        <v>16.399999999999999</v>
      </c>
      <c r="C194" s="80">
        <v>-0.1717171717</v>
      </c>
      <c r="D194" s="106" t="s">
        <v>362</v>
      </c>
      <c r="E194" s="107" t="str">
        <f>IF(ISNUMBER(D194), (D194 - $B194) / $B194, "")</f>
        <v/>
      </c>
      <c r="F194" s="108" t="str">
        <f>IF(ISNUMBER(D194), $B199 * E194, "")</f>
        <v/>
      </c>
      <c r="G194" s="109" t="s">
        <v>362</v>
      </c>
      <c r="H194" s="107" t="str">
        <f>IF(ISNUMBER(G194), (G194 - $B194) / $B194, "")</f>
        <v/>
      </c>
      <c r="I194" s="110" t="str">
        <f>IF(ISNUMBER(G194), $B199 * H194, "")</f>
        <v/>
      </c>
      <c r="J194" s="106" t="s">
        <v>362</v>
      </c>
      <c r="K194" s="107" t="str">
        <f>IF(ISNUMBER(J194), (J194 - $B194) / $B194, "")</f>
        <v/>
      </c>
      <c r="L194" s="108" t="str">
        <f>IF(ISNUMBER(J194), $B199 * K194, "")</f>
        <v/>
      </c>
      <c r="M194" s="109" t="s">
        <v>362</v>
      </c>
      <c r="N194" s="107" t="str">
        <f>IF(ISNUMBER(M194), (M194 - $B194) / $B194, "")</f>
        <v/>
      </c>
      <c r="O194" s="108" t="str">
        <f>IF(ISNUMBER(M194), $B199 * N194, "")</f>
        <v/>
      </c>
      <c r="Q194" s="251"/>
      <c r="R194" s="251"/>
      <c r="S194" s="251"/>
    </row>
    <row r="195" spans="1:19" ht="17.25" thickBot="1">
      <c r="A195" s="162" t="s">
        <v>215</v>
      </c>
      <c r="B195" s="126">
        <v>4.55</v>
      </c>
      <c r="C195" s="77">
        <v>-0.19753086419999999</v>
      </c>
      <c r="D195" s="15" t="s">
        <v>362</v>
      </c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 t="s">
        <v>362</v>
      </c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 t="s">
        <v>362</v>
      </c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 t="s">
        <v>362</v>
      </c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1"/>
      <c r="R195" s="251"/>
      <c r="S195" s="251"/>
    </row>
    <row r="196" spans="1:19" ht="17.25" thickBot="1">
      <c r="A196" s="162" t="s">
        <v>171</v>
      </c>
      <c r="B196" s="126">
        <v>4.0999999999999996</v>
      </c>
      <c r="C196" s="77">
        <v>-0.19765166340000001</v>
      </c>
      <c r="D196" s="15">
        <v>3.4</v>
      </c>
      <c r="E196" s="32">
        <f t="shared" si="106"/>
        <v>-0.17073170731707313</v>
      </c>
      <c r="F196" s="18">
        <f>IF(ISNUMBER(D196), $B199 * E196, "")</f>
        <v>-17073.170731707312</v>
      </c>
      <c r="G196" s="31">
        <v>3.07</v>
      </c>
      <c r="H196" s="32">
        <f t="shared" si="107"/>
        <v>-0.25121951219512195</v>
      </c>
      <c r="I196" s="101">
        <f>IF(ISNUMBER(G196), $B199 * H196, "")</f>
        <v>-25121.951219512197</v>
      </c>
      <c r="J196" s="15">
        <v>2.95</v>
      </c>
      <c r="K196" s="32">
        <f t="shared" si="108"/>
        <v>-0.2804878048780487</v>
      </c>
      <c r="L196" s="18">
        <f>IF(ISNUMBER(J196), $B199 * K196, "")</f>
        <v>-28048.78048780487</v>
      </c>
      <c r="M196" s="31">
        <v>2.92</v>
      </c>
      <c r="N196" s="32">
        <f t="shared" si="109"/>
        <v>-0.28780487804878047</v>
      </c>
      <c r="O196" s="18">
        <f>IF(ISNUMBER(M196), $B199 * N196, "")</f>
        <v>-28780.487804878048</v>
      </c>
      <c r="Q196" s="251"/>
      <c r="R196" s="251"/>
      <c r="S196" s="251"/>
    </row>
    <row r="197" spans="1:19">
      <c r="A197" s="162" t="s">
        <v>206</v>
      </c>
      <c r="B197" s="126">
        <v>72</v>
      </c>
      <c r="C197" s="77">
        <v>-0.19821826279999999</v>
      </c>
      <c r="D197" s="15" t="s">
        <v>362</v>
      </c>
      <c r="E197" s="32" t="str">
        <f t="shared" si="106"/>
        <v/>
      </c>
      <c r="F197" s="18" t="str">
        <f>IF(ISNUMBER(D197), $B199 * E197, "")</f>
        <v/>
      </c>
      <c r="G197" s="31" t="s">
        <v>362</v>
      </c>
      <c r="H197" s="32" t="str">
        <f t="shared" si="107"/>
        <v/>
      </c>
      <c r="I197" s="101" t="str">
        <f>IF(ISNUMBER(G197), $B199 * H197, "")</f>
        <v/>
      </c>
      <c r="J197" s="15" t="s">
        <v>362</v>
      </c>
      <c r="K197" s="32" t="str">
        <f t="shared" si="108"/>
        <v/>
      </c>
      <c r="L197" s="18" t="str">
        <f>IF(ISNUMBER(J197), $B199 * K197, "")</f>
        <v/>
      </c>
      <c r="M197" s="31" t="s">
        <v>362</v>
      </c>
      <c r="N197" s="32" t="str">
        <f t="shared" si="109"/>
        <v/>
      </c>
      <c r="O197" s="18" t="str">
        <f>IF(ISNUMBER(M197), $B199 * N197, "")</f>
        <v/>
      </c>
      <c r="Q197" s="240"/>
      <c r="R197" s="241"/>
      <c r="S197" s="242"/>
    </row>
    <row r="198" spans="1:19" ht="17.25" thickBot="1">
      <c r="A198" s="130" t="s">
        <v>122</v>
      </c>
      <c r="B198" s="131">
        <v>18.899999999999999</v>
      </c>
      <c r="C198" s="79">
        <v>-0.21900826449999999</v>
      </c>
      <c r="D198" s="24">
        <v>14.6</v>
      </c>
      <c r="E198" s="25">
        <f t="shared" si="106"/>
        <v>-0.22751322751322747</v>
      </c>
      <c r="F198" s="104">
        <f>IF(ISNUMBER(D198), $B199 * E198, "")</f>
        <v>-22751.322751322747</v>
      </c>
      <c r="G198" s="102">
        <v>14.6</v>
      </c>
      <c r="H198" s="25">
        <f t="shared" si="107"/>
        <v>-0.22751322751322747</v>
      </c>
      <c r="I198" s="103">
        <f>IF(ISNUMBER(G198), $B199 * H198, "")</f>
        <v>-22751.322751322747</v>
      </c>
      <c r="J198" s="24">
        <v>13.7</v>
      </c>
      <c r="K198" s="25">
        <f t="shared" si="108"/>
        <v>-0.27513227513227512</v>
      </c>
      <c r="L198" s="104">
        <f>IF(ISNUMBER(J198), $B199 * K198, "")</f>
        <v>-27513.22751322751</v>
      </c>
      <c r="M198" s="102">
        <v>13.6</v>
      </c>
      <c r="N198" s="25">
        <f t="shared" si="109"/>
        <v>-0.28042328042328041</v>
      </c>
      <c r="O198" s="104">
        <f>IF(ISNUMBER(M198), $B199 * N198, "")</f>
        <v>-28042.328042328041</v>
      </c>
      <c r="Q198" s="243"/>
      <c r="R198" s="244"/>
      <c r="S198" s="245"/>
    </row>
    <row r="199" spans="1:19" ht="17.25" thickBot="1">
      <c r="A199" s="132" t="s">
        <v>295</v>
      </c>
      <c r="B199" s="304">
        <f>$B$37</f>
        <v>100000</v>
      </c>
      <c r="C199" s="305"/>
      <c r="D199" s="26" t="s">
        <v>296</v>
      </c>
      <c r="E199" s="27">
        <f>IF(COUNT(E179:E198), SUM(E179:E198) / COUNT(E179:E198), 0)</f>
        <v>-0.10022708462542956</v>
      </c>
      <c r="F199" s="28">
        <f>SUM(F179:F198)</f>
        <v>-150340.62693814436</v>
      </c>
      <c r="G199" s="26" t="s">
        <v>296</v>
      </c>
      <c r="H199" s="27">
        <f>IF(COUNT(H179:H198), SUM(H179:H198) / COUNT(H179:H198), 0)</f>
        <v>-0.1111362614287751</v>
      </c>
      <c r="I199" s="28">
        <f>SUM(I179:I198)</f>
        <v>-166704.39214316267</v>
      </c>
      <c r="J199" s="26" t="s">
        <v>296</v>
      </c>
      <c r="K199" s="27">
        <f>IF(COUNT(K179:K198), SUM(K179:K198) / COUNT(K179:K198), 0)</f>
        <v>-0.1327519279240113</v>
      </c>
      <c r="L199" s="28">
        <f>SUM(L179:L198)</f>
        <v>-199127.89188601699</v>
      </c>
      <c r="M199" s="26" t="s">
        <v>296</v>
      </c>
      <c r="N199" s="27">
        <f>IF(COUNT(N179:N198), SUM(N179:N198) / COUNT(N179:N198), 0)</f>
        <v>-0.14326087698369308</v>
      </c>
      <c r="O199" s="28">
        <f>SUM(O179:O198)</f>
        <v>-214891.31547553962</v>
      </c>
      <c r="Q199" s="246"/>
      <c r="R199" s="247"/>
      <c r="S199" s="24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90CC8-FE14-41AB-A82A-459CCAD6601C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2" t="s">
        <v>0</v>
      </c>
      <c r="B1" s="263"/>
      <c r="C1" s="263"/>
      <c r="D1" s="263"/>
      <c r="E1" s="263"/>
      <c r="F1" s="264"/>
      <c r="G1" s="293">
        <v>44366</v>
      </c>
      <c r="H1" s="294"/>
      <c r="I1" s="295"/>
      <c r="J1" s="262" t="s">
        <v>1</v>
      </c>
      <c r="K1" s="263"/>
      <c r="L1" s="263"/>
      <c r="M1" s="263"/>
      <c r="N1" s="263"/>
      <c r="O1" s="264"/>
      <c r="Q1" s="262" t="s">
        <v>2</v>
      </c>
      <c r="R1" s="264"/>
    </row>
    <row r="2" spans="1:19" ht="17.25" customHeight="1">
      <c r="A2" s="117" t="s">
        <v>3</v>
      </c>
      <c r="B2" s="296" t="s">
        <v>8</v>
      </c>
      <c r="C2" s="297"/>
      <c r="D2" s="297"/>
      <c r="E2" s="297"/>
      <c r="F2" s="298"/>
      <c r="G2" s="290" t="s">
        <v>46</v>
      </c>
      <c r="H2" s="291"/>
      <c r="I2" s="292"/>
      <c r="J2" s="1" t="s">
        <v>3</v>
      </c>
      <c r="K2" s="296" t="s">
        <v>345</v>
      </c>
      <c r="L2" s="297"/>
      <c r="M2" s="297"/>
      <c r="N2" s="297"/>
      <c r="O2" s="298"/>
      <c r="Q2" s="2" t="s">
        <v>6</v>
      </c>
      <c r="R2" s="3">
        <v>0.375</v>
      </c>
    </row>
    <row r="3" spans="1:19" ht="17.25" customHeight="1" thickBot="1">
      <c r="A3" s="118" t="s">
        <v>7</v>
      </c>
      <c r="B3" s="287" t="s">
        <v>353</v>
      </c>
      <c r="C3" s="288"/>
      <c r="D3" s="288"/>
      <c r="E3" s="288"/>
      <c r="F3" s="289"/>
      <c r="G3" s="28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-60,963 KRW (-3.05%)</v>
      </c>
      <c r="H3" s="284"/>
      <c r="I3" s="285"/>
      <c r="J3" s="4" t="s">
        <v>7</v>
      </c>
      <c r="K3" s="287" t="s">
        <v>346</v>
      </c>
      <c r="L3" s="288"/>
      <c r="M3" s="288"/>
      <c r="N3" s="288"/>
      <c r="O3" s="28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7" t="s">
        <v>16</v>
      </c>
      <c r="C4" s="288"/>
      <c r="D4" s="288"/>
      <c r="E4" s="288"/>
      <c r="F4" s="289"/>
      <c r="G4" s="290" t="s">
        <v>44</v>
      </c>
      <c r="H4" s="291"/>
      <c r="I4" s="292"/>
      <c r="J4" s="4" t="s">
        <v>11</v>
      </c>
      <c r="K4" s="287" t="s">
        <v>347</v>
      </c>
      <c r="L4" s="288"/>
      <c r="M4" s="288"/>
      <c r="N4" s="288"/>
      <c r="O4" s="28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7" t="s">
        <v>344</v>
      </c>
      <c r="C5" s="288"/>
      <c r="D5" s="288"/>
      <c r="E5" s="288"/>
      <c r="F5" s="289"/>
      <c r="G5" s="28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-79,547 KRW (-3.98%)</v>
      </c>
      <c r="H5" s="284"/>
      <c r="I5" s="285"/>
      <c r="J5" s="4" t="s">
        <v>15</v>
      </c>
      <c r="K5" s="287" t="s">
        <v>348</v>
      </c>
      <c r="L5" s="288"/>
      <c r="M5" s="288"/>
      <c r="N5" s="288"/>
      <c r="O5" s="289"/>
    </row>
    <row r="6" spans="1:19">
      <c r="A6" s="118" t="s">
        <v>18</v>
      </c>
      <c r="B6" s="287"/>
      <c r="C6" s="288"/>
      <c r="D6" s="288"/>
      <c r="E6" s="288"/>
      <c r="F6" s="289"/>
      <c r="G6" s="290" t="s">
        <v>45</v>
      </c>
      <c r="H6" s="291"/>
      <c r="I6" s="292"/>
      <c r="J6" s="4" t="s">
        <v>18</v>
      </c>
      <c r="K6" s="287" t="s">
        <v>349</v>
      </c>
      <c r="L6" s="288"/>
      <c r="M6" s="288"/>
      <c r="N6" s="288"/>
      <c r="O6" s="289"/>
    </row>
    <row r="7" spans="1:19" ht="17.25" thickBot="1">
      <c r="A7" s="118" t="s">
        <v>21</v>
      </c>
      <c r="B7" s="287"/>
      <c r="C7" s="288"/>
      <c r="D7" s="288"/>
      <c r="E7" s="288"/>
      <c r="F7" s="289"/>
      <c r="G7" s="28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-21,519 KRW (-1.08%)</v>
      </c>
      <c r="H7" s="284"/>
      <c r="I7" s="285"/>
      <c r="J7" s="4" t="s">
        <v>21</v>
      </c>
      <c r="K7" s="287" t="s">
        <v>350</v>
      </c>
      <c r="L7" s="288"/>
      <c r="M7" s="288"/>
      <c r="N7" s="288"/>
      <c r="O7" s="289"/>
    </row>
    <row r="8" spans="1:19" ht="17.25" thickBot="1">
      <c r="A8" s="118" t="s">
        <v>24</v>
      </c>
      <c r="B8" s="287"/>
      <c r="C8" s="288"/>
      <c r="D8" s="288"/>
      <c r="E8" s="288"/>
      <c r="F8" s="289"/>
      <c r="G8" s="290" t="s">
        <v>280</v>
      </c>
      <c r="H8" s="291"/>
      <c r="I8" s="292"/>
      <c r="J8" s="4" t="s">
        <v>24</v>
      </c>
      <c r="K8" s="287"/>
      <c r="L8" s="288"/>
      <c r="M8" s="288"/>
      <c r="N8" s="288"/>
      <c r="O8" s="289"/>
      <c r="Q8" s="262" t="s">
        <v>27</v>
      </c>
      <c r="R8" s="264"/>
    </row>
    <row r="9" spans="1:19" ht="17.25" thickBot="1">
      <c r="A9" s="118" t="s">
        <v>28</v>
      </c>
      <c r="B9" s="287"/>
      <c r="C9" s="288"/>
      <c r="D9" s="288"/>
      <c r="E9" s="288"/>
      <c r="F9" s="289"/>
      <c r="G9" s="28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72,512 KRW (3.63%)</v>
      </c>
      <c r="H9" s="284"/>
      <c r="I9" s="285"/>
      <c r="J9" s="4" t="s">
        <v>28</v>
      </c>
      <c r="K9" s="287"/>
      <c r="L9" s="288"/>
      <c r="M9" s="288"/>
      <c r="N9" s="288"/>
      <c r="O9" s="289"/>
      <c r="Q9" s="2" t="s">
        <v>29</v>
      </c>
      <c r="R9" s="6">
        <v>10</v>
      </c>
    </row>
    <row r="10" spans="1:19">
      <c r="A10" s="118" t="s">
        <v>30</v>
      </c>
      <c r="B10" s="287"/>
      <c r="C10" s="288"/>
      <c r="D10" s="288"/>
      <c r="E10" s="288"/>
      <c r="F10" s="289"/>
      <c r="G10" s="290" t="s">
        <v>47</v>
      </c>
      <c r="H10" s="291"/>
      <c r="I10" s="292"/>
      <c r="J10" s="4" t="s">
        <v>30</v>
      </c>
      <c r="K10" s="287" t="s">
        <v>351</v>
      </c>
      <c r="L10" s="288"/>
      <c r="M10" s="288"/>
      <c r="N10" s="288"/>
      <c r="O10" s="289"/>
      <c r="Q10" s="2" t="s">
        <v>31</v>
      </c>
      <c r="R10" s="6">
        <v>100</v>
      </c>
    </row>
    <row r="11" spans="1:19" ht="17.25" thickBot="1">
      <c r="A11" s="119" t="s">
        <v>32</v>
      </c>
      <c r="B11" s="280" t="s">
        <v>352</v>
      </c>
      <c r="C11" s="281"/>
      <c r="D11" s="281"/>
      <c r="E11" s="281"/>
      <c r="F11" s="282"/>
      <c r="G11" s="28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-21,519 KRW (-1.08%)</v>
      </c>
      <c r="H11" s="284"/>
      <c r="I11" s="285"/>
      <c r="J11" s="7" t="s">
        <v>32</v>
      </c>
      <c r="K11" s="280" t="s">
        <v>343</v>
      </c>
      <c r="L11" s="281"/>
      <c r="M11" s="281"/>
      <c r="N11" s="281"/>
      <c r="O11" s="282"/>
      <c r="Q11" s="65" t="s">
        <v>33</v>
      </c>
      <c r="R11" s="8">
        <v>1000</v>
      </c>
    </row>
    <row r="12" spans="1:19" ht="17.25" thickBot="1"/>
    <row r="13" spans="1:19" ht="17.25" customHeight="1" thickBot="1">
      <c r="A13" s="262" t="s">
        <v>34</v>
      </c>
      <c r="B13" s="263"/>
      <c r="C13" s="263"/>
      <c r="D13" s="263"/>
      <c r="E13" s="263"/>
      <c r="F13" s="263"/>
      <c r="G13" s="263"/>
      <c r="H13" s="263"/>
      <c r="I13" s="263"/>
      <c r="J13" s="263"/>
      <c r="K13" s="263"/>
      <c r="L13" s="263"/>
      <c r="M13" s="263"/>
      <c r="N13" s="263"/>
      <c r="O13" s="264"/>
      <c r="Q13" s="261"/>
      <c r="R13" s="261"/>
      <c r="S13" s="261"/>
    </row>
    <row r="14" spans="1:19" ht="17.25" customHeight="1" thickBot="1">
      <c r="A14" s="232" t="s">
        <v>35</v>
      </c>
      <c r="B14" s="262" t="s">
        <v>36</v>
      </c>
      <c r="C14" s="264"/>
      <c r="D14" s="262" t="s">
        <v>37</v>
      </c>
      <c r="E14" s="263"/>
      <c r="F14" s="264"/>
      <c r="G14" s="265">
        <f>_xlfn.IFNA(VLOOKUP(B14, 현재가테이블!$B$2:$D$200, 2, FALSE), "-")</f>
        <v>40538000</v>
      </c>
      <c r="H14" s="266"/>
      <c r="I14" s="267"/>
      <c r="J14" s="262" t="s">
        <v>38</v>
      </c>
      <c r="K14" s="263"/>
      <c r="L14" s="264"/>
      <c r="M14" s="268">
        <f>_xlfn.IFNA(VLOOKUP(B14, 현재가테이블!$B$2:$D$200, 3, FALSE), "-")</f>
        <v>-3.68275993E-2</v>
      </c>
      <c r="N14" s="269"/>
      <c r="O14" s="270"/>
      <c r="Q14" s="261"/>
      <c r="R14" s="261"/>
      <c r="S14" s="261"/>
    </row>
    <row r="15" spans="1:19" ht="17.25" customHeight="1" thickBot="1">
      <c r="A15" s="299" t="s">
        <v>39</v>
      </c>
      <c r="B15" s="300" t="str">
        <f>TEXT($G$1, "[$-ko-KR]yyyy-mm-dd(ddd) ") &amp; "오전 00:00"</f>
        <v>2021-06-19(토) 오전 00:00</v>
      </c>
      <c r="C15" s="301"/>
      <c r="D15" s="275" t="str">
        <f>TEXT($G$1, "[$-ko-KR]yyyy-mm-dd(ddd) ") &amp; "오후 14:00"</f>
        <v>2021-06-19(토) 오후 14:00</v>
      </c>
      <c r="E15" s="276"/>
      <c r="F15" s="277"/>
      <c r="G15" s="275" t="str">
        <f>TEXT($G$1, "[$-ko-KR]yyyy-mm-dd(ddd) ") &amp; "오후 19:00"</f>
        <v>2021-06-19(토) 오후 19:00</v>
      </c>
      <c r="H15" s="276"/>
      <c r="I15" s="277"/>
      <c r="J15" s="275" t="str">
        <f>TEXT($G$1, "[$-ko-KR]yyyy-mm-dd(ddd) ") &amp; "오후 21:00"</f>
        <v>2021-06-19(토) 오후 21:00</v>
      </c>
      <c r="K15" s="276"/>
      <c r="L15" s="277"/>
      <c r="M15" s="275" t="str">
        <f>TEXT($G$1+1, "[$-ko-KR]yyyy-mm-dd(ddd) ") &amp; "오전 00:00"</f>
        <v>2021-06-20(일) 오전 00:00</v>
      </c>
      <c r="N15" s="276"/>
      <c r="O15" s="277"/>
      <c r="Q15" s="261"/>
      <c r="R15" s="261"/>
      <c r="S15" s="261"/>
    </row>
    <row r="16" spans="1:19" ht="17.25" customHeight="1" thickBot="1">
      <c r="A16" s="29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3" t="s">
        <v>37</v>
      </c>
      <c r="H16" s="234" t="s">
        <v>40</v>
      </c>
      <c r="I16" s="23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61" t="s">
        <v>199</v>
      </c>
      <c r="B17" s="124">
        <f>IF(NOT(ISBLANK(_xlfn.IFNA(VLOOKUP($A17, $A$40:$O$199, 2, FALSE), ))), _xlfn.IFNA(VLOOKUP($A17, $A$40:$O$199, 2, FALSE), ), "")</f>
        <v>183</v>
      </c>
      <c r="C17" s="76">
        <f>IF(NOT(ISBLANK(_xlfn.IFNA(VLOOKUP($A17, $A$40:$O$199, 3, FALSE), ))), _xlfn.IFNA(VLOOKUP($A17, $A$40:$O$199, 3, FALSE), ), "")</f>
        <v>0.13664596270000001</v>
      </c>
      <c r="D17" s="13">
        <f>IF(NOT(ISBLANK(_xlfn.IFNA(VLOOKUP($A17, $A$40:$O$199, 4, FALSE), ))), _xlfn.IFNA(VLOOKUP($A17, $A$40:$O$199, 4, FALSE), ), "")</f>
        <v>166</v>
      </c>
      <c r="E17" s="14">
        <f>IF(NOT(ISBLANK(_xlfn.IFNA(VLOOKUP($A17, $A$40:$O$199, 5, FALSE), ))), _xlfn.IFNA(VLOOKUP($A17, $A$40:$O$199, 5, FALSE), ), "")</f>
        <v>-9.2896174863387984E-2</v>
      </c>
      <c r="F17" s="16">
        <f>IF(NOT(ISBLANK(_xlfn.IFNA(VLOOKUP($A17, $A$40:$O$199, 6, FALSE), ))), _xlfn.IFNA(VLOOKUP($A17, $A$40:$O$199, 6, FALSE), ), "")</f>
        <v>-9289.6174863387987</v>
      </c>
      <c r="G17" s="29">
        <f>IF(NOT(ISBLANK(_xlfn.IFNA(VLOOKUP($A17, $A$40:$O$199, 7, FALSE), ))), _xlfn.IFNA(VLOOKUP($A17, $A$40:$O$199, 7, FALSE), ), "")</f>
        <v>168</v>
      </c>
      <c r="H17" s="14">
        <f>IF(NOT(ISBLANK(_xlfn.IFNA(VLOOKUP($A17, $A$40:$O$199, 8, FALSE), ))), _xlfn.IFNA(VLOOKUP($A17, $A$40:$O$199, 8, FALSE), ), "")</f>
        <v>-8.1967213114754092E-2</v>
      </c>
      <c r="I17" s="100">
        <f>IF(NOT(ISBLANK(_xlfn.IFNA(VLOOKUP($A17, $A$40:$O$199, 9, FALSE), ))), _xlfn.IFNA(VLOOKUP($A17, $A$40:$O$199, 9, FALSE), ), "")</f>
        <v>-8196.7213114754086</v>
      </c>
      <c r="J17" s="13">
        <f>IF(NOT(ISBLANK(_xlfn.IFNA(VLOOKUP($A17, $A$40:$O$199, 10, FALSE), ))), _xlfn.IFNA(VLOOKUP($A17, $A$40:$O$199, 10, FALSE), ), "")</f>
        <v>171</v>
      </c>
      <c r="K17" s="14">
        <f>IF(NOT(ISBLANK(_xlfn.IFNA(VLOOKUP($A17, $A$40:$O$199, 11, FALSE), ))), _xlfn.IFNA(VLOOKUP($A17, $A$40:$O$199, 11, FALSE), ), "")</f>
        <v>-6.5573770491803282E-2</v>
      </c>
      <c r="L17" s="16">
        <f>IF(NOT(ISBLANK(_xlfn.IFNA(VLOOKUP($A17, $A$40:$O$199, 12, FALSE), ))), _xlfn.IFNA(VLOOKUP($A17, $A$40:$O$199, 12, FALSE), ), "")</f>
        <v>-6557.377049180328</v>
      </c>
      <c r="M17" s="29">
        <f>IF(NOT(ISBLANK(_xlfn.IFNA(VLOOKUP($A17, $A$40:$O$199, 13, FALSE), ))), _xlfn.IFNA(VLOOKUP($A17, $A$40:$O$199, 13, FALSE), ), "")</f>
        <v>170</v>
      </c>
      <c r="N17" s="14">
        <f>IF(NOT(ISBLANK(_xlfn.IFNA(VLOOKUP($A17, $A$40:$O$199, 14, FALSE), ))), _xlfn.IFNA(VLOOKUP($A17, $A$40:$O$199, 14, FALSE), ), "")</f>
        <v>-7.1038251366120214E-2</v>
      </c>
      <c r="O17" s="16">
        <f>IF(NOT(ISBLANK(_xlfn.IFNA(VLOOKUP($A17, $A$40:$O$199, 15, FALSE), ))), _xlfn.IFNA(VLOOKUP($A17, $A$40:$O$199, 15, FALSE), ), "")</f>
        <v>-7103.8251366120212</v>
      </c>
      <c r="Q17" s="261"/>
      <c r="R17" s="261"/>
      <c r="S17" s="261"/>
    </row>
    <row r="18" spans="1:19" ht="17.25" customHeight="1" thickBot="1">
      <c r="A18" s="162" t="s">
        <v>142</v>
      </c>
      <c r="B18" s="126">
        <f t="shared" ref="B18:B36" si="0">IF(NOT(ISBLANK(_xlfn.IFNA(VLOOKUP($A18, $A$40:$O$199, 2, FALSE), ))), _xlfn.IFNA(VLOOKUP($A18, $A$40:$O$199, 2, FALSE), ), "")</f>
        <v>675</v>
      </c>
      <c r="C18" s="77">
        <f t="shared" ref="C18:C36" si="1">IF(NOT(ISBLANK(_xlfn.IFNA(VLOOKUP($A18, $A$40:$O$199, 3, FALSE), ))), _xlfn.IFNA(VLOOKUP($A18, $A$40:$O$199, 3, FALSE), ), "")</f>
        <v>4.8136645999999998E-2</v>
      </c>
      <c r="D18" s="15">
        <f t="shared" ref="D18:D36" si="2">IF(NOT(ISBLANK(_xlfn.IFNA(VLOOKUP($A18, $A$40:$O$199, 4, FALSE), ))), _xlfn.IFNA(VLOOKUP($A18, $A$40:$O$199, 4, FALSE), ), "")</f>
        <v>707</v>
      </c>
      <c r="E18" s="32">
        <f t="shared" ref="E18:E36" si="3">IF(NOT(ISBLANK(_xlfn.IFNA(VLOOKUP($A18, $A$40:$O$199, 5, FALSE), ))), _xlfn.IFNA(VLOOKUP($A18, $A$40:$O$199, 5, FALSE), ), "")</f>
        <v>4.7407407407407405E-2</v>
      </c>
      <c r="F18" s="18">
        <f t="shared" ref="F18:F36" si="4">IF(NOT(ISBLANK(_xlfn.IFNA(VLOOKUP($A18, $A$40:$O$199, 6, FALSE), ))), _xlfn.IFNA(VLOOKUP($A18, $A$40:$O$199, 6, FALSE), ), "")</f>
        <v>4740.7407407407409</v>
      </c>
      <c r="G18" s="31">
        <f t="shared" ref="G18:G36" si="5">IF(NOT(ISBLANK(_xlfn.IFNA(VLOOKUP($A18, $A$40:$O$199, 7, FALSE), ))), _xlfn.IFNA(VLOOKUP($A18, $A$40:$O$199, 7, FALSE), ), "")</f>
        <v>708</v>
      </c>
      <c r="H18" s="32">
        <f t="shared" ref="H18:H36" si="6">IF(NOT(ISBLANK(_xlfn.IFNA(VLOOKUP($A18, $A$40:$O$199, 8, FALSE), ))), _xlfn.IFNA(VLOOKUP($A18, $A$40:$O$199, 8, FALSE), ), "")</f>
        <v>4.8888888888888891E-2</v>
      </c>
      <c r="I18" s="101">
        <f t="shared" ref="I18:I36" si="7">IF(NOT(ISBLANK(_xlfn.IFNA(VLOOKUP($A18, $A$40:$O$199, 9, FALSE), ))), _xlfn.IFNA(VLOOKUP($A18, $A$40:$O$199, 9, FALSE), ), "")</f>
        <v>4888.8888888888896</v>
      </c>
      <c r="J18" s="15">
        <f t="shared" ref="J18:J36" si="8">IF(NOT(ISBLANK(_xlfn.IFNA(VLOOKUP($A18, $A$40:$O$199, 10, FALSE), ))), _xlfn.IFNA(VLOOKUP($A18, $A$40:$O$199, 10, FALSE), ), "")</f>
        <v>714</v>
      </c>
      <c r="K18" s="32">
        <f t="shared" ref="K18:K36" si="9">IF(NOT(ISBLANK(_xlfn.IFNA(VLOOKUP($A18, $A$40:$O$199, 11, FALSE), ))), _xlfn.IFNA(VLOOKUP($A18, $A$40:$O$199, 11, FALSE), ), "")</f>
        <v>5.7777777777777775E-2</v>
      </c>
      <c r="L18" s="18">
        <f t="shared" ref="L18:L36" si="10">IF(NOT(ISBLANK(_xlfn.IFNA(VLOOKUP($A18, $A$40:$O$199, 12, FALSE), ))), _xlfn.IFNA(VLOOKUP($A18, $A$40:$O$199, 12, FALSE), ), "")</f>
        <v>5777.7777777777774</v>
      </c>
      <c r="M18" s="31">
        <f t="shared" ref="M18:M36" si="11">IF(NOT(ISBLANK(_xlfn.IFNA(VLOOKUP($A18, $A$40:$O$199, 13, FALSE), ))), _xlfn.IFNA(VLOOKUP($A18, $A$40:$O$199, 13, FALSE), ), "")</f>
        <v>713</v>
      </c>
      <c r="N18" s="32">
        <f t="shared" ref="N18:N36" si="12">IF(NOT(ISBLANK(_xlfn.IFNA(VLOOKUP($A18, $A$40:$O$199, 14, FALSE), ))), _xlfn.IFNA(VLOOKUP($A18, $A$40:$O$199, 14, FALSE), ), "")</f>
        <v>5.6296296296296296E-2</v>
      </c>
      <c r="O18" s="18">
        <f t="shared" ref="O18:O36" si="13">IF(NOT(ISBLANK(_xlfn.IFNA(VLOOKUP($A18, $A$40:$O$199, 15, FALSE), ))), _xlfn.IFNA(VLOOKUP($A18, $A$40:$O$199, 15, FALSE), ), "")</f>
        <v>5629.6296296296296</v>
      </c>
      <c r="Q18" s="261"/>
      <c r="R18" s="261"/>
      <c r="S18" s="261"/>
    </row>
    <row r="19" spans="1:19" ht="17.25" customHeight="1" thickBot="1">
      <c r="A19" s="162" t="s">
        <v>214</v>
      </c>
      <c r="B19" s="126">
        <f t="shared" si="0"/>
        <v>235</v>
      </c>
      <c r="C19" s="77">
        <f t="shared" si="1"/>
        <v>0</v>
      </c>
      <c r="D19" s="15">
        <f t="shared" si="2"/>
        <v>223</v>
      </c>
      <c r="E19" s="32">
        <f t="shared" si="3"/>
        <v>-5.106382978723404E-2</v>
      </c>
      <c r="F19" s="18">
        <f t="shared" si="4"/>
        <v>-5106.3829787234035</v>
      </c>
      <c r="G19" s="31">
        <f t="shared" si="5"/>
        <v>223</v>
      </c>
      <c r="H19" s="32">
        <f t="shared" si="6"/>
        <v>-5.106382978723404E-2</v>
      </c>
      <c r="I19" s="101">
        <f t="shared" si="7"/>
        <v>-5106.3829787234035</v>
      </c>
      <c r="J19" s="15">
        <f t="shared" si="8"/>
        <v>226</v>
      </c>
      <c r="K19" s="32">
        <f t="shared" si="9"/>
        <v>-3.8297872340425532E-2</v>
      </c>
      <c r="L19" s="18">
        <f t="shared" si="10"/>
        <v>-3829.7872340425533</v>
      </c>
      <c r="M19" s="31">
        <f t="shared" si="11"/>
        <v>226</v>
      </c>
      <c r="N19" s="32">
        <f t="shared" si="12"/>
        <v>-3.8297872340425532E-2</v>
      </c>
      <c r="O19" s="18">
        <f t="shared" si="13"/>
        <v>-3829.7872340425533</v>
      </c>
      <c r="Q19" s="251"/>
      <c r="R19" s="251"/>
      <c r="S19" s="251"/>
    </row>
    <row r="20" spans="1:19" ht="17.25" customHeight="1" thickBot="1">
      <c r="A20" s="162" t="s">
        <v>54</v>
      </c>
      <c r="B20" s="126">
        <f t="shared" si="0"/>
        <v>241</v>
      </c>
      <c r="C20" s="77">
        <f t="shared" si="1"/>
        <v>-1.2295082000000001E-2</v>
      </c>
      <c r="D20" s="15">
        <f t="shared" si="2"/>
        <v>238</v>
      </c>
      <c r="E20" s="32">
        <f t="shared" si="3"/>
        <v>-1.2448132780082987E-2</v>
      </c>
      <c r="F20" s="18">
        <f t="shared" si="4"/>
        <v>-1244.8132780082988</v>
      </c>
      <c r="G20" s="31">
        <f t="shared" si="5"/>
        <v>237</v>
      </c>
      <c r="H20" s="32">
        <f t="shared" si="6"/>
        <v>-1.6597510373443983E-2</v>
      </c>
      <c r="I20" s="101">
        <f t="shared" si="7"/>
        <v>-1659.7510373443984</v>
      </c>
      <c r="J20" s="15">
        <f t="shared" si="8"/>
        <v>238</v>
      </c>
      <c r="K20" s="32">
        <f t="shared" si="9"/>
        <v>-1.2448132780082987E-2</v>
      </c>
      <c r="L20" s="18">
        <f t="shared" si="10"/>
        <v>-1244.8132780082988</v>
      </c>
      <c r="M20" s="31">
        <f t="shared" si="11"/>
        <v>235</v>
      </c>
      <c r="N20" s="32">
        <f t="shared" si="12"/>
        <v>-2.4896265560165973E-2</v>
      </c>
      <c r="O20" s="18">
        <f t="shared" si="13"/>
        <v>-2489.6265560165975</v>
      </c>
      <c r="Q20" s="251"/>
      <c r="R20" s="251"/>
      <c r="S20" s="251"/>
    </row>
    <row r="21" spans="1:19" ht="17.25" customHeight="1" thickBot="1">
      <c r="A21" s="163" t="s">
        <v>92</v>
      </c>
      <c r="B21" s="128">
        <f t="shared" si="0"/>
        <v>952</v>
      </c>
      <c r="C21" s="78">
        <f t="shared" si="1"/>
        <v>-3.8383838400000002E-2</v>
      </c>
      <c r="D21" s="20">
        <f t="shared" si="2"/>
        <v>931</v>
      </c>
      <c r="E21" s="21">
        <f t="shared" si="3"/>
        <v>-2.2058823529411766E-2</v>
      </c>
      <c r="F21" s="22">
        <f t="shared" si="4"/>
        <v>-2205.8823529411766</v>
      </c>
      <c r="G21" s="30">
        <f t="shared" si="5"/>
        <v>929</v>
      </c>
      <c r="H21" s="21">
        <f t="shared" si="6"/>
        <v>-2.4159663865546219E-2</v>
      </c>
      <c r="I21" s="105">
        <f t="shared" si="7"/>
        <v>-2415.9663865546217</v>
      </c>
      <c r="J21" s="20">
        <f t="shared" si="8"/>
        <v>937</v>
      </c>
      <c r="K21" s="21">
        <f t="shared" si="9"/>
        <v>-1.5756302521008403E-2</v>
      </c>
      <c r="L21" s="22">
        <f t="shared" si="10"/>
        <v>-1575.6302521008404</v>
      </c>
      <c r="M21" s="30">
        <f t="shared" si="11"/>
        <v>935</v>
      </c>
      <c r="N21" s="21">
        <f t="shared" si="12"/>
        <v>-1.7857142857142856E-2</v>
      </c>
      <c r="O21" s="22">
        <f t="shared" si="13"/>
        <v>-1785.7142857142856</v>
      </c>
      <c r="Q21" s="251"/>
      <c r="R21" s="251"/>
      <c r="S21" s="251"/>
    </row>
    <row r="22" spans="1:19" ht="17.25" customHeight="1" thickBot="1">
      <c r="A22" s="162" t="s">
        <v>291</v>
      </c>
      <c r="B22" s="129">
        <f t="shared" si="0"/>
        <v>343</v>
      </c>
      <c r="C22" s="80">
        <f t="shared" si="1"/>
        <v>-4.7222222199999997E-2</v>
      </c>
      <c r="D22" s="106">
        <f t="shared" si="2"/>
        <v>343</v>
      </c>
      <c r="E22" s="107">
        <f t="shared" si="3"/>
        <v>0</v>
      </c>
      <c r="F22" s="108">
        <f t="shared" si="4"/>
        <v>0</v>
      </c>
      <c r="G22" s="109">
        <f t="shared" si="5"/>
        <v>342</v>
      </c>
      <c r="H22" s="107">
        <f t="shared" si="6"/>
        <v>-2.9154518950437317E-3</v>
      </c>
      <c r="I22" s="110">
        <f t="shared" si="7"/>
        <v>-291.54518950437318</v>
      </c>
      <c r="J22" s="106">
        <f t="shared" si="8"/>
        <v>346</v>
      </c>
      <c r="K22" s="107">
        <f t="shared" si="9"/>
        <v>8.7463556851311956E-3</v>
      </c>
      <c r="L22" s="108">
        <f t="shared" si="10"/>
        <v>874.63556851311955</v>
      </c>
      <c r="M22" s="109">
        <f t="shared" si="11"/>
        <v>345</v>
      </c>
      <c r="N22" s="107">
        <f t="shared" si="12"/>
        <v>5.8309037900874635E-3</v>
      </c>
      <c r="O22" s="108">
        <f t="shared" si="13"/>
        <v>583.09037900874637</v>
      </c>
      <c r="Q22" s="251"/>
      <c r="R22" s="251"/>
      <c r="S22" s="251"/>
    </row>
    <row r="23" spans="1:19" ht="17.25" customHeight="1" thickBot="1">
      <c r="A23" s="162" t="s">
        <v>132</v>
      </c>
      <c r="B23" s="126">
        <f t="shared" si="0"/>
        <v>120</v>
      </c>
      <c r="C23" s="77">
        <f t="shared" si="1"/>
        <v>-4.7619047599999999E-2</v>
      </c>
      <c r="D23" s="15">
        <f t="shared" si="2"/>
        <v>117</v>
      </c>
      <c r="E23" s="32">
        <f t="shared" si="3"/>
        <v>-2.5000000000000001E-2</v>
      </c>
      <c r="F23" s="18">
        <f t="shared" si="4"/>
        <v>-2500</v>
      </c>
      <c r="G23" s="31">
        <f t="shared" si="5"/>
        <v>117</v>
      </c>
      <c r="H23" s="32">
        <f t="shared" si="6"/>
        <v>-2.5000000000000001E-2</v>
      </c>
      <c r="I23" s="101">
        <f t="shared" si="7"/>
        <v>-2500</v>
      </c>
      <c r="J23" s="15">
        <f t="shared" si="8"/>
        <v>119</v>
      </c>
      <c r="K23" s="32">
        <f t="shared" si="9"/>
        <v>-8.3333333333333332E-3</v>
      </c>
      <c r="L23" s="18">
        <f t="shared" si="10"/>
        <v>-833.33333333333337</v>
      </c>
      <c r="M23" s="31">
        <f t="shared" si="11"/>
        <v>119</v>
      </c>
      <c r="N23" s="32">
        <f t="shared" si="12"/>
        <v>-8.3333333333333332E-3</v>
      </c>
      <c r="O23" s="18">
        <f t="shared" si="13"/>
        <v>-833.33333333333337</v>
      </c>
      <c r="Q23" s="251"/>
      <c r="R23" s="251"/>
      <c r="S23" s="251"/>
    </row>
    <row r="24" spans="1:19" ht="17.25" customHeight="1" thickBot="1">
      <c r="A24" s="162" t="s">
        <v>279</v>
      </c>
      <c r="B24" s="126">
        <f t="shared" si="0"/>
        <v>185</v>
      </c>
      <c r="C24" s="77">
        <f t="shared" si="1"/>
        <v>-5.1282051299999999E-2</v>
      </c>
      <c r="D24" s="15">
        <f t="shared" si="2"/>
        <v>181</v>
      </c>
      <c r="E24" s="32">
        <f t="shared" si="3"/>
        <v>-2.1621621621621623E-2</v>
      </c>
      <c r="F24" s="18">
        <f t="shared" si="4"/>
        <v>-2162.1621621621621</v>
      </c>
      <c r="G24" s="31">
        <f t="shared" si="5"/>
        <v>182</v>
      </c>
      <c r="H24" s="32">
        <f t="shared" si="6"/>
        <v>-1.6216216216216217E-2</v>
      </c>
      <c r="I24" s="101">
        <f t="shared" si="7"/>
        <v>-1621.6216216216217</v>
      </c>
      <c r="J24" s="15">
        <f t="shared" si="8"/>
        <v>183</v>
      </c>
      <c r="K24" s="32">
        <f t="shared" si="9"/>
        <v>-1.0810810810810811E-2</v>
      </c>
      <c r="L24" s="18">
        <f t="shared" si="10"/>
        <v>-1081.081081081081</v>
      </c>
      <c r="M24" s="31">
        <f t="shared" si="11"/>
        <v>184</v>
      </c>
      <c r="N24" s="32">
        <f t="shared" si="12"/>
        <v>-5.4054054054054057E-3</v>
      </c>
      <c r="O24" s="18">
        <f t="shared" si="13"/>
        <v>-540.54054054054052</v>
      </c>
      <c r="Q24" s="251"/>
      <c r="R24" s="251"/>
      <c r="S24" s="251"/>
    </row>
    <row r="25" spans="1:19" ht="17.25" customHeight="1" thickBot="1">
      <c r="A25" s="162" t="s">
        <v>120</v>
      </c>
      <c r="B25" s="126">
        <f t="shared" si="0"/>
        <v>128</v>
      </c>
      <c r="C25" s="77">
        <f t="shared" si="1"/>
        <v>-5.1851851900000002E-2</v>
      </c>
      <c r="D25" s="15">
        <f t="shared" si="2"/>
        <v>123</v>
      </c>
      <c r="E25" s="32">
        <f t="shared" si="3"/>
        <v>-3.90625E-2</v>
      </c>
      <c r="F25" s="18">
        <f t="shared" si="4"/>
        <v>-3906.25</v>
      </c>
      <c r="G25" s="31">
        <f t="shared" si="5"/>
        <v>126</v>
      </c>
      <c r="H25" s="32">
        <f t="shared" si="6"/>
        <v>-1.5625E-2</v>
      </c>
      <c r="I25" s="101">
        <f t="shared" si="7"/>
        <v>-1562.5</v>
      </c>
      <c r="J25" s="15">
        <f t="shared" si="8"/>
        <v>128</v>
      </c>
      <c r="K25" s="32">
        <f t="shared" si="9"/>
        <v>0</v>
      </c>
      <c r="L25" s="18">
        <f t="shared" si="10"/>
        <v>0</v>
      </c>
      <c r="M25" s="31">
        <f t="shared" si="11"/>
        <v>130</v>
      </c>
      <c r="N25" s="32">
        <f t="shared" si="12"/>
        <v>1.5625E-2</v>
      </c>
      <c r="O25" s="18">
        <f t="shared" si="13"/>
        <v>1562.5</v>
      </c>
      <c r="Q25" s="33"/>
      <c r="R25" s="33"/>
    </row>
    <row r="26" spans="1:19" ht="17.25" customHeight="1" thickBot="1">
      <c r="A26" s="130" t="s">
        <v>253</v>
      </c>
      <c r="B26" s="131">
        <f t="shared" si="0"/>
        <v>374</v>
      </c>
      <c r="C26" s="79">
        <f t="shared" si="1"/>
        <v>-5.3164557000000001E-2</v>
      </c>
      <c r="D26" s="24">
        <f t="shared" si="2"/>
        <v>354</v>
      </c>
      <c r="E26" s="25">
        <f t="shared" si="3"/>
        <v>-5.3475935828877004E-2</v>
      </c>
      <c r="F26" s="104">
        <f t="shared" si="4"/>
        <v>-5347.5935828877</v>
      </c>
      <c r="G26" s="102">
        <f t="shared" si="5"/>
        <v>354</v>
      </c>
      <c r="H26" s="25">
        <f t="shared" si="6"/>
        <v>-5.3475935828877004E-2</v>
      </c>
      <c r="I26" s="103">
        <f t="shared" si="7"/>
        <v>-5347.5935828877</v>
      </c>
      <c r="J26" s="24">
        <f t="shared" si="8"/>
        <v>354</v>
      </c>
      <c r="K26" s="25">
        <f t="shared" si="9"/>
        <v>-5.3475935828877004E-2</v>
      </c>
      <c r="L26" s="104">
        <f t="shared" si="10"/>
        <v>-5347.5935828877</v>
      </c>
      <c r="M26" s="102">
        <f t="shared" si="11"/>
        <v>359</v>
      </c>
      <c r="N26" s="25">
        <f t="shared" si="12"/>
        <v>-4.0106951871657755E-2</v>
      </c>
      <c r="O26" s="104">
        <f t="shared" si="13"/>
        <v>-4010.6951871657757</v>
      </c>
      <c r="Q26" s="252"/>
      <c r="R26" s="253"/>
      <c r="S26" s="254"/>
    </row>
    <row r="27" spans="1:19" ht="17.25" customHeight="1">
      <c r="A27" s="161" t="s">
        <v>51</v>
      </c>
      <c r="B27" s="124">
        <f t="shared" si="0"/>
        <v>354</v>
      </c>
      <c r="C27" s="76">
        <f t="shared" si="1"/>
        <v>-5.3475935799999999E-2</v>
      </c>
      <c r="D27" s="13">
        <f t="shared" si="2"/>
        <v>349</v>
      </c>
      <c r="E27" s="14">
        <f t="shared" si="3"/>
        <v>-1.4124293785310734E-2</v>
      </c>
      <c r="F27" s="16">
        <f t="shared" si="4"/>
        <v>-1412.4293785310736</v>
      </c>
      <c r="G27" s="29">
        <f t="shared" si="5"/>
        <v>352</v>
      </c>
      <c r="H27" s="14">
        <f t="shared" si="6"/>
        <v>-5.6497175141242938E-3</v>
      </c>
      <c r="I27" s="100">
        <f t="shared" si="7"/>
        <v>-564.9717514124294</v>
      </c>
      <c r="J27" s="13">
        <f t="shared" si="8"/>
        <v>357</v>
      </c>
      <c r="K27" s="14">
        <f t="shared" si="9"/>
        <v>8.4745762711864406E-3</v>
      </c>
      <c r="L27" s="16">
        <f t="shared" si="10"/>
        <v>847.45762711864404</v>
      </c>
      <c r="M27" s="29">
        <f t="shared" si="11"/>
        <v>354</v>
      </c>
      <c r="N27" s="14">
        <f t="shared" si="12"/>
        <v>0</v>
      </c>
      <c r="O27" s="16">
        <f t="shared" si="13"/>
        <v>0</v>
      </c>
      <c r="Q27" s="255"/>
      <c r="R27" s="256"/>
      <c r="S27" s="257"/>
    </row>
    <row r="28" spans="1:19" ht="17.25" customHeight="1" thickBot="1">
      <c r="A28" s="162" t="s">
        <v>116</v>
      </c>
      <c r="B28" s="126">
        <f t="shared" si="0"/>
        <v>302</v>
      </c>
      <c r="C28" s="77">
        <f t="shared" si="1"/>
        <v>-5.6250000000000001E-2</v>
      </c>
      <c r="D28" s="15">
        <f t="shared" si="2"/>
        <v>294</v>
      </c>
      <c r="E28" s="32">
        <f t="shared" si="3"/>
        <v>-2.6490066225165563E-2</v>
      </c>
      <c r="F28" s="18">
        <f t="shared" si="4"/>
        <v>-2649.0066225165565</v>
      </c>
      <c r="G28" s="31">
        <f t="shared" si="5"/>
        <v>296</v>
      </c>
      <c r="H28" s="32">
        <f t="shared" si="6"/>
        <v>-1.9867549668874173E-2</v>
      </c>
      <c r="I28" s="101">
        <f t="shared" si="7"/>
        <v>-1986.7549668874174</v>
      </c>
      <c r="J28" s="15">
        <f t="shared" si="8"/>
        <v>297</v>
      </c>
      <c r="K28" s="32">
        <f t="shared" si="9"/>
        <v>-1.6556291390728478E-2</v>
      </c>
      <c r="L28" s="18">
        <f t="shared" si="10"/>
        <v>-1655.6291390728479</v>
      </c>
      <c r="M28" s="31">
        <f t="shared" si="11"/>
        <v>296</v>
      </c>
      <c r="N28" s="32">
        <f t="shared" si="12"/>
        <v>-1.9867549668874173E-2</v>
      </c>
      <c r="O28" s="18">
        <f t="shared" si="13"/>
        <v>-1986.7549668874174</v>
      </c>
      <c r="Q28" s="258"/>
      <c r="R28" s="259"/>
      <c r="S28" s="260"/>
    </row>
    <row r="29" spans="1:19" ht="17.25" customHeight="1" thickBot="1">
      <c r="A29" s="162" t="s">
        <v>165</v>
      </c>
      <c r="B29" s="126">
        <f t="shared" si="0"/>
        <v>995</v>
      </c>
      <c r="C29" s="77">
        <f t="shared" si="1"/>
        <v>-5.6872037899999998E-2</v>
      </c>
      <c r="D29" s="15">
        <f t="shared" si="2"/>
        <v>963</v>
      </c>
      <c r="E29" s="32">
        <f t="shared" si="3"/>
        <v>-3.2160804020100506E-2</v>
      </c>
      <c r="F29" s="18">
        <f t="shared" si="4"/>
        <v>-3216.0804020100504</v>
      </c>
      <c r="G29" s="31">
        <f t="shared" si="5"/>
        <v>986</v>
      </c>
      <c r="H29" s="32">
        <f t="shared" si="6"/>
        <v>-9.0452261306532659E-3</v>
      </c>
      <c r="I29" s="101">
        <f t="shared" si="7"/>
        <v>-904.5226130653266</v>
      </c>
      <c r="J29" s="15">
        <f t="shared" si="8"/>
        <v>982</v>
      </c>
      <c r="K29" s="32">
        <f t="shared" si="9"/>
        <v>-1.3065326633165829E-2</v>
      </c>
      <c r="L29" s="18">
        <f t="shared" si="10"/>
        <v>-1306.532663316583</v>
      </c>
      <c r="M29" s="31">
        <f t="shared" si="11"/>
        <v>970</v>
      </c>
      <c r="N29" s="32">
        <f t="shared" si="12"/>
        <v>-2.5125628140703519E-2</v>
      </c>
      <c r="O29" s="18">
        <f t="shared" si="13"/>
        <v>-2512.562814070352</v>
      </c>
      <c r="Q29" s="251"/>
      <c r="R29" s="251"/>
      <c r="S29" s="251"/>
    </row>
    <row r="30" spans="1:19" ht="17.25" customHeight="1" thickBot="1">
      <c r="A30" s="162" t="s">
        <v>57</v>
      </c>
      <c r="B30" s="126">
        <f t="shared" si="0"/>
        <v>181</v>
      </c>
      <c r="C30" s="77">
        <f t="shared" si="1"/>
        <v>-5.72916667E-2</v>
      </c>
      <c r="D30" s="15">
        <f t="shared" si="2"/>
        <v>175</v>
      </c>
      <c r="E30" s="32">
        <f t="shared" si="3"/>
        <v>-3.3149171270718231E-2</v>
      </c>
      <c r="F30" s="18">
        <f t="shared" si="4"/>
        <v>-3314.917127071823</v>
      </c>
      <c r="G30" s="31">
        <f t="shared" si="5"/>
        <v>177</v>
      </c>
      <c r="H30" s="32">
        <f t="shared" si="6"/>
        <v>-2.2099447513812154E-2</v>
      </c>
      <c r="I30" s="101">
        <f t="shared" si="7"/>
        <v>-2209.9447513812152</v>
      </c>
      <c r="J30" s="15">
        <f t="shared" si="8"/>
        <v>178</v>
      </c>
      <c r="K30" s="32">
        <f t="shared" si="9"/>
        <v>-1.6574585635359115E-2</v>
      </c>
      <c r="L30" s="18">
        <f t="shared" si="10"/>
        <v>-1657.4585635359115</v>
      </c>
      <c r="M30" s="31">
        <f t="shared" si="11"/>
        <v>177</v>
      </c>
      <c r="N30" s="32">
        <f t="shared" si="12"/>
        <v>-2.2099447513812154E-2</v>
      </c>
      <c r="O30" s="18">
        <f t="shared" si="13"/>
        <v>-2209.9447513812152</v>
      </c>
      <c r="Q30" s="261"/>
      <c r="R30" s="261"/>
      <c r="S30" s="261"/>
    </row>
    <row r="31" spans="1:19" ht="17.25" customHeight="1" thickBot="1">
      <c r="A31" s="163" t="s">
        <v>265</v>
      </c>
      <c r="B31" s="128">
        <f t="shared" si="0"/>
        <v>308</v>
      </c>
      <c r="C31" s="78">
        <f t="shared" si="1"/>
        <v>-5.8103975500000002E-2</v>
      </c>
      <c r="D31" s="20">
        <f t="shared" si="2"/>
        <v>305</v>
      </c>
      <c r="E31" s="21">
        <f t="shared" si="3"/>
        <v>-9.74025974025974E-3</v>
      </c>
      <c r="F31" s="22">
        <f t="shared" si="4"/>
        <v>-974.02597402597405</v>
      </c>
      <c r="G31" s="30">
        <f t="shared" si="5"/>
        <v>309</v>
      </c>
      <c r="H31" s="21">
        <f t="shared" si="6"/>
        <v>3.246753246753247E-3</v>
      </c>
      <c r="I31" s="105">
        <f t="shared" si="7"/>
        <v>324.6753246753247</v>
      </c>
      <c r="J31" s="20">
        <f t="shared" si="8"/>
        <v>312</v>
      </c>
      <c r="K31" s="21">
        <f t="shared" si="9"/>
        <v>1.2987012987012988E-2</v>
      </c>
      <c r="L31" s="22">
        <f t="shared" si="10"/>
        <v>1298.7012987012988</v>
      </c>
      <c r="M31" s="30">
        <f t="shared" si="11"/>
        <v>310</v>
      </c>
      <c r="N31" s="21">
        <f t="shared" si="12"/>
        <v>6.4935064935064939E-3</v>
      </c>
      <c r="O31" s="22">
        <f t="shared" si="13"/>
        <v>649.35064935064941</v>
      </c>
      <c r="Q31" s="261"/>
      <c r="R31" s="261"/>
      <c r="S31" s="261"/>
    </row>
    <row r="32" spans="1:19" ht="17.25" customHeight="1" thickBot="1">
      <c r="A32" s="162" t="s">
        <v>106</v>
      </c>
      <c r="B32" s="129">
        <f t="shared" si="0"/>
        <v>973</v>
      </c>
      <c r="C32" s="80">
        <f t="shared" si="1"/>
        <v>-5.99033816E-2</v>
      </c>
      <c r="D32" s="106">
        <f t="shared" si="2"/>
        <v>950</v>
      </c>
      <c r="E32" s="107">
        <f t="shared" si="3"/>
        <v>-2.3638232271325797E-2</v>
      </c>
      <c r="F32" s="108">
        <f t="shared" si="4"/>
        <v>-2363.8232271325796</v>
      </c>
      <c r="G32" s="109">
        <f t="shared" si="5"/>
        <v>953</v>
      </c>
      <c r="H32" s="107">
        <f t="shared" si="6"/>
        <v>-2.0554984583761562E-2</v>
      </c>
      <c r="I32" s="110">
        <f t="shared" si="7"/>
        <v>-2055.4984583761561</v>
      </c>
      <c r="J32" s="106">
        <f t="shared" si="8"/>
        <v>970</v>
      </c>
      <c r="K32" s="107">
        <f t="shared" si="9"/>
        <v>-3.0832476875642342E-3</v>
      </c>
      <c r="L32" s="108">
        <f t="shared" si="10"/>
        <v>-308.3247687564234</v>
      </c>
      <c r="M32" s="109">
        <f t="shared" si="11"/>
        <v>967</v>
      </c>
      <c r="N32" s="107">
        <f t="shared" si="12"/>
        <v>-6.1664953751284684E-3</v>
      </c>
      <c r="O32" s="108">
        <f t="shared" si="13"/>
        <v>-616.64953751284679</v>
      </c>
      <c r="Q32" s="251"/>
      <c r="R32" s="251"/>
      <c r="S32" s="251"/>
    </row>
    <row r="33" spans="1:19" ht="17.25" customHeight="1" thickBot="1">
      <c r="A33" s="162" t="s">
        <v>169</v>
      </c>
      <c r="B33" s="126">
        <f t="shared" si="0"/>
        <v>232</v>
      </c>
      <c r="C33" s="77">
        <f t="shared" si="1"/>
        <v>-6.0728744899999999E-2</v>
      </c>
      <c r="D33" s="15">
        <f t="shared" si="2"/>
        <v>223</v>
      </c>
      <c r="E33" s="32">
        <f t="shared" si="3"/>
        <v>-3.8793103448275863E-2</v>
      </c>
      <c r="F33" s="18">
        <f t="shared" si="4"/>
        <v>-3879.3103448275865</v>
      </c>
      <c r="G33" s="31">
        <f t="shared" si="5"/>
        <v>225</v>
      </c>
      <c r="H33" s="32">
        <f t="shared" si="6"/>
        <v>-3.017241379310345E-2</v>
      </c>
      <c r="I33" s="101">
        <f t="shared" si="7"/>
        <v>-3017.2413793103451</v>
      </c>
      <c r="J33" s="15">
        <f t="shared" si="8"/>
        <v>225</v>
      </c>
      <c r="K33" s="32">
        <f t="shared" si="9"/>
        <v>-3.017241379310345E-2</v>
      </c>
      <c r="L33" s="18">
        <f t="shared" si="10"/>
        <v>-3017.2413793103451</v>
      </c>
      <c r="M33" s="31">
        <f t="shared" si="11"/>
        <v>227</v>
      </c>
      <c r="N33" s="32">
        <f t="shared" si="12"/>
        <v>-2.1551724137931036E-2</v>
      </c>
      <c r="O33" s="18">
        <f t="shared" si="13"/>
        <v>-2155.1724137931037</v>
      </c>
      <c r="Q33" s="251"/>
      <c r="R33" s="251"/>
      <c r="S33" s="251"/>
    </row>
    <row r="34" spans="1:19" ht="17.25" customHeight="1" thickBot="1">
      <c r="A34" s="162" t="s">
        <v>61</v>
      </c>
      <c r="B34" s="126">
        <f t="shared" si="0"/>
        <v>763</v>
      </c>
      <c r="C34" s="77">
        <f t="shared" si="1"/>
        <v>-6.1500615000000002E-2</v>
      </c>
      <c r="D34" s="15">
        <f t="shared" si="2"/>
        <v>751</v>
      </c>
      <c r="E34" s="32">
        <f t="shared" si="3"/>
        <v>-1.5727391874180863E-2</v>
      </c>
      <c r="F34" s="18">
        <f t="shared" si="4"/>
        <v>-1572.7391874180864</v>
      </c>
      <c r="G34" s="31">
        <f t="shared" si="5"/>
        <v>756</v>
      </c>
      <c r="H34" s="32">
        <f t="shared" si="6"/>
        <v>-9.1743119266055051E-3</v>
      </c>
      <c r="I34" s="101">
        <f t="shared" si="7"/>
        <v>-917.43119266055055</v>
      </c>
      <c r="J34" s="15">
        <f t="shared" si="8"/>
        <v>765</v>
      </c>
      <c r="K34" s="32">
        <f t="shared" si="9"/>
        <v>2.6212319790301442E-3</v>
      </c>
      <c r="L34" s="18">
        <f t="shared" si="10"/>
        <v>262.12319790301444</v>
      </c>
      <c r="M34" s="31">
        <f t="shared" si="11"/>
        <v>764</v>
      </c>
      <c r="N34" s="32">
        <f t="shared" si="12"/>
        <v>1.3106159895150721E-3</v>
      </c>
      <c r="O34" s="18">
        <f t="shared" si="13"/>
        <v>131.06159895150722</v>
      </c>
      <c r="Q34" s="251"/>
      <c r="R34" s="251"/>
      <c r="S34" s="251"/>
    </row>
    <row r="35" spans="1:19" ht="17.25" customHeight="1">
      <c r="A35" s="162" t="s">
        <v>136</v>
      </c>
      <c r="B35" s="126">
        <f t="shared" si="0"/>
        <v>122</v>
      </c>
      <c r="C35" s="77">
        <f t="shared" si="1"/>
        <v>-6.1538461500000002E-2</v>
      </c>
      <c r="D35" s="15">
        <f t="shared" si="2"/>
        <v>119</v>
      </c>
      <c r="E35" s="32">
        <f t="shared" si="3"/>
        <v>-2.4590163934426229E-2</v>
      </c>
      <c r="F35" s="18">
        <f t="shared" si="4"/>
        <v>-2459.0163934426228</v>
      </c>
      <c r="G35" s="31">
        <f t="shared" si="5"/>
        <v>120</v>
      </c>
      <c r="H35" s="32">
        <f t="shared" si="6"/>
        <v>-1.6393442622950821E-2</v>
      </c>
      <c r="I35" s="101">
        <f t="shared" si="7"/>
        <v>-1639.344262295082</v>
      </c>
      <c r="J35" s="15">
        <f t="shared" si="8"/>
        <v>122</v>
      </c>
      <c r="K35" s="32">
        <f t="shared" si="9"/>
        <v>0</v>
      </c>
      <c r="L35" s="18">
        <f t="shared" si="10"/>
        <v>0</v>
      </c>
      <c r="M35" s="31">
        <f t="shared" si="11"/>
        <v>122</v>
      </c>
      <c r="N35" s="32">
        <f t="shared" si="12"/>
        <v>0</v>
      </c>
      <c r="O35" s="18">
        <f t="shared" si="13"/>
        <v>0</v>
      </c>
      <c r="Q35" s="240"/>
      <c r="R35" s="241"/>
      <c r="S35" s="242"/>
    </row>
    <row r="36" spans="1:19" ht="17.25" customHeight="1" thickBot="1">
      <c r="A36" s="130" t="s">
        <v>173</v>
      </c>
      <c r="B36" s="131">
        <f t="shared" si="0"/>
        <v>105</v>
      </c>
      <c r="C36" s="79">
        <f t="shared" si="1"/>
        <v>-6.25E-2</v>
      </c>
      <c r="D36" s="24">
        <f t="shared" si="2"/>
        <v>108</v>
      </c>
      <c r="E36" s="25">
        <f t="shared" si="3"/>
        <v>2.8571428571428571E-2</v>
      </c>
      <c r="F36" s="104">
        <f t="shared" si="4"/>
        <v>2857.1428571428569</v>
      </c>
      <c r="G36" s="102">
        <f t="shared" si="5"/>
        <v>105</v>
      </c>
      <c r="H36" s="25">
        <f t="shared" si="6"/>
        <v>0</v>
      </c>
      <c r="I36" s="103">
        <f t="shared" si="7"/>
        <v>0</v>
      </c>
      <c r="J36" s="24">
        <f t="shared" si="8"/>
        <v>106</v>
      </c>
      <c r="K36" s="25">
        <f t="shared" si="9"/>
        <v>9.5238095238095247E-3</v>
      </c>
      <c r="L36" s="104">
        <f t="shared" si="10"/>
        <v>952.38095238095252</v>
      </c>
      <c r="M36" s="102">
        <f t="shared" si="11"/>
        <v>105</v>
      </c>
      <c r="N36" s="25">
        <f t="shared" si="12"/>
        <v>0</v>
      </c>
      <c r="O36" s="104">
        <f t="shared" si="13"/>
        <v>0</v>
      </c>
      <c r="Q36" s="243"/>
      <c r="R36" s="244"/>
      <c r="S36" s="245"/>
    </row>
    <row r="37" spans="1:19" ht="17.25" customHeight="1" thickBot="1">
      <c r="A37" s="132" t="s">
        <v>42</v>
      </c>
      <c r="B37" s="304">
        <v>100000</v>
      </c>
      <c r="C37" s="305"/>
      <c r="D37" s="26" t="s">
        <v>43</v>
      </c>
      <c r="E37" s="27">
        <f>IF(COUNT(E17:E36), SUM(E17:E36) / COUNT(E17:E36), 0)</f>
        <v>-2.300308345007715E-2</v>
      </c>
      <c r="F37" s="28">
        <f>SUM(F17:F36)</f>
        <v>-46006.16690015429</v>
      </c>
      <c r="G37" s="26" t="s">
        <v>43</v>
      </c>
      <c r="H37" s="27">
        <f>IF(COUNT(H17:H36), SUM(H17:H36) / COUNT(H17:H36), 0)</f>
        <v>-1.839211363496792E-2</v>
      </c>
      <c r="I37" s="28">
        <f>SUM(I17:I36)</f>
        <v>-36784.227269935844</v>
      </c>
      <c r="J37" s="26" t="s">
        <v>43</v>
      </c>
      <c r="K37" s="27">
        <f>IF(COUNT(K17:K36), SUM(K17:K36) / COUNT(K17:K36), 0)</f>
        <v>-9.2008629511157215E-3</v>
      </c>
      <c r="L37" s="28">
        <f>SUM(L17:L36)</f>
        <v>-18401.725902231439</v>
      </c>
      <c r="M37" s="26" t="s">
        <v>43</v>
      </c>
      <c r="N37" s="27">
        <f>IF(COUNT(N17:N36), SUM(N17:N36) / COUNT(N17:N36), 0)</f>
        <v>-1.0759487250064755E-2</v>
      </c>
      <c r="O37" s="28">
        <f>SUM(O17:O36)</f>
        <v>-21518.974500129512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262" t="s">
        <v>44</v>
      </c>
      <c r="B40" s="263"/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4"/>
      <c r="Q40" s="261"/>
      <c r="R40" s="261"/>
      <c r="S40" s="261"/>
    </row>
    <row r="41" spans="1:19" ht="17.25" customHeight="1" thickBot="1">
      <c r="A41" s="232" t="s">
        <v>292</v>
      </c>
      <c r="B41" s="262" t="s">
        <v>49</v>
      </c>
      <c r="C41" s="264"/>
      <c r="D41" s="262" t="s">
        <v>58</v>
      </c>
      <c r="E41" s="263"/>
      <c r="F41" s="264"/>
      <c r="G41" s="265">
        <f>_xlfn.IFNA(VLOOKUP(B41, 현재가테이블!$B$2:$D$200, 2, FALSE), "-")</f>
        <v>40538000</v>
      </c>
      <c r="H41" s="266"/>
      <c r="I41" s="267"/>
      <c r="J41" s="262" t="s">
        <v>59</v>
      </c>
      <c r="K41" s="263"/>
      <c r="L41" s="264"/>
      <c r="M41" s="268">
        <f>_xlfn.IFNA(VLOOKUP(B41, 현재가테이블!$B$2:$D$200, 3, FALSE), "-")</f>
        <v>-3.68275993E-2</v>
      </c>
      <c r="N41" s="269"/>
      <c r="O41" s="270"/>
      <c r="Q41" s="261"/>
      <c r="R41" s="261"/>
      <c r="S41" s="261"/>
    </row>
    <row r="42" spans="1:19" ht="17.25" customHeight="1" thickBot="1">
      <c r="A42" s="306" t="s">
        <v>55</v>
      </c>
      <c r="B42" s="302" t="str">
        <f>TEXT($G$1, "[$-ko-KR]yyyy-mm-dd(ddd) ") &amp; "오전 00:00"</f>
        <v>2021-06-19(토) 오전 00:00</v>
      </c>
      <c r="C42" s="303"/>
      <c r="D42" s="275" t="str">
        <f>TEXT($G$1, "[$-ko-KR]yyyy-mm-dd(ddd) ") &amp; "오후 14:00"</f>
        <v>2021-06-19(토) 오후 14:00</v>
      </c>
      <c r="E42" s="276"/>
      <c r="F42" s="277"/>
      <c r="G42" s="275" t="str">
        <f>TEXT($G$1, "[$-ko-KR]yyyy-mm-dd(ddd) ") &amp; "오후 19:00"</f>
        <v>2021-06-19(토) 오후 19:00</v>
      </c>
      <c r="H42" s="276"/>
      <c r="I42" s="277"/>
      <c r="J42" s="275" t="str">
        <f>TEXT($G$1, "[$-ko-KR]yyyy-mm-dd(ddd) ") &amp; "오후 21:00"</f>
        <v>2021-06-19(토) 오후 21:00</v>
      </c>
      <c r="K42" s="276"/>
      <c r="L42" s="277"/>
      <c r="M42" s="275" t="str">
        <f>TEXT($G$1+1, "[$-ko-KR]yyyy-mm-dd(ddd) ") &amp; "오전 00:00"</f>
        <v>2021-06-20(일) 오전 00:00</v>
      </c>
      <c r="N42" s="276"/>
      <c r="O42" s="277"/>
      <c r="Q42" s="261"/>
      <c r="R42" s="261"/>
      <c r="S42" s="261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3" t="s">
        <v>58</v>
      </c>
      <c r="H43" s="234" t="s">
        <v>293</v>
      </c>
      <c r="I43" s="23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1"/>
      <c r="R43" s="251"/>
      <c r="S43" s="251"/>
    </row>
    <row r="44" spans="1:19" ht="17.25" customHeight="1" thickBot="1">
      <c r="A44" s="161" t="s">
        <v>277</v>
      </c>
      <c r="B44" s="124">
        <v>63.4</v>
      </c>
      <c r="C44" s="76">
        <v>0.34038054969999998</v>
      </c>
      <c r="D44" s="13">
        <v>61</v>
      </c>
      <c r="E44" s="14">
        <f>IF(ISNUMBER(D44), (D44 - $B44) / $B44, "")</f>
        <v>-3.7854889589905343E-2</v>
      </c>
      <c r="F44" s="16">
        <f>IF(ISNUMBER(D44), $B64 * E44, "")</f>
        <v>-3785.4889589905342</v>
      </c>
      <c r="G44" s="29">
        <v>58.9</v>
      </c>
      <c r="H44" s="14">
        <f>IF(ISNUMBER(G44), (G44 - $B44) / $B44, "")</f>
        <v>-7.0977917981072558E-2</v>
      </c>
      <c r="I44" s="100">
        <f>IF(ISNUMBER(G44), $B64 * H44, "")</f>
        <v>-7097.791798107256</v>
      </c>
      <c r="J44" s="13">
        <v>58.1</v>
      </c>
      <c r="K44" s="14">
        <f>IF(ISNUMBER(J44), (J44 - $B44) / $B44, "")</f>
        <v>-8.3596214511040962E-2</v>
      </c>
      <c r="L44" s="16">
        <f>IF(ISNUMBER(J44), $B64 * K44, "")</f>
        <v>-8359.6214511040962</v>
      </c>
      <c r="M44" s="29">
        <v>53.7</v>
      </c>
      <c r="N44" s="14">
        <f>IF(ISNUMBER(M44), (M44 - $B44) / $B44, "")</f>
        <v>-0.15299684542586744</v>
      </c>
      <c r="O44" s="16">
        <f>IF(ISNUMBER(M44), $B64 * N44, "")</f>
        <v>-15299.684542586745</v>
      </c>
      <c r="Q44" s="261"/>
      <c r="R44" s="261"/>
      <c r="S44" s="261"/>
    </row>
    <row r="45" spans="1:19" ht="17.25" customHeight="1" thickBot="1">
      <c r="A45" s="162" t="s">
        <v>217</v>
      </c>
      <c r="B45" s="126">
        <v>9.7899999999999991</v>
      </c>
      <c r="C45" s="77">
        <v>2.0855057400000002E-2</v>
      </c>
      <c r="D45" s="15">
        <v>9.5</v>
      </c>
      <c r="E45" s="32">
        <f t="shared" ref="E45:E48" si="14">IF(ISNUMBER(D45), (D45 - $B45) / $B45, "")</f>
        <v>-2.9622063329928415E-2</v>
      </c>
      <c r="F45" s="18">
        <f>IF(ISNUMBER(D45), $B64 * E45, "")</f>
        <v>-2962.2063329928415</v>
      </c>
      <c r="G45" s="31">
        <v>9.64</v>
      </c>
      <c r="H45" s="32">
        <f t="shared" ref="H45:H48" si="15">IF(ISNUMBER(G45), (G45 - $B45) / $B45, "")</f>
        <v>-1.5321756894790459E-2</v>
      </c>
      <c r="I45" s="101">
        <f>IF(ISNUMBER(G45), $B64 * H45, "")</f>
        <v>-1532.175689479046</v>
      </c>
      <c r="J45" s="15">
        <v>9.61</v>
      </c>
      <c r="K45" s="32">
        <f t="shared" ref="K45:K48" si="16">IF(ISNUMBER(J45), (J45 - $B45) / $B45, "")</f>
        <v>-1.8386108273748696E-2</v>
      </c>
      <c r="L45" s="18">
        <f>IF(ISNUMBER(J45), $B64 * K45, "")</f>
        <v>-1838.6108273748696</v>
      </c>
      <c r="M45" s="31">
        <v>9.51</v>
      </c>
      <c r="N45" s="32">
        <f t="shared" ref="N45:N48" si="17">IF(ISNUMBER(M45), (M45 - $B45) / $B45, "")</f>
        <v>-2.8600612870275727E-2</v>
      </c>
      <c r="O45" s="18">
        <f>IF(ISNUMBER(M45), $B64 * N45, "")</f>
        <v>-2860.0612870275727</v>
      </c>
      <c r="Q45" s="261"/>
      <c r="R45" s="261"/>
      <c r="S45" s="261"/>
    </row>
    <row r="46" spans="1:19" ht="17.25" customHeight="1" thickBot="1">
      <c r="A46" s="162" t="s">
        <v>219</v>
      </c>
      <c r="B46" s="126">
        <v>9.32</v>
      </c>
      <c r="C46" s="77">
        <v>4.3103448000000001E-3</v>
      </c>
      <c r="D46" s="15">
        <v>9.5</v>
      </c>
      <c r="E46" s="32">
        <f t="shared" si="14"/>
        <v>1.9313304721030013E-2</v>
      </c>
      <c r="F46" s="18">
        <f>IF(ISNUMBER(D46), $B64 * E46, "")</f>
        <v>1931.3304721030013</v>
      </c>
      <c r="G46" s="31">
        <v>9.3800000000000008</v>
      </c>
      <c r="H46" s="32">
        <f t="shared" si="15"/>
        <v>6.4377682403434005E-3</v>
      </c>
      <c r="I46" s="101">
        <f>IF(ISNUMBER(G46), $B64 * H46, "")</f>
        <v>643.77682403434005</v>
      </c>
      <c r="J46" s="15">
        <v>9.17</v>
      </c>
      <c r="K46" s="32">
        <f t="shared" si="16"/>
        <v>-1.6094420600858406E-2</v>
      </c>
      <c r="L46" s="18">
        <f>IF(ISNUMBER(J46), $B64 * K46, "")</f>
        <v>-1609.4420600858407</v>
      </c>
      <c r="M46" s="31">
        <v>9.0299999999999994</v>
      </c>
      <c r="N46" s="32">
        <f t="shared" si="17"/>
        <v>-3.1115879828326278E-2</v>
      </c>
      <c r="O46" s="18">
        <f>IF(ISNUMBER(M46), $B64 * N46, "")</f>
        <v>-3111.5879828326279</v>
      </c>
      <c r="Q46" s="251"/>
      <c r="R46" s="251"/>
      <c r="S46" s="251"/>
    </row>
    <row r="47" spans="1:19" ht="17.25" customHeight="1" thickBot="1">
      <c r="A47" s="162" t="s">
        <v>152</v>
      </c>
      <c r="B47" s="126">
        <v>17.600000000000001</v>
      </c>
      <c r="C47" s="77">
        <v>0</v>
      </c>
      <c r="D47" s="15">
        <v>16.3</v>
      </c>
      <c r="E47" s="32">
        <f t="shared" si="14"/>
        <v>-7.3863636363636395E-2</v>
      </c>
      <c r="F47" s="18">
        <f>IF(ISNUMBER(D47), $B64 * E47, "")</f>
        <v>-7386.3636363636397</v>
      </c>
      <c r="G47" s="31">
        <v>16.2</v>
      </c>
      <c r="H47" s="32">
        <f t="shared" si="15"/>
        <v>-7.9545454545454655E-2</v>
      </c>
      <c r="I47" s="101">
        <f>IF(ISNUMBER(G47), $B64 * H47, "")</f>
        <v>-7954.5454545454659</v>
      </c>
      <c r="J47" s="15">
        <v>16.399999999999999</v>
      </c>
      <c r="K47" s="32">
        <f t="shared" si="16"/>
        <v>-6.8181818181818343E-2</v>
      </c>
      <c r="L47" s="18">
        <f>IF(ISNUMBER(J47), $B64 * K47, "")</f>
        <v>-6818.1818181818344</v>
      </c>
      <c r="M47" s="31">
        <v>16.2</v>
      </c>
      <c r="N47" s="32">
        <f t="shared" si="17"/>
        <v>-7.9545454545454655E-2</v>
      </c>
      <c r="O47" s="18">
        <f>IF(ISNUMBER(M47), $B64 * N47, "")</f>
        <v>-7954.5454545454659</v>
      </c>
      <c r="Q47" s="251"/>
      <c r="R47" s="251"/>
      <c r="S47" s="251"/>
    </row>
    <row r="48" spans="1:19" ht="17.25" customHeight="1" thickBot="1">
      <c r="A48" s="163" t="s">
        <v>65</v>
      </c>
      <c r="B48" s="128">
        <v>31.3</v>
      </c>
      <c r="C48" s="78">
        <v>-9.4936709000000008E-3</v>
      </c>
      <c r="D48" s="20">
        <v>29.5</v>
      </c>
      <c r="E48" s="21">
        <f t="shared" si="14"/>
        <v>-5.7507987220447303E-2</v>
      </c>
      <c r="F48" s="22">
        <f>IF(ISNUMBER(D48), $B64 * E48, "")</f>
        <v>-5750.7987220447303</v>
      </c>
      <c r="G48" s="30">
        <v>29.6</v>
      </c>
      <c r="H48" s="21">
        <f t="shared" si="15"/>
        <v>-5.4313099041533523E-2</v>
      </c>
      <c r="I48" s="105">
        <f>IF(ISNUMBER(G48), $B64 * H48, "")</f>
        <v>-5431.3099041533524</v>
      </c>
      <c r="J48" s="20">
        <v>29.9</v>
      </c>
      <c r="K48" s="21">
        <f t="shared" si="16"/>
        <v>-4.47284345047924E-2</v>
      </c>
      <c r="L48" s="22">
        <f>IF(ISNUMBER(J48), $B64 * K48, "")</f>
        <v>-4472.8434504792403</v>
      </c>
      <c r="M48" s="30">
        <v>29.9</v>
      </c>
      <c r="N48" s="21">
        <f t="shared" si="17"/>
        <v>-4.47284345047924E-2</v>
      </c>
      <c r="O48" s="22">
        <f>IF(ISNUMBER(M48), $B64 * N48, "")</f>
        <v>-4472.8434504792403</v>
      </c>
      <c r="Q48" s="251"/>
      <c r="R48" s="251"/>
      <c r="S48" s="251"/>
    </row>
    <row r="49" spans="1:19" ht="17.25" customHeight="1" thickBot="1">
      <c r="A49" s="162" t="s">
        <v>273</v>
      </c>
      <c r="B49" s="129">
        <v>70.3</v>
      </c>
      <c r="C49" s="80">
        <v>-2.7662517300000002E-2</v>
      </c>
      <c r="D49" s="106">
        <v>68.400000000000006</v>
      </c>
      <c r="E49" s="107">
        <f>IF(ISNUMBER(D49), (D49 - $B49) / $B49, "")</f>
        <v>-2.7027027027026907E-2</v>
      </c>
      <c r="F49" s="108">
        <f>IF(ISNUMBER(D49), $B64 * E49, "")</f>
        <v>-2702.7027027026907</v>
      </c>
      <c r="G49" s="109">
        <v>67.7</v>
      </c>
      <c r="H49" s="107">
        <f>IF(ISNUMBER(G49), (G49 - $B49) / $B49, "")</f>
        <v>-3.6984352773826376E-2</v>
      </c>
      <c r="I49" s="110">
        <f>IF(ISNUMBER(G49), $B64 * H49, "")</f>
        <v>-3698.4352773826377</v>
      </c>
      <c r="J49" s="106">
        <v>68.099999999999994</v>
      </c>
      <c r="K49" s="107">
        <f>IF(ISNUMBER(J49), (J49 - $B49) / $B49, "")</f>
        <v>-3.1294452347083966E-2</v>
      </c>
      <c r="L49" s="108">
        <f>IF(ISNUMBER(J49), $B64 * K49, "")</f>
        <v>-3129.4452347083966</v>
      </c>
      <c r="M49" s="109">
        <v>68.3</v>
      </c>
      <c r="N49" s="107">
        <f>IF(ISNUMBER(M49), (M49 - $B49) / $B49, "")</f>
        <v>-2.8449502133712661E-2</v>
      </c>
      <c r="O49" s="108">
        <f>IF(ISNUMBER(M49), $B64 * N49, "")</f>
        <v>-2844.9502133712663</v>
      </c>
      <c r="Q49" s="251"/>
      <c r="R49" s="251"/>
      <c r="S49" s="251"/>
    </row>
    <row r="50" spans="1:19" ht="17.25" customHeight="1" thickBot="1">
      <c r="A50" s="162" t="s">
        <v>156</v>
      </c>
      <c r="B50" s="126">
        <v>84</v>
      </c>
      <c r="C50" s="77">
        <v>-3.4482758600000003E-2</v>
      </c>
      <c r="D50" s="15">
        <v>81.8</v>
      </c>
      <c r="E50" s="32">
        <f t="shared" ref="E50:E53" si="18">IF(ISNUMBER(D50), (D50 - $B50) / $B50, "")</f>
        <v>-2.6190476190476226E-2</v>
      </c>
      <c r="F50" s="18">
        <f>IF(ISNUMBER(D50), $B64 * E50, "")</f>
        <v>-2619.0476190476224</v>
      </c>
      <c r="G50" s="31">
        <v>81.7</v>
      </c>
      <c r="H50" s="32">
        <f t="shared" ref="H50:H53" si="19">IF(ISNUMBER(G50), (G50 - $B50) / $B50, "")</f>
        <v>-2.7380952380952346E-2</v>
      </c>
      <c r="I50" s="101">
        <f>IF(ISNUMBER(G50), $B64 * H50, "")</f>
        <v>-2738.0952380952344</v>
      </c>
      <c r="J50" s="15">
        <v>81.8</v>
      </c>
      <c r="K50" s="32">
        <f t="shared" ref="K50:K53" si="20">IF(ISNUMBER(J50), (J50 - $B50) / $B50, "")</f>
        <v>-2.6190476190476226E-2</v>
      </c>
      <c r="L50" s="18">
        <f>IF(ISNUMBER(J50), $B64 * K50, "")</f>
        <v>-2619.0476190476224</v>
      </c>
      <c r="M50" s="31">
        <v>82</v>
      </c>
      <c r="N50" s="32">
        <f t="shared" ref="N50:N53" si="21">IF(ISNUMBER(M50), (M50 - $B50) / $B50, "")</f>
        <v>-2.3809523809523808E-2</v>
      </c>
      <c r="O50" s="18">
        <f>IF(ISNUMBER(M50), $B64 * N50, "")</f>
        <v>-2380.9523809523807</v>
      </c>
      <c r="Q50" s="251"/>
      <c r="R50" s="251"/>
      <c r="S50" s="251"/>
    </row>
    <row r="51" spans="1:19" ht="17.25" customHeight="1" thickBot="1">
      <c r="A51" s="162" t="s">
        <v>72</v>
      </c>
      <c r="B51" s="126">
        <v>17.600000000000001</v>
      </c>
      <c r="C51" s="77">
        <v>-5.8823529399999998E-2</v>
      </c>
      <c r="D51" s="15">
        <v>16.8</v>
      </c>
      <c r="E51" s="32">
        <f t="shared" si="18"/>
        <v>-4.5454545454545491E-2</v>
      </c>
      <c r="F51" s="18">
        <f>IF(ISNUMBER(D51), $B64 * E51, "")</f>
        <v>-4545.4545454545487</v>
      </c>
      <c r="G51" s="31">
        <v>16.8</v>
      </c>
      <c r="H51" s="32">
        <f t="shared" si="19"/>
        <v>-4.5454545454545491E-2</v>
      </c>
      <c r="I51" s="101">
        <f>IF(ISNUMBER(G51), $B64 * H51, "")</f>
        <v>-4545.4545454545487</v>
      </c>
      <c r="J51" s="15">
        <v>16.899999999999999</v>
      </c>
      <c r="K51" s="32">
        <f t="shared" si="20"/>
        <v>-3.9772727272727432E-2</v>
      </c>
      <c r="L51" s="18">
        <f>IF(ISNUMBER(J51), $B64 * K51, "")</f>
        <v>-3977.2727272727434</v>
      </c>
      <c r="M51" s="31">
        <v>16.8</v>
      </c>
      <c r="N51" s="32">
        <f t="shared" si="21"/>
        <v>-4.5454545454545491E-2</v>
      </c>
      <c r="O51" s="18">
        <f>IF(ISNUMBER(M51), $B64 * N51, "")</f>
        <v>-4545.4545454545487</v>
      </c>
      <c r="Q51" s="251"/>
      <c r="R51" s="251"/>
      <c r="S51" s="251"/>
    </row>
    <row r="52" spans="1:19" ht="17.25" customHeight="1" thickBot="1">
      <c r="A52" s="162" t="s">
        <v>126</v>
      </c>
      <c r="B52" s="126">
        <v>22.9</v>
      </c>
      <c r="C52" s="77">
        <v>-6.1475409799999998E-2</v>
      </c>
      <c r="D52" s="15">
        <v>22.8</v>
      </c>
      <c r="E52" s="32">
        <f t="shared" si="18"/>
        <v>-4.3668122270741428E-3</v>
      </c>
      <c r="F52" s="18">
        <f>IF(ISNUMBER(D52), $B64 * E52, "")</f>
        <v>-436.68122270741429</v>
      </c>
      <c r="G52" s="31">
        <v>22.7</v>
      </c>
      <c r="H52" s="32">
        <f t="shared" si="19"/>
        <v>-8.7336244541484417E-3</v>
      </c>
      <c r="I52" s="101">
        <f>IF(ISNUMBER(G52), $B64 * H52, "")</f>
        <v>-873.36244541484416</v>
      </c>
      <c r="J52" s="15">
        <v>23.2</v>
      </c>
      <c r="K52" s="32">
        <f t="shared" si="20"/>
        <v>1.310043668122274E-2</v>
      </c>
      <c r="L52" s="18">
        <f>IF(ISNUMBER(J52), $B64 * K52, "")</f>
        <v>1310.0436681222739</v>
      </c>
      <c r="M52" s="31">
        <v>23.1</v>
      </c>
      <c r="N52" s="32">
        <f t="shared" si="21"/>
        <v>8.7336244541485961E-3</v>
      </c>
      <c r="O52" s="18">
        <f>IF(ISNUMBER(M52), $B64 * N52, "")</f>
        <v>873.36244541485962</v>
      </c>
      <c r="Q52" s="33"/>
      <c r="R52" s="33"/>
    </row>
    <row r="53" spans="1:19" ht="17.25" customHeight="1" thickBot="1">
      <c r="A53" s="130" t="s">
        <v>261</v>
      </c>
      <c r="B53" s="131">
        <v>51.3</v>
      </c>
      <c r="C53" s="79">
        <v>-6.2157221200000001E-2</v>
      </c>
      <c r="D53" s="24">
        <v>46.3</v>
      </c>
      <c r="E53" s="25">
        <f t="shared" si="18"/>
        <v>-9.7465886939571159E-2</v>
      </c>
      <c r="F53" s="104">
        <f>IF(ISNUMBER(D53), $B64 * E53, "")</f>
        <v>-9746.5886939571155</v>
      </c>
      <c r="G53" s="102">
        <v>46.9</v>
      </c>
      <c r="H53" s="25">
        <f t="shared" si="19"/>
        <v>-8.5769980506822593E-2</v>
      </c>
      <c r="I53" s="103">
        <f>IF(ISNUMBER(G53), $B64 * H53, "")</f>
        <v>-8576.9980506822594</v>
      </c>
      <c r="J53" s="24">
        <v>47.3</v>
      </c>
      <c r="K53" s="25">
        <f t="shared" si="20"/>
        <v>-7.797270955165693E-2</v>
      </c>
      <c r="L53" s="104">
        <f>IF(ISNUMBER(J53), $B64 * K53, "")</f>
        <v>-7797.2709551656926</v>
      </c>
      <c r="M53" s="102">
        <v>47.6</v>
      </c>
      <c r="N53" s="25">
        <f t="shared" si="21"/>
        <v>-7.2124756335282578E-2</v>
      </c>
      <c r="O53" s="104">
        <f>IF(ISNUMBER(M53), $B64 * N53, "")</f>
        <v>-7212.4756335282582</v>
      </c>
      <c r="Q53" s="252"/>
      <c r="R53" s="253"/>
      <c r="S53" s="254"/>
    </row>
    <row r="54" spans="1:19" ht="17.25" customHeight="1">
      <c r="A54" s="161" t="s">
        <v>100</v>
      </c>
      <c r="B54" s="124">
        <v>3.69</v>
      </c>
      <c r="C54" s="76">
        <v>-6.3451776599999996E-2</v>
      </c>
      <c r="D54" s="13">
        <v>3.57</v>
      </c>
      <c r="E54" s="14">
        <f>IF(ISNUMBER(D54), (D54 - $B54) / $B54, "")</f>
        <v>-3.2520325203252064E-2</v>
      </c>
      <c r="F54" s="16">
        <f>IF(ISNUMBER(D54), $B64 * E54, "")</f>
        <v>-3252.0325203252064</v>
      </c>
      <c r="G54" s="29">
        <v>3.56</v>
      </c>
      <c r="H54" s="14">
        <f>IF(ISNUMBER(G54), (G54 - $B54) / $B54, "")</f>
        <v>-3.5230352303523005E-2</v>
      </c>
      <c r="I54" s="100">
        <f>IF(ISNUMBER(G54), $B64 * H54, "")</f>
        <v>-3523.0352303523005</v>
      </c>
      <c r="J54" s="13">
        <v>3.58</v>
      </c>
      <c r="K54" s="14">
        <f>IF(ISNUMBER(J54), (J54 - $B54) / $B54, "")</f>
        <v>-2.9810298102980998E-2</v>
      </c>
      <c r="L54" s="16">
        <f>IF(ISNUMBER(J54), $B64 * K54, "")</f>
        <v>-2981.0298102980996</v>
      </c>
      <c r="M54" s="29">
        <v>3.57</v>
      </c>
      <c r="N54" s="14">
        <f>IF(ISNUMBER(M54), (M54 - $B54) / $B54, "")</f>
        <v>-3.2520325203252064E-2</v>
      </c>
      <c r="O54" s="16">
        <f>IF(ISNUMBER(M54), $B64 * N54, "")</f>
        <v>-3252.0325203252064</v>
      </c>
      <c r="Q54" s="255"/>
      <c r="R54" s="256"/>
      <c r="S54" s="257"/>
    </row>
    <row r="55" spans="1:19" ht="17.25" customHeight="1" thickBot="1">
      <c r="A55" s="162" t="s">
        <v>185</v>
      </c>
      <c r="B55" s="126">
        <v>13.4</v>
      </c>
      <c r="C55" s="77">
        <v>-6.9444444399999999E-2</v>
      </c>
      <c r="D55" s="15">
        <v>13.4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13.5</v>
      </c>
      <c r="H55" s="32">
        <f t="shared" ref="H55:H58" si="23">IF(ISNUMBER(G55), (G55 - $B55) / $B55, "")</f>
        <v>7.4626865671641521E-3</v>
      </c>
      <c r="I55" s="101">
        <f>IF(ISNUMBER(G55), $B64 * H55, "")</f>
        <v>746.26865671641519</v>
      </c>
      <c r="J55" s="15">
        <v>13.8</v>
      </c>
      <c r="K55" s="32">
        <f t="shared" ref="K55:K58" si="24">IF(ISNUMBER(J55), (J55 - $B55) / $B55, "")</f>
        <v>2.9850746268656744E-2</v>
      </c>
      <c r="L55" s="18">
        <f>IF(ISNUMBER(J55), $B64 * K55, "")</f>
        <v>2985.0746268656744</v>
      </c>
      <c r="M55" s="31">
        <v>13.7</v>
      </c>
      <c r="N55" s="32">
        <f t="shared" ref="N55:N58" si="25">IF(ISNUMBER(M55), (M55 - $B55) / $B55, "")</f>
        <v>2.2388059701492456E-2</v>
      </c>
      <c r="O55" s="18">
        <f>IF(ISNUMBER(M55), $B64 * N55, "")</f>
        <v>2238.8059701492457</v>
      </c>
      <c r="Q55" s="258"/>
      <c r="R55" s="259"/>
      <c r="S55" s="260"/>
    </row>
    <row r="56" spans="1:19" ht="17.25" customHeight="1" thickBot="1">
      <c r="A56" s="162" t="s">
        <v>148</v>
      </c>
      <c r="B56" s="126">
        <v>88.3</v>
      </c>
      <c r="C56" s="77">
        <v>-7.1503680299999997E-2</v>
      </c>
      <c r="D56" s="15">
        <v>86.3</v>
      </c>
      <c r="E56" s="32">
        <f t="shared" si="22"/>
        <v>-2.2650056625141565E-2</v>
      </c>
      <c r="F56" s="18">
        <f>IF(ISNUMBER(D56), $B64 * E56, "")</f>
        <v>-2265.0056625141565</v>
      </c>
      <c r="G56" s="31">
        <v>86.1</v>
      </c>
      <c r="H56" s="32">
        <f t="shared" si="23"/>
        <v>-2.4915062287655752E-2</v>
      </c>
      <c r="I56" s="101">
        <f>IF(ISNUMBER(G56), $B64 * H56, "")</f>
        <v>-2491.5062287655751</v>
      </c>
      <c r="J56" s="15">
        <v>86.9</v>
      </c>
      <c r="K56" s="32">
        <f t="shared" si="24"/>
        <v>-1.5855039637598999E-2</v>
      </c>
      <c r="L56" s="18">
        <f>IF(ISNUMBER(J56), $B64 * K56, "")</f>
        <v>-1585.5039637599</v>
      </c>
      <c r="M56" s="31">
        <v>86.4</v>
      </c>
      <c r="N56" s="32">
        <f t="shared" si="25"/>
        <v>-2.1517553793884391E-2</v>
      </c>
      <c r="O56" s="18">
        <f>IF(ISNUMBER(M56), $B64 * N56, "")</f>
        <v>-2151.755379388439</v>
      </c>
      <c r="Q56" s="251"/>
      <c r="R56" s="251"/>
      <c r="S56" s="251"/>
    </row>
    <row r="57" spans="1:19" ht="17.25" customHeight="1" thickBot="1">
      <c r="A57" s="162" t="s">
        <v>210</v>
      </c>
      <c r="B57" s="126">
        <v>49</v>
      </c>
      <c r="C57" s="77">
        <v>-7.5471698099999998E-2</v>
      </c>
      <c r="D57" s="15">
        <v>45</v>
      </c>
      <c r="E57" s="32">
        <f t="shared" si="22"/>
        <v>-8.1632653061224483E-2</v>
      </c>
      <c r="F57" s="18">
        <f>IF(ISNUMBER(D57), $B64 * E57, "")</f>
        <v>-8163.2653061224482</v>
      </c>
      <c r="G57" s="31">
        <v>46.4</v>
      </c>
      <c r="H57" s="32">
        <f t="shared" si="23"/>
        <v>-5.3061224489795944E-2</v>
      </c>
      <c r="I57" s="101">
        <f>IF(ISNUMBER(G57), $B64 * H57, "")</f>
        <v>-5306.1224489795941</v>
      </c>
      <c r="J57" s="15">
        <v>46.2</v>
      </c>
      <c r="K57" s="32">
        <f t="shared" si="24"/>
        <v>-5.7142857142857086E-2</v>
      </c>
      <c r="L57" s="18">
        <f>IF(ISNUMBER(J57), $B64 * K57, "")</f>
        <v>-5714.2857142857083</v>
      </c>
      <c r="M57" s="31">
        <v>46.2</v>
      </c>
      <c r="N57" s="32">
        <f t="shared" si="25"/>
        <v>-5.7142857142857086E-2</v>
      </c>
      <c r="O57" s="18">
        <f>IF(ISNUMBER(M57), $B64 * N57, "")</f>
        <v>-5714.2857142857083</v>
      </c>
      <c r="Q57" s="261"/>
      <c r="R57" s="261"/>
      <c r="S57" s="261"/>
    </row>
    <row r="58" spans="1:19" ht="17.25" customHeight="1" thickBot="1">
      <c r="A58" s="163" t="s">
        <v>208</v>
      </c>
      <c r="B58" s="128">
        <v>79</v>
      </c>
      <c r="C58" s="78">
        <v>-8.1395348800000003E-2</v>
      </c>
      <c r="D58" s="20">
        <v>73.8</v>
      </c>
      <c r="E58" s="21">
        <f t="shared" si="22"/>
        <v>-6.5822784810126614E-2</v>
      </c>
      <c r="F58" s="22">
        <f>IF(ISNUMBER(D58), $B64 * E58, "")</f>
        <v>-6582.2784810126614</v>
      </c>
      <c r="G58" s="30">
        <v>74.599999999999994</v>
      </c>
      <c r="H58" s="21">
        <f t="shared" si="23"/>
        <v>-5.5696202531645644E-2</v>
      </c>
      <c r="I58" s="105">
        <f>IF(ISNUMBER(G58), $B64 * H58, "")</f>
        <v>-5569.620253164564</v>
      </c>
      <c r="J58" s="20">
        <v>75.8</v>
      </c>
      <c r="K58" s="21">
        <f t="shared" si="24"/>
        <v>-4.0506329113924086E-2</v>
      </c>
      <c r="L58" s="22">
        <f>IF(ISNUMBER(J58), $B64 * K58, "")</f>
        <v>-4050.6329113924085</v>
      </c>
      <c r="M58" s="30">
        <v>75.3</v>
      </c>
      <c r="N58" s="21">
        <f t="shared" si="25"/>
        <v>-4.6835443037974718E-2</v>
      </c>
      <c r="O58" s="22">
        <f>IF(ISNUMBER(M58), $B64 * N58, "")</f>
        <v>-4683.5443037974719</v>
      </c>
      <c r="Q58" s="261"/>
      <c r="R58" s="261"/>
      <c r="S58" s="261"/>
    </row>
    <row r="59" spans="1:19" ht="17.25" customHeight="1" thickBot="1">
      <c r="A59" s="162" t="s">
        <v>167</v>
      </c>
      <c r="B59" s="129">
        <v>75.8</v>
      </c>
      <c r="C59" s="80">
        <v>-8.2324455199999994E-2</v>
      </c>
      <c r="D59" s="106">
        <v>71.5</v>
      </c>
      <c r="E59" s="107">
        <f>IF(ISNUMBER(D59), (D59 - $B59) / $B59, "")</f>
        <v>-5.6728232189973582E-2</v>
      </c>
      <c r="F59" s="108">
        <f>IF(ISNUMBER(D59), $B64 * E59, "")</f>
        <v>-5672.8232189973578</v>
      </c>
      <c r="G59" s="109">
        <v>72.400000000000006</v>
      </c>
      <c r="H59" s="107">
        <f>IF(ISNUMBER(G59), (G59 - $B59) / $B59, "")</f>
        <v>-4.4854881266490655E-2</v>
      </c>
      <c r="I59" s="110">
        <f>IF(ISNUMBER(G59), $B64 * H59, "")</f>
        <v>-4485.4881266490656</v>
      </c>
      <c r="J59" s="106">
        <v>73.400000000000006</v>
      </c>
      <c r="K59" s="107">
        <f>IF(ISNUMBER(J59), (J59 - $B59) / $B59, "")</f>
        <v>-3.166226912928749E-2</v>
      </c>
      <c r="L59" s="108">
        <f>IF(ISNUMBER(J59), $B64 * K59, "")</f>
        <v>-3166.2269129287492</v>
      </c>
      <c r="M59" s="109">
        <v>73.599999999999994</v>
      </c>
      <c r="N59" s="107">
        <f>IF(ISNUMBER(M59), (M59 - $B59) / $B59, "")</f>
        <v>-2.9023746701847004E-2</v>
      </c>
      <c r="O59" s="108">
        <f>IF(ISNUMBER(M59), $B64 * N59, "")</f>
        <v>-2902.3746701847003</v>
      </c>
      <c r="Q59" s="251"/>
      <c r="R59" s="251"/>
      <c r="S59" s="251"/>
    </row>
    <row r="60" spans="1:19" ht="17.25" customHeight="1" thickBot="1">
      <c r="A60" s="162" t="s">
        <v>259</v>
      </c>
      <c r="B60" s="126">
        <v>67</v>
      </c>
      <c r="C60" s="77">
        <v>-8.3447332400000004E-2</v>
      </c>
      <c r="D60" s="15">
        <v>64</v>
      </c>
      <c r="E60" s="32">
        <f t="shared" ref="E60:E63" si="26">IF(ISNUMBER(D60), (D60 - $B60) / $B60, "")</f>
        <v>-4.4776119402985072E-2</v>
      </c>
      <c r="F60" s="18">
        <f>IF(ISNUMBER(D60), $B64 * E60, "")</f>
        <v>-4477.6119402985069</v>
      </c>
      <c r="G60" s="31">
        <v>64.900000000000006</v>
      </c>
      <c r="H60" s="32">
        <f t="shared" ref="H60:H63" si="27">IF(ISNUMBER(G60), (G60 - $B60) / $B60, "")</f>
        <v>-3.1343283582089466E-2</v>
      </c>
      <c r="I60" s="101">
        <f>IF(ISNUMBER(G60), $B64 * H60, "")</f>
        <v>-3134.3283582089466</v>
      </c>
      <c r="J60" s="15">
        <v>65.8</v>
      </c>
      <c r="K60" s="32">
        <f t="shared" ref="K60:K63" si="28">IF(ISNUMBER(J60), (J60 - $B60) / $B60, "")</f>
        <v>-1.7910447761194073E-2</v>
      </c>
      <c r="L60" s="18">
        <f>IF(ISNUMBER(J60), $B64 * K60, "")</f>
        <v>-1791.0447761194073</v>
      </c>
      <c r="M60" s="31">
        <v>66.3</v>
      </c>
      <c r="N60" s="32">
        <f t="shared" ref="N60:N63" si="29">IF(ISNUMBER(M60), (M60 - $B60) / $B60, "")</f>
        <v>-1.0447761194029893E-2</v>
      </c>
      <c r="O60" s="18">
        <f>IF(ISNUMBER(M60), $B64 * N60, "")</f>
        <v>-1044.7761194029893</v>
      </c>
      <c r="Q60" s="251"/>
      <c r="R60" s="251"/>
      <c r="S60" s="251"/>
    </row>
    <row r="61" spans="1:19" ht="17.25" customHeight="1" thickBot="1">
      <c r="A61" s="162" t="s">
        <v>227</v>
      </c>
      <c r="B61" s="126">
        <v>82.1</v>
      </c>
      <c r="C61" s="77">
        <v>-8.4726867299999994E-2</v>
      </c>
      <c r="D61" s="15">
        <v>76.599999999999994</v>
      </c>
      <c r="E61" s="32">
        <f t="shared" si="26"/>
        <v>-6.6991473812423874E-2</v>
      </c>
      <c r="F61" s="18">
        <f>IF(ISNUMBER(D61), $B64 * E61, "")</f>
        <v>-6699.1473812423874</v>
      </c>
      <c r="G61" s="31">
        <v>78.3</v>
      </c>
      <c r="H61" s="32">
        <f t="shared" si="27"/>
        <v>-4.628501827040192E-2</v>
      </c>
      <c r="I61" s="101">
        <f>IF(ISNUMBER(G61), $B64 * H61, "")</f>
        <v>-4628.5018270401924</v>
      </c>
      <c r="J61" s="15">
        <v>78.3</v>
      </c>
      <c r="K61" s="32">
        <f t="shared" si="28"/>
        <v>-4.628501827040192E-2</v>
      </c>
      <c r="L61" s="18">
        <f>IF(ISNUMBER(J61), $B64 * K61, "")</f>
        <v>-4628.5018270401924</v>
      </c>
      <c r="M61" s="31">
        <v>78.7</v>
      </c>
      <c r="N61" s="32">
        <f t="shared" si="29"/>
        <v>-4.1412911084043748E-2</v>
      </c>
      <c r="O61" s="18">
        <f>IF(ISNUMBER(M61), $B64 * N61, "")</f>
        <v>-4141.2911084043744</v>
      </c>
      <c r="Q61" s="251"/>
      <c r="R61" s="251"/>
      <c r="S61" s="251"/>
    </row>
    <row r="62" spans="1:19" ht="17.25" customHeight="1">
      <c r="A62" s="162" t="s">
        <v>154</v>
      </c>
      <c r="B62" s="126">
        <v>8.16</v>
      </c>
      <c r="C62" s="77">
        <v>-8.6226203799999998E-2</v>
      </c>
      <c r="D62" s="15">
        <v>7.73</v>
      </c>
      <c r="E62" s="32">
        <f t="shared" si="26"/>
        <v>-5.2696078431372514E-2</v>
      </c>
      <c r="F62" s="18">
        <f>IF(ISNUMBER(D62), $B64 * E62, "")</f>
        <v>-5269.6078431372516</v>
      </c>
      <c r="G62" s="31">
        <v>7.84</v>
      </c>
      <c r="H62" s="32">
        <f t="shared" si="27"/>
        <v>-3.9215686274509838E-2</v>
      </c>
      <c r="I62" s="101">
        <f>IF(ISNUMBER(G62), $B64 * H62, "")</f>
        <v>-3921.568627450984</v>
      </c>
      <c r="J62" s="15">
        <v>7.81</v>
      </c>
      <c r="K62" s="32">
        <f t="shared" si="28"/>
        <v>-4.2892156862745161E-2</v>
      </c>
      <c r="L62" s="18">
        <f>IF(ISNUMBER(J62), $B64 * K62, "")</f>
        <v>-4289.215686274516</v>
      </c>
      <c r="M62" s="31">
        <v>7.86</v>
      </c>
      <c r="N62" s="32">
        <f t="shared" si="29"/>
        <v>-3.6764705882352922E-2</v>
      </c>
      <c r="O62" s="18">
        <f>IF(ISNUMBER(M62), $B64 * N62, "")</f>
        <v>-3676.4705882352923</v>
      </c>
      <c r="Q62" s="240"/>
      <c r="R62" s="241"/>
      <c r="S62" s="242"/>
    </row>
    <row r="63" spans="1:19" ht="17.25" customHeight="1" thickBot="1">
      <c r="A63" s="130" t="s">
        <v>134</v>
      </c>
      <c r="B63" s="131">
        <v>70.3</v>
      </c>
      <c r="C63" s="79">
        <v>-9.0556274300000003E-2</v>
      </c>
      <c r="D63" s="24">
        <v>66.5</v>
      </c>
      <c r="E63" s="25">
        <f t="shared" si="26"/>
        <v>-5.4054054054054015E-2</v>
      </c>
      <c r="F63" s="104">
        <f>IF(ISNUMBER(D63), $B64 * E63, "")</f>
        <v>-5405.4054054054013</v>
      </c>
      <c r="G63" s="102">
        <v>66.7</v>
      </c>
      <c r="H63" s="25">
        <f t="shared" si="27"/>
        <v>-5.120910384068271E-2</v>
      </c>
      <c r="I63" s="103">
        <f>IF(ISNUMBER(G63), $B64 * H63, "")</f>
        <v>-5120.910384068271</v>
      </c>
      <c r="J63" s="24">
        <v>67</v>
      </c>
      <c r="K63" s="25">
        <f t="shared" si="28"/>
        <v>-4.6941678520625849E-2</v>
      </c>
      <c r="L63" s="104">
        <f>IF(ISNUMBER(J63), $B64 * K63, "")</f>
        <v>-4694.1678520625846</v>
      </c>
      <c r="M63" s="102">
        <v>67.2</v>
      </c>
      <c r="N63" s="25">
        <f t="shared" si="29"/>
        <v>-4.4096728307254543E-2</v>
      </c>
      <c r="O63" s="104">
        <f>IF(ISNUMBER(M63), $B64 * N63, "")</f>
        <v>-4409.6728307254543</v>
      </c>
      <c r="Q63" s="243"/>
      <c r="R63" s="244"/>
      <c r="S63" s="245"/>
    </row>
    <row r="64" spans="1:19" ht="17.25" customHeight="1" thickBot="1">
      <c r="A64" s="132" t="s">
        <v>295</v>
      </c>
      <c r="B64" s="304">
        <f>$B$37</f>
        <v>100000</v>
      </c>
      <c r="C64" s="305"/>
      <c r="D64" s="26" t="s">
        <v>296</v>
      </c>
      <c r="E64" s="27">
        <f>IF(COUNT(E44:E63), SUM(E44:E63) / COUNT(E44:E63), 0)</f>
        <v>-4.2895589860606757E-2</v>
      </c>
      <c r="F64" s="28">
        <f>SUM(F44:F63)</f>
        <v>-85791.179721213513</v>
      </c>
      <c r="G64" s="26" t="s">
        <v>296</v>
      </c>
      <c r="H64" s="27">
        <f>IF(COUNT(H44:H63), SUM(H44:H63) / COUNT(H44:H63), 0)</f>
        <v>-3.9619602203621693E-2</v>
      </c>
      <c r="I64" s="28">
        <f>SUM(I44:I63)</f>
        <v>-79239.204407243364</v>
      </c>
      <c r="J64" s="26" t="s">
        <v>296</v>
      </c>
      <c r="K64" s="27">
        <f>IF(COUNT(K44:K63), SUM(K44:K63) / COUNT(K44:K63), 0)</f>
        <v>-3.4613613651296969E-2</v>
      </c>
      <c r="L64" s="28">
        <f>SUM(L44:L63)</f>
        <v>-69227.22730259395</v>
      </c>
      <c r="M64" s="26" t="s">
        <v>296</v>
      </c>
      <c r="N64" s="27">
        <f>IF(COUNT(N44:N63), SUM(N44:N63) / COUNT(N44:N63), 0)</f>
        <v>-3.9773295154981819E-2</v>
      </c>
      <c r="O64" s="28">
        <f>SUM(O44:O63)</f>
        <v>-79546.590309963634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262" t="s">
        <v>45</v>
      </c>
      <c r="B67" s="263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4"/>
      <c r="Q67" s="261"/>
      <c r="R67" s="261"/>
      <c r="S67" s="261"/>
    </row>
    <row r="68" spans="1:19" ht="17.25" thickBot="1">
      <c r="A68" s="232" t="s">
        <v>292</v>
      </c>
      <c r="B68" s="262" t="s">
        <v>49</v>
      </c>
      <c r="C68" s="264"/>
      <c r="D68" s="262" t="s">
        <v>58</v>
      </c>
      <c r="E68" s="263"/>
      <c r="F68" s="264"/>
      <c r="G68" s="265">
        <f>_xlfn.IFNA(VLOOKUP(B68, 현재가테이블!$B$2:$D$200, 2, FALSE), "-")</f>
        <v>40538000</v>
      </c>
      <c r="H68" s="266"/>
      <c r="I68" s="267"/>
      <c r="J68" s="262" t="s">
        <v>59</v>
      </c>
      <c r="K68" s="263"/>
      <c r="L68" s="264"/>
      <c r="M68" s="268">
        <f>_xlfn.IFNA(VLOOKUP(B68, 현재가테이블!$B$2:$D$200, 3, FALSE), "-")</f>
        <v>-3.68275993E-2</v>
      </c>
      <c r="N68" s="269"/>
      <c r="O68" s="270"/>
      <c r="Q68" s="261"/>
      <c r="R68" s="261"/>
      <c r="S68" s="261"/>
    </row>
    <row r="69" spans="1:19" ht="17.25" thickBot="1">
      <c r="A69" s="306" t="s">
        <v>55</v>
      </c>
      <c r="B69" s="302" t="str">
        <f>TEXT($G$1, "[$-ko-KR]yyyy-mm-dd(ddd) ") &amp; "오전 00:00"</f>
        <v>2021-06-19(토) 오전 00:00</v>
      </c>
      <c r="C69" s="303"/>
      <c r="D69" s="275" t="str">
        <f>TEXT($G$1, "[$-ko-KR]yyyy-mm-dd(ddd) ") &amp; "오후 14:00"</f>
        <v>2021-06-19(토) 오후 14:00</v>
      </c>
      <c r="E69" s="276"/>
      <c r="F69" s="277"/>
      <c r="G69" s="275" t="str">
        <f>TEXT($G$1, "[$-ko-KR]yyyy-mm-dd(ddd) ") &amp; "오후 19:00"</f>
        <v>2021-06-19(토) 오후 19:00</v>
      </c>
      <c r="H69" s="276"/>
      <c r="I69" s="277"/>
      <c r="J69" s="275" t="str">
        <f>TEXT($G$1, "[$-ko-KR]yyyy-mm-dd(ddd) ") &amp; "오후 21:00"</f>
        <v>2021-06-19(토) 오후 21:00</v>
      </c>
      <c r="K69" s="276"/>
      <c r="L69" s="277"/>
      <c r="M69" s="275" t="str">
        <f>TEXT($G$1+1, "[$-ko-KR]yyyy-mm-dd(ddd) ") &amp; "오전 00:00"</f>
        <v>2021-06-20(일) 오전 00:00</v>
      </c>
      <c r="N69" s="276"/>
      <c r="O69" s="277"/>
      <c r="Q69" s="261"/>
      <c r="R69" s="261"/>
      <c r="S69" s="261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3" t="s">
        <v>58</v>
      </c>
      <c r="H70" s="234" t="s">
        <v>293</v>
      </c>
      <c r="I70" s="23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1"/>
      <c r="R70" s="251"/>
      <c r="S70" s="251"/>
    </row>
    <row r="71" spans="1:19" ht="17.25" thickBot="1">
      <c r="A71" s="161" t="s">
        <v>199</v>
      </c>
      <c r="B71" s="124">
        <v>183</v>
      </c>
      <c r="C71" s="76">
        <v>0.13664596270000001</v>
      </c>
      <c r="D71" s="13">
        <v>166</v>
      </c>
      <c r="E71" s="14">
        <f>IF(ISNUMBER(D71), (D71 - $B71) / $B71, "")</f>
        <v>-9.2896174863387984E-2</v>
      </c>
      <c r="F71" s="16">
        <f>IF(ISNUMBER(D71), $B91 * E71, "")</f>
        <v>-9289.6174863387987</v>
      </c>
      <c r="G71" s="29">
        <v>168</v>
      </c>
      <c r="H71" s="14">
        <f>IF(ISNUMBER(G71), (G71 - $B71) / $B71, "")</f>
        <v>-8.1967213114754092E-2</v>
      </c>
      <c r="I71" s="100">
        <f>IF(ISNUMBER(G71), $B91 * H71, "")</f>
        <v>-8196.7213114754086</v>
      </c>
      <c r="J71" s="13">
        <v>171</v>
      </c>
      <c r="K71" s="14">
        <f>IF(ISNUMBER(J71), (J71 - $B71) / $B71, "")</f>
        <v>-6.5573770491803282E-2</v>
      </c>
      <c r="L71" s="16">
        <f>IF(ISNUMBER(J71), $B91 * K71, "")</f>
        <v>-6557.377049180328</v>
      </c>
      <c r="M71" s="29">
        <v>170</v>
      </c>
      <c r="N71" s="14">
        <f>IF(ISNUMBER(M71), (M71 - $B71) / $B71, "")</f>
        <v>-7.1038251366120214E-2</v>
      </c>
      <c r="O71" s="16">
        <f>IF(ISNUMBER(M71), $B91 * N71, "")</f>
        <v>-7103.8251366120212</v>
      </c>
      <c r="Q71" s="261"/>
      <c r="R71" s="261"/>
      <c r="S71" s="261"/>
    </row>
    <row r="72" spans="1:19" ht="17.25" thickBot="1">
      <c r="A72" s="162" t="s">
        <v>142</v>
      </c>
      <c r="B72" s="126">
        <v>675</v>
      </c>
      <c r="C72" s="77">
        <v>4.8136645999999998E-2</v>
      </c>
      <c r="D72" s="15">
        <v>707</v>
      </c>
      <c r="E72" s="32">
        <f t="shared" ref="E72:E75" si="30">IF(ISNUMBER(D72), (D72 - $B72) / $B72, "")</f>
        <v>4.7407407407407405E-2</v>
      </c>
      <c r="F72" s="18">
        <f>IF(ISNUMBER(D72), $B91 * E72, "")</f>
        <v>4740.7407407407409</v>
      </c>
      <c r="G72" s="31">
        <v>708</v>
      </c>
      <c r="H72" s="32">
        <f t="shared" ref="H72:H75" si="31">IF(ISNUMBER(G72), (G72 - $B72) / $B72, "")</f>
        <v>4.8888888888888891E-2</v>
      </c>
      <c r="I72" s="101">
        <f>IF(ISNUMBER(G72), $B91 * H72, "")</f>
        <v>4888.8888888888896</v>
      </c>
      <c r="J72" s="15">
        <v>714</v>
      </c>
      <c r="K72" s="32">
        <f t="shared" ref="K72:K75" si="32">IF(ISNUMBER(J72), (J72 - $B72) / $B72, "")</f>
        <v>5.7777777777777775E-2</v>
      </c>
      <c r="L72" s="18">
        <f>IF(ISNUMBER(J72), $B91 * K72, "")</f>
        <v>5777.7777777777774</v>
      </c>
      <c r="M72" s="31">
        <v>713</v>
      </c>
      <c r="N72" s="32">
        <f t="shared" ref="N72:N75" si="33">IF(ISNUMBER(M72), (M72 - $B72) / $B72, "")</f>
        <v>5.6296296296296296E-2</v>
      </c>
      <c r="O72" s="18">
        <f>IF(ISNUMBER(M72), $B91 * N72, "")</f>
        <v>5629.6296296296296</v>
      </c>
      <c r="Q72" s="261"/>
      <c r="R72" s="261"/>
      <c r="S72" s="261"/>
    </row>
    <row r="73" spans="1:19" ht="17.25" thickBot="1">
      <c r="A73" s="162" t="s">
        <v>214</v>
      </c>
      <c r="B73" s="126">
        <v>235</v>
      </c>
      <c r="C73" s="77">
        <v>0</v>
      </c>
      <c r="D73" s="15">
        <v>223</v>
      </c>
      <c r="E73" s="32">
        <f t="shared" si="30"/>
        <v>-5.106382978723404E-2</v>
      </c>
      <c r="F73" s="18">
        <f>IF(ISNUMBER(D73), $B91 * E73, "")</f>
        <v>-5106.3829787234035</v>
      </c>
      <c r="G73" s="31">
        <v>223</v>
      </c>
      <c r="H73" s="32">
        <f t="shared" si="31"/>
        <v>-5.106382978723404E-2</v>
      </c>
      <c r="I73" s="101">
        <f>IF(ISNUMBER(G73), $B91 * H73, "")</f>
        <v>-5106.3829787234035</v>
      </c>
      <c r="J73" s="15">
        <v>226</v>
      </c>
      <c r="K73" s="32">
        <f t="shared" si="32"/>
        <v>-3.8297872340425532E-2</v>
      </c>
      <c r="L73" s="18">
        <f>IF(ISNUMBER(J73), $B91 * K73, "")</f>
        <v>-3829.7872340425533</v>
      </c>
      <c r="M73" s="31">
        <v>226</v>
      </c>
      <c r="N73" s="32">
        <f t="shared" si="33"/>
        <v>-3.8297872340425532E-2</v>
      </c>
      <c r="O73" s="18">
        <f>IF(ISNUMBER(M73), $B91 * N73, "")</f>
        <v>-3829.7872340425533</v>
      </c>
      <c r="Q73" s="251"/>
      <c r="R73" s="251"/>
      <c r="S73" s="251"/>
    </row>
    <row r="74" spans="1:19" ht="17.25" thickBot="1">
      <c r="A74" s="162" t="s">
        <v>54</v>
      </c>
      <c r="B74" s="126">
        <v>241</v>
      </c>
      <c r="C74" s="77">
        <v>-1.2295082000000001E-2</v>
      </c>
      <c r="D74" s="15">
        <v>238</v>
      </c>
      <c r="E74" s="32">
        <f t="shared" si="30"/>
        <v>-1.2448132780082987E-2</v>
      </c>
      <c r="F74" s="18">
        <f>IF(ISNUMBER(D74), $B91 * E74, "")</f>
        <v>-1244.8132780082988</v>
      </c>
      <c r="G74" s="31">
        <v>237</v>
      </c>
      <c r="H74" s="32">
        <f t="shared" si="31"/>
        <v>-1.6597510373443983E-2</v>
      </c>
      <c r="I74" s="101">
        <f>IF(ISNUMBER(G74), $B91 * H74, "")</f>
        <v>-1659.7510373443984</v>
      </c>
      <c r="J74" s="15">
        <v>238</v>
      </c>
      <c r="K74" s="32">
        <f t="shared" si="32"/>
        <v>-1.2448132780082987E-2</v>
      </c>
      <c r="L74" s="18">
        <f>IF(ISNUMBER(J74), $B91 * K74, "")</f>
        <v>-1244.8132780082988</v>
      </c>
      <c r="M74" s="31">
        <v>235</v>
      </c>
      <c r="N74" s="32">
        <f t="shared" si="33"/>
        <v>-2.4896265560165973E-2</v>
      </c>
      <c r="O74" s="18">
        <f>IF(ISNUMBER(M74), $B91 * N74, "")</f>
        <v>-2489.6265560165975</v>
      </c>
      <c r="Q74" s="251"/>
      <c r="R74" s="251"/>
      <c r="S74" s="251"/>
    </row>
    <row r="75" spans="1:19" ht="17.25" thickBot="1">
      <c r="A75" s="163" t="s">
        <v>92</v>
      </c>
      <c r="B75" s="128">
        <v>952</v>
      </c>
      <c r="C75" s="78">
        <v>-3.8383838400000002E-2</v>
      </c>
      <c r="D75" s="20">
        <v>931</v>
      </c>
      <c r="E75" s="21">
        <f t="shared" si="30"/>
        <v>-2.2058823529411766E-2</v>
      </c>
      <c r="F75" s="22">
        <f>IF(ISNUMBER(D75), $B91 * E75, "")</f>
        <v>-2205.8823529411766</v>
      </c>
      <c r="G75" s="30">
        <v>929</v>
      </c>
      <c r="H75" s="21">
        <f t="shared" si="31"/>
        <v>-2.4159663865546219E-2</v>
      </c>
      <c r="I75" s="105">
        <f>IF(ISNUMBER(G75), $B91 * H75, "")</f>
        <v>-2415.9663865546217</v>
      </c>
      <c r="J75" s="20">
        <v>937</v>
      </c>
      <c r="K75" s="21">
        <f t="shared" si="32"/>
        <v>-1.5756302521008403E-2</v>
      </c>
      <c r="L75" s="22">
        <f>IF(ISNUMBER(J75), $B91 * K75, "")</f>
        <v>-1575.6302521008404</v>
      </c>
      <c r="M75" s="30">
        <v>935</v>
      </c>
      <c r="N75" s="21">
        <f t="shared" si="33"/>
        <v>-1.7857142857142856E-2</v>
      </c>
      <c r="O75" s="22">
        <f>IF(ISNUMBER(M75), $B91 * N75, "")</f>
        <v>-1785.7142857142856</v>
      </c>
      <c r="Q75" s="251"/>
      <c r="R75" s="251"/>
      <c r="S75" s="251"/>
    </row>
    <row r="76" spans="1:19" ht="17.25" thickBot="1">
      <c r="A76" s="162" t="s">
        <v>291</v>
      </c>
      <c r="B76" s="129">
        <v>343</v>
      </c>
      <c r="C76" s="80">
        <v>-4.7222222199999997E-2</v>
      </c>
      <c r="D76" s="106">
        <v>343</v>
      </c>
      <c r="E76" s="107">
        <f>IF(ISNUMBER(D76), (D76 - $B76) / $B76, "")</f>
        <v>0</v>
      </c>
      <c r="F76" s="108">
        <f>IF(ISNUMBER(D76), $B91 * E76, "")</f>
        <v>0</v>
      </c>
      <c r="G76" s="109">
        <v>342</v>
      </c>
      <c r="H76" s="107">
        <f>IF(ISNUMBER(G76), (G76 - $B76) / $B76, "")</f>
        <v>-2.9154518950437317E-3</v>
      </c>
      <c r="I76" s="110">
        <f>IF(ISNUMBER(G76), $B91 * H76, "")</f>
        <v>-291.54518950437318</v>
      </c>
      <c r="J76" s="106">
        <v>346</v>
      </c>
      <c r="K76" s="107">
        <f>IF(ISNUMBER(J76), (J76 - $B76) / $B76, "")</f>
        <v>8.7463556851311956E-3</v>
      </c>
      <c r="L76" s="108">
        <f>IF(ISNUMBER(J76), $B91 * K76, "")</f>
        <v>874.63556851311955</v>
      </c>
      <c r="M76" s="109">
        <v>345</v>
      </c>
      <c r="N76" s="107">
        <f>IF(ISNUMBER(M76), (M76 - $B76) / $B76, "")</f>
        <v>5.8309037900874635E-3</v>
      </c>
      <c r="O76" s="108">
        <f>IF(ISNUMBER(M76), $B91 * N76, "")</f>
        <v>583.09037900874637</v>
      </c>
      <c r="Q76" s="251"/>
      <c r="R76" s="251"/>
      <c r="S76" s="251"/>
    </row>
    <row r="77" spans="1:19" ht="17.25" thickBot="1">
      <c r="A77" s="162" t="s">
        <v>132</v>
      </c>
      <c r="B77" s="126">
        <v>120</v>
      </c>
      <c r="C77" s="77">
        <v>-4.7619047599999999E-2</v>
      </c>
      <c r="D77" s="15">
        <v>117</v>
      </c>
      <c r="E77" s="32">
        <f t="shared" ref="E77:E80" si="34">IF(ISNUMBER(D77), (D77 - $B77) / $B77, "")</f>
        <v>-2.5000000000000001E-2</v>
      </c>
      <c r="F77" s="18">
        <f>IF(ISNUMBER(D77), $B91 * E77, "")</f>
        <v>-2500</v>
      </c>
      <c r="G77" s="31">
        <v>117</v>
      </c>
      <c r="H77" s="32">
        <f t="shared" ref="H77:H80" si="35">IF(ISNUMBER(G77), (G77 - $B77) / $B77, "")</f>
        <v>-2.5000000000000001E-2</v>
      </c>
      <c r="I77" s="101">
        <f>IF(ISNUMBER(G77), $B91 * H77, "")</f>
        <v>-2500</v>
      </c>
      <c r="J77" s="15">
        <v>119</v>
      </c>
      <c r="K77" s="32">
        <f t="shared" ref="K77:K80" si="36">IF(ISNUMBER(J77), (J77 - $B77) / $B77, "")</f>
        <v>-8.3333333333333332E-3</v>
      </c>
      <c r="L77" s="18">
        <f>IF(ISNUMBER(J77), $B91 * K77, "")</f>
        <v>-833.33333333333337</v>
      </c>
      <c r="M77" s="31">
        <v>119</v>
      </c>
      <c r="N77" s="32">
        <f t="shared" ref="N77:N80" si="37">IF(ISNUMBER(M77), (M77 - $B77) / $B77, "")</f>
        <v>-8.3333333333333332E-3</v>
      </c>
      <c r="O77" s="18">
        <f>IF(ISNUMBER(M77), $B91 * N77, "")</f>
        <v>-833.33333333333337</v>
      </c>
      <c r="Q77" s="251"/>
      <c r="R77" s="251"/>
      <c r="S77" s="251"/>
    </row>
    <row r="78" spans="1:19" ht="17.25" thickBot="1">
      <c r="A78" s="162" t="s">
        <v>279</v>
      </c>
      <c r="B78" s="126">
        <v>185</v>
      </c>
      <c r="C78" s="77">
        <v>-5.1282051299999999E-2</v>
      </c>
      <c r="D78" s="15">
        <v>181</v>
      </c>
      <c r="E78" s="32">
        <f t="shared" si="34"/>
        <v>-2.1621621621621623E-2</v>
      </c>
      <c r="F78" s="18">
        <f>IF(ISNUMBER(D78), $B91 * E78, "")</f>
        <v>-2162.1621621621621</v>
      </c>
      <c r="G78" s="31">
        <v>182</v>
      </c>
      <c r="H78" s="32">
        <f t="shared" si="35"/>
        <v>-1.6216216216216217E-2</v>
      </c>
      <c r="I78" s="101">
        <f>IF(ISNUMBER(G78), $B91 * H78, "")</f>
        <v>-1621.6216216216217</v>
      </c>
      <c r="J78" s="15">
        <v>183</v>
      </c>
      <c r="K78" s="32">
        <f t="shared" si="36"/>
        <v>-1.0810810810810811E-2</v>
      </c>
      <c r="L78" s="18">
        <f>IF(ISNUMBER(J78), $B91 * K78, "")</f>
        <v>-1081.081081081081</v>
      </c>
      <c r="M78" s="31">
        <v>184</v>
      </c>
      <c r="N78" s="32">
        <f t="shared" si="37"/>
        <v>-5.4054054054054057E-3</v>
      </c>
      <c r="O78" s="18">
        <f>IF(ISNUMBER(M78), $B91 * N78, "")</f>
        <v>-540.54054054054052</v>
      </c>
      <c r="Q78" s="251"/>
      <c r="R78" s="251"/>
      <c r="S78" s="251"/>
    </row>
    <row r="79" spans="1:19" ht="17.25" thickBot="1">
      <c r="A79" s="162" t="s">
        <v>120</v>
      </c>
      <c r="B79" s="126">
        <v>128</v>
      </c>
      <c r="C79" s="77">
        <v>-5.1851851900000002E-2</v>
      </c>
      <c r="D79" s="15">
        <v>123</v>
      </c>
      <c r="E79" s="32">
        <f t="shared" si="34"/>
        <v>-3.90625E-2</v>
      </c>
      <c r="F79" s="18">
        <f>IF(ISNUMBER(D79), $B91 * E79, "")</f>
        <v>-3906.25</v>
      </c>
      <c r="G79" s="31">
        <v>126</v>
      </c>
      <c r="H79" s="32">
        <f t="shared" si="35"/>
        <v>-1.5625E-2</v>
      </c>
      <c r="I79" s="101">
        <f>IF(ISNUMBER(G79), $B91 * H79, "")</f>
        <v>-1562.5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130</v>
      </c>
      <c r="N79" s="32">
        <f t="shared" si="37"/>
        <v>1.5625E-2</v>
      </c>
      <c r="O79" s="18">
        <f>IF(ISNUMBER(M79), $B91 * N79, "")</f>
        <v>1562.5</v>
      </c>
      <c r="Q79" s="33"/>
      <c r="R79" s="33"/>
    </row>
    <row r="80" spans="1:19" ht="17.25" thickBot="1">
      <c r="A80" s="130" t="s">
        <v>253</v>
      </c>
      <c r="B80" s="131">
        <v>374</v>
      </c>
      <c r="C80" s="79">
        <v>-5.3164557000000001E-2</v>
      </c>
      <c r="D80" s="24">
        <v>354</v>
      </c>
      <c r="E80" s="25">
        <f t="shared" si="34"/>
        <v>-5.3475935828877004E-2</v>
      </c>
      <c r="F80" s="104">
        <f>IF(ISNUMBER(D80), $B91 * E80, "")</f>
        <v>-5347.5935828877</v>
      </c>
      <c r="G80" s="102">
        <v>354</v>
      </c>
      <c r="H80" s="25">
        <f t="shared" si="35"/>
        <v>-5.3475935828877004E-2</v>
      </c>
      <c r="I80" s="103">
        <f>IF(ISNUMBER(G80), $B91 * H80, "")</f>
        <v>-5347.5935828877</v>
      </c>
      <c r="J80" s="24">
        <v>354</v>
      </c>
      <c r="K80" s="25">
        <f t="shared" si="36"/>
        <v>-5.3475935828877004E-2</v>
      </c>
      <c r="L80" s="104">
        <f>IF(ISNUMBER(J80), $B91 * K80, "")</f>
        <v>-5347.5935828877</v>
      </c>
      <c r="M80" s="102">
        <v>359</v>
      </c>
      <c r="N80" s="25">
        <f t="shared" si="37"/>
        <v>-4.0106951871657755E-2</v>
      </c>
      <c r="O80" s="104">
        <f>IF(ISNUMBER(M80), $B91 * N80, "")</f>
        <v>-4010.6951871657757</v>
      </c>
      <c r="Q80" s="252"/>
      <c r="R80" s="253"/>
      <c r="S80" s="254"/>
    </row>
    <row r="81" spans="1:19">
      <c r="A81" s="161" t="s">
        <v>51</v>
      </c>
      <c r="B81" s="124">
        <v>354</v>
      </c>
      <c r="C81" s="76">
        <v>-5.3475935799999999E-2</v>
      </c>
      <c r="D81" s="13">
        <v>349</v>
      </c>
      <c r="E81" s="14">
        <f>IF(ISNUMBER(D81), (D81 - $B81) / $B81, "")</f>
        <v>-1.4124293785310734E-2</v>
      </c>
      <c r="F81" s="16">
        <f>IF(ISNUMBER(D81), $B91 * E81, "")</f>
        <v>-1412.4293785310736</v>
      </c>
      <c r="G81" s="29">
        <v>352</v>
      </c>
      <c r="H81" s="14">
        <f>IF(ISNUMBER(G81), (G81 - $B81) / $B81, "")</f>
        <v>-5.6497175141242938E-3</v>
      </c>
      <c r="I81" s="100">
        <f>IF(ISNUMBER(G81), $B91 * H81, "")</f>
        <v>-564.9717514124294</v>
      </c>
      <c r="J81" s="13">
        <v>357</v>
      </c>
      <c r="K81" s="14">
        <f>IF(ISNUMBER(J81), (J81 - $B81) / $B81, "")</f>
        <v>8.4745762711864406E-3</v>
      </c>
      <c r="L81" s="16">
        <f>IF(ISNUMBER(J81), $B91 * K81, "")</f>
        <v>847.45762711864404</v>
      </c>
      <c r="M81" s="29">
        <v>354</v>
      </c>
      <c r="N81" s="14">
        <f>IF(ISNUMBER(M81), (M81 - $B81) / $B81, "")</f>
        <v>0</v>
      </c>
      <c r="O81" s="16">
        <f>IF(ISNUMBER(M81), $B91 * N81, "")</f>
        <v>0</v>
      </c>
      <c r="Q81" s="255"/>
      <c r="R81" s="256"/>
      <c r="S81" s="257"/>
    </row>
    <row r="82" spans="1:19" ht="17.25" thickBot="1">
      <c r="A82" s="162" t="s">
        <v>116</v>
      </c>
      <c r="B82" s="126">
        <v>302</v>
      </c>
      <c r="C82" s="77">
        <v>-5.6250000000000001E-2</v>
      </c>
      <c r="D82" s="15">
        <v>294</v>
      </c>
      <c r="E82" s="32">
        <f t="shared" ref="E82:E85" si="38">IF(ISNUMBER(D82), (D82 - $B82) / $B82, "")</f>
        <v>-2.6490066225165563E-2</v>
      </c>
      <c r="F82" s="18">
        <f>IF(ISNUMBER(D82), $B91 * E82, "")</f>
        <v>-2649.0066225165565</v>
      </c>
      <c r="G82" s="31">
        <v>296</v>
      </c>
      <c r="H82" s="32">
        <f t="shared" ref="H82:H85" si="39">IF(ISNUMBER(G82), (G82 - $B82) / $B82, "")</f>
        <v>-1.9867549668874173E-2</v>
      </c>
      <c r="I82" s="101">
        <f>IF(ISNUMBER(G82), $B91 * H82, "")</f>
        <v>-1986.7549668874174</v>
      </c>
      <c r="J82" s="15">
        <v>297</v>
      </c>
      <c r="K82" s="32">
        <f t="shared" ref="K82:K85" si="40">IF(ISNUMBER(J82), (J82 - $B82) / $B82, "")</f>
        <v>-1.6556291390728478E-2</v>
      </c>
      <c r="L82" s="18">
        <f>IF(ISNUMBER(J82), $B91 * K82, "")</f>
        <v>-1655.6291390728479</v>
      </c>
      <c r="M82" s="31">
        <v>296</v>
      </c>
      <c r="N82" s="32">
        <f t="shared" ref="N82:N85" si="41">IF(ISNUMBER(M82), (M82 - $B82) / $B82, "")</f>
        <v>-1.9867549668874173E-2</v>
      </c>
      <c r="O82" s="18">
        <f>IF(ISNUMBER(M82), $B91 * N82, "")</f>
        <v>-1986.7549668874174</v>
      </c>
      <c r="Q82" s="258"/>
      <c r="R82" s="259"/>
      <c r="S82" s="260"/>
    </row>
    <row r="83" spans="1:19" ht="17.25" thickBot="1">
      <c r="A83" s="162" t="s">
        <v>165</v>
      </c>
      <c r="B83" s="126">
        <v>995</v>
      </c>
      <c r="C83" s="77">
        <v>-5.6872037899999998E-2</v>
      </c>
      <c r="D83" s="15">
        <v>963</v>
      </c>
      <c r="E83" s="32">
        <f t="shared" si="38"/>
        <v>-3.2160804020100506E-2</v>
      </c>
      <c r="F83" s="18">
        <f>IF(ISNUMBER(D83), $B91 * E83, "")</f>
        <v>-3216.0804020100504</v>
      </c>
      <c r="G83" s="31">
        <v>986</v>
      </c>
      <c r="H83" s="32">
        <f t="shared" si="39"/>
        <v>-9.0452261306532659E-3</v>
      </c>
      <c r="I83" s="101">
        <f>IF(ISNUMBER(G83), $B91 * H83, "")</f>
        <v>-904.5226130653266</v>
      </c>
      <c r="J83" s="15">
        <v>982</v>
      </c>
      <c r="K83" s="32">
        <f t="shared" si="40"/>
        <v>-1.3065326633165829E-2</v>
      </c>
      <c r="L83" s="18">
        <f>IF(ISNUMBER(J83), $B91 * K83, "")</f>
        <v>-1306.532663316583</v>
      </c>
      <c r="M83" s="31">
        <v>970</v>
      </c>
      <c r="N83" s="32">
        <f t="shared" si="41"/>
        <v>-2.5125628140703519E-2</v>
      </c>
      <c r="O83" s="18">
        <f>IF(ISNUMBER(M83), $B91 * N83, "")</f>
        <v>-2512.562814070352</v>
      </c>
      <c r="Q83" s="251"/>
      <c r="R83" s="251"/>
      <c r="S83" s="251"/>
    </row>
    <row r="84" spans="1:19" ht="17.25" thickBot="1">
      <c r="A84" s="162" t="s">
        <v>57</v>
      </c>
      <c r="B84" s="126">
        <v>181</v>
      </c>
      <c r="C84" s="77">
        <v>-5.72916667E-2</v>
      </c>
      <c r="D84" s="15">
        <v>175</v>
      </c>
      <c r="E84" s="32">
        <f t="shared" si="38"/>
        <v>-3.3149171270718231E-2</v>
      </c>
      <c r="F84" s="18">
        <f>IF(ISNUMBER(D84), $B91 * E84, "")</f>
        <v>-3314.917127071823</v>
      </c>
      <c r="G84" s="31">
        <v>177</v>
      </c>
      <c r="H84" s="32">
        <f t="shared" si="39"/>
        <v>-2.2099447513812154E-2</v>
      </c>
      <c r="I84" s="101">
        <f>IF(ISNUMBER(G84), $B91 * H84, "")</f>
        <v>-2209.9447513812152</v>
      </c>
      <c r="J84" s="15">
        <v>178</v>
      </c>
      <c r="K84" s="32">
        <f t="shared" si="40"/>
        <v>-1.6574585635359115E-2</v>
      </c>
      <c r="L84" s="18">
        <f>IF(ISNUMBER(J84), $B91 * K84, "")</f>
        <v>-1657.4585635359115</v>
      </c>
      <c r="M84" s="31">
        <v>177</v>
      </c>
      <c r="N84" s="32">
        <f t="shared" si="41"/>
        <v>-2.2099447513812154E-2</v>
      </c>
      <c r="O84" s="18">
        <f>IF(ISNUMBER(M84), $B91 * N84, "")</f>
        <v>-2209.9447513812152</v>
      </c>
      <c r="Q84" s="261"/>
      <c r="R84" s="261"/>
      <c r="S84" s="261"/>
    </row>
    <row r="85" spans="1:19" ht="17.25" thickBot="1">
      <c r="A85" s="163" t="s">
        <v>265</v>
      </c>
      <c r="B85" s="128">
        <v>308</v>
      </c>
      <c r="C85" s="78">
        <v>-5.8103975500000002E-2</v>
      </c>
      <c r="D85" s="20">
        <v>305</v>
      </c>
      <c r="E85" s="21">
        <f t="shared" si="38"/>
        <v>-9.74025974025974E-3</v>
      </c>
      <c r="F85" s="22">
        <f>IF(ISNUMBER(D85), $B91 * E85, "")</f>
        <v>-974.02597402597405</v>
      </c>
      <c r="G85" s="30">
        <v>309</v>
      </c>
      <c r="H85" s="21">
        <f t="shared" si="39"/>
        <v>3.246753246753247E-3</v>
      </c>
      <c r="I85" s="105">
        <f>IF(ISNUMBER(G85), $B91 * H85, "")</f>
        <v>324.6753246753247</v>
      </c>
      <c r="J85" s="20">
        <v>312</v>
      </c>
      <c r="K85" s="21">
        <f t="shared" si="40"/>
        <v>1.2987012987012988E-2</v>
      </c>
      <c r="L85" s="22">
        <f>IF(ISNUMBER(J85), $B91 * K85, "")</f>
        <v>1298.7012987012988</v>
      </c>
      <c r="M85" s="30">
        <v>310</v>
      </c>
      <c r="N85" s="21">
        <f t="shared" si="41"/>
        <v>6.4935064935064939E-3</v>
      </c>
      <c r="O85" s="22">
        <f>IF(ISNUMBER(M85), $B91 * N85, "")</f>
        <v>649.35064935064941</v>
      </c>
      <c r="Q85" s="261"/>
      <c r="R85" s="261"/>
      <c r="S85" s="261"/>
    </row>
    <row r="86" spans="1:19" ht="17.25" thickBot="1">
      <c r="A86" s="162" t="s">
        <v>106</v>
      </c>
      <c r="B86" s="129">
        <v>973</v>
      </c>
      <c r="C86" s="80">
        <v>-5.99033816E-2</v>
      </c>
      <c r="D86" s="106">
        <v>950</v>
      </c>
      <c r="E86" s="107">
        <f>IF(ISNUMBER(D86), (D86 - $B86) / $B86, "")</f>
        <v>-2.3638232271325797E-2</v>
      </c>
      <c r="F86" s="108">
        <f>IF(ISNUMBER(D86), $B91 * E86, "")</f>
        <v>-2363.8232271325796</v>
      </c>
      <c r="G86" s="109">
        <v>953</v>
      </c>
      <c r="H86" s="107">
        <f>IF(ISNUMBER(G86), (G86 - $B86) / $B86, "")</f>
        <v>-2.0554984583761562E-2</v>
      </c>
      <c r="I86" s="110">
        <f>IF(ISNUMBER(G86), $B91 * H86, "")</f>
        <v>-2055.4984583761561</v>
      </c>
      <c r="J86" s="106">
        <v>970</v>
      </c>
      <c r="K86" s="107">
        <f>IF(ISNUMBER(J86), (J86 - $B86) / $B86, "")</f>
        <v>-3.0832476875642342E-3</v>
      </c>
      <c r="L86" s="108">
        <f>IF(ISNUMBER(J86), $B91 * K86, "")</f>
        <v>-308.3247687564234</v>
      </c>
      <c r="M86" s="109">
        <v>967</v>
      </c>
      <c r="N86" s="107">
        <f>IF(ISNUMBER(M86), (M86 - $B86) / $B86, "")</f>
        <v>-6.1664953751284684E-3</v>
      </c>
      <c r="O86" s="108">
        <f>IF(ISNUMBER(M86), $B91 * N86, "")</f>
        <v>-616.64953751284679</v>
      </c>
      <c r="Q86" s="251"/>
      <c r="R86" s="251"/>
      <c r="S86" s="251"/>
    </row>
    <row r="87" spans="1:19" ht="17.25" thickBot="1">
      <c r="A87" s="162" t="s">
        <v>169</v>
      </c>
      <c r="B87" s="126">
        <v>232</v>
      </c>
      <c r="C87" s="77">
        <v>-6.0728744899999999E-2</v>
      </c>
      <c r="D87" s="15">
        <v>223</v>
      </c>
      <c r="E87" s="32">
        <f t="shared" ref="E87:E90" si="42">IF(ISNUMBER(D87), (D87 - $B87) / $B87, "")</f>
        <v>-3.8793103448275863E-2</v>
      </c>
      <c r="F87" s="18">
        <f>IF(ISNUMBER(D87), $B91 * E87, "")</f>
        <v>-3879.3103448275865</v>
      </c>
      <c r="G87" s="31">
        <v>225</v>
      </c>
      <c r="H87" s="32">
        <f t="shared" ref="H87:H90" si="43">IF(ISNUMBER(G87), (G87 - $B87) / $B87, "")</f>
        <v>-3.017241379310345E-2</v>
      </c>
      <c r="I87" s="101">
        <f>IF(ISNUMBER(G87), $B91 * H87, "")</f>
        <v>-3017.2413793103451</v>
      </c>
      <c r="J87" s="15">
        <v>225</v>
      </c>
      <c r="K87" s="32">
        <f t="shared" ref="K87:K90" si="44">IF(ISNUMBER(J87), (J87 - $B87) / $B87, "")</f>
        <v>-3.017241379310345E-2</v>
      </c>
      <c r="L87" s="18">
        <f>IF(ISNUMBER(J87), $B91 * K87, "")</f>
        <v>-3017.2413793103451</v>
      </c>
      <c r="M87" s="31">
        <v>227</v>
      </c>
      <c r="N87" s="32">
        <f t="shared" ref="N87:N90" si="45">IF(ISNUMBER(M87), (M87 - $B87) / $B87, "")</f>
        <v>-2.1551724137931036E-2</v>
      </c>
      <c r="O87" s="18">
        <f>IF(ISNUMBER(M87), $B91 * N87, "")</f>
        <v>-2155.1724137931037</v>
      </c>
      <c r="Q87" s="251"/>
      <c r="R87" s="251"/>
      <c r="S87" s="251"/>
    </row>
    <row r="88" spans="1:19" ht="17.25" thickBot="1">
      <c r="A88" s="162" t="s">
        <v>61</v>
      </c>
      <c r="B88" s="126">
        <v>763</v>
      </c>
      <c r="C88" s="77">
        <v>-6.1500615000000002E-2</v>
      </c>
      <c r="D88" s="15">
        <v>751</v>
      </c>
      <c r="E88" s="32">
        <f t="shared" si="42"/>
        <v>-1.5727391874180863E-2</v>
      </c>
      <c r="F88" s="18">
        <f>IF(ISNUMBER(D88), $B91 * E88, "")</f>
        <v>-1572.7391874180864</v>
      </c>
      <c r="G88" s="31">
        <v>756</v>
      </c>
      <c r="H88" s="32">
        <f t="shared" si="43"/>
        <v>-9.1743119266055051E-3</v>
      </c>
      <c r="I88" s="101">
        <f>IF(ISNUMBER(G88), $B91 * H88, "")</f>
        <v>-917.43119266055055</v>
      </c>
      <c r="J88" s="15">
        <v>765</v>
      </c>
      <c r="K88" s="32">
        <f t="shared" si="44"/>
        <v>2.6212319790301442E-3</v>
      </c>
      <c r="L88" s="18">
        <f>IF(ISNUMBER(J88), $B91 * K88, "")</f>
        <v>262.12319790301444</v>
      </c>
      <c r="M88" s="31">
        <v>764</v>
      </c>
      <c r="N88" s="32">
        <f t="shared" si="45"/>
        <v>1.3106159895150721E-3</v>
      </c>
      <c r="O88" s="18">
        <f>IF(ISNUMBER(M88), $B91 * N88, "")</f>
        <v>131.06159895150722</v>
      </c>
      <c r="Q88" s="251"/>
      <c r="R88" s="251"/>
      <c r="S88" s="251"/>
    </row>
    <row r="89" spans="1:19">
      <c r="A89" s="162" t="s">
        <v>136</v>
      </c>
      <c r="B89" s="126">
        <v>122</v>
      </c>
      <c r="C89" s="77">
        <v>-6.1538461500000002E-2</v>
      </c>
      <c r="D89" s="15">
        <v>119</v>
      </c>
      <c r="E89" s="32">
        <f t="shared" si="42"/>
        <v>-2.4590163934426229E-2</v>
      </c>
      <c r="F89" s="18">
        <f>IF(ISNUMBER(D89), $B91 * E89, "")</f>
        <v>-2459.0163934426228</v>
      </c>
      <c r="G89" s="31">
        <v>120</v>
      </c>
      <c r="H89" s="32">
        <f t="shared" si="43"/>
        <v>-1.6393442622950821E-2</v>
      </c>
      <c r="I89" s="101">
        <f>IF(ISNUMBER(G89), $B91 * H89, "")</f>
        <v>-1639.344262295082</v>
      </c>
      <c r="J89" s="15">
        <v>122</v>
      </c>
      <c r="K89" s="32">
        <f t="shared" si="44"/>
        <v>0</v>
      </c>
      <c r="L89" s="18">
        <f>IF(ISNUMBER(J89), $B91 * K89, "")</f>
        <v>0</v>
      </c>
      <c r="M89" s="31">
        <v>122</v>
      </c>
      <c r="N89" s="32">
        <f t="shared" si="45"/>
        <v>0</v>
      </c>
      <c r="O89" s="18">
        <f>IF(ISNUMBER(M89), $B91 * N89, "")</f>
        <v>0</v>
      </c>
      <c r="Q89" s="240"/>
      <c r="R89" s="241"/>
      <c r="S89" s="242"/>
    </row>
    <row r="90" spans="1:19" ht="17.25" thickBot="1">
      <c r="A90" s="130" t="s">
        <v>173</v>
      </c>
      <c r="B90" s="131">
        <v>105</v>
      </c>
      <c r="C90" s="79">
        <v>-6.25E-2</v>
      </c>
      <c r="D90" s="24">
        <v>108</v>
      </c>
      <c r="E90" s="25">
        <f t="shared" si="42"/>
        <v>2.8571428571428571E-2</v>
      </c>
      <c r="F90" s="104">
        <f>IF(ISNUMBER(D90), $B91 * E90, "")</f>
        <v>2857.1428571428569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106</v>
      </c>
      <c r="K90" s="25">
        <f t="shared" si="44"/>
        <v>9.5238095238095247E-3</v>
      </c>
      <c r="L90" s="104">
        <f>IF(ISNUMBER(J90), $B91 * K90, "")</f>
        <v>952.38095238095252</v>
      </c>
      <c r="M90" s="102">
        <v>105</v>
      </c>
      <c r="N90" s="25">
        <f t="shared" si="45"/>
        <v>0</v>
      </c>
      <c r="O90" s="104">
        <f>IF(ISNUMBER(M90), $B91 * N90, "")</f>
        <v>0</v>
      </c>
      <c r="Q90" s="243"/>
      <c r="R90" s="244"/>
      <c r="S90" s="245"/>
    </row>
    <row r="91" spans="1:19" ht="17.25" thickBot="1">
      <c r="A91" s="132" t="s">
        <v>295</v>
      </c>
      <c r="B91" s="304">
        <f>$B$37</f>
        <v>100000</v>
      </c>
      <c r="C91" s="305"/>
      <c r="D91" s="26" t="s">
        <v>296</v>
      </c>
      <c r="E91" s="27">
        <f>IF(COUNT(E71:E90), SUM(E71:E90) / COUNT(E71:E90), 0)</f>
        <v>-2.300308345007715E-2</v>
      </c>
      <c r="F91" s="28">
        <f>SUM(F71:F90)</f>
        <v>-46006.16690015429</v>
      </c>
      <c r="G91" s="26" t="s">
        <v>296</v>
      </c>
      <c r="H91" s="27">
        <f>IF(COUNT(H71:H90), SUM(H71:H90) / COUNT(H71:H90), 0)</f>
        <v>-1.839211363496792E-2</v>
      </c>
      <c r="I91" s="28">
        <f>SUM(I71:I90)</f>
        <v>-36784.227269935844</v>
      </c>
      <c r="J91" s="26" t="s">
        <v>296</v>
      </c>
      <c r="K91" s="27">
        <f>IF(COUNT(K71:K90), SUM(K71:K90) / COUNT(K71:K90), 0)</f>
        <v>-9.2008629511157215E-3</v>
      </c>
      <c r="L91" s="28">
        <f>SUM(L71:L90)</f>
        <v>-18401.725902231439</v>
      </c>
      <c r="M91" s="26" t="s">
        <v>296</v>
      </c>
      <c r="N91" s="27">
        <f>IF(COUNT(N71:N90), SUM(N71:N90) / COUNT(N71:N90), 0)</f>
        <v>-1.0759487250064755E-2</v>
      </c>
      <c r="O91" s="28">
        <f>SUM(O71:O90)</f>
        <v>-21518.974500129512</v>
      </c>
      <c r="Q91" s="246"/>
      <c r="R91" s="247"/>
      <c r="S91" s="248"/>
    </row>
    <row r="93" spans="1:19" ht="17.25" thickBot="1"/>
    <row r="94" spans="1:19" ht="17.25" thickBot="1">
      <c r="A94" s="262" t="s">
        <v>46</v>
      </c>
      <c r="B94" s="263"/>
      <c r="C94" s="263"/>
      <c r="D94" s="263"/>
      <c r="E94" s="263"/>
      <c r="F94" s="263"/>
      <c r="G94" s="263"/>
      <c r="H94" s="263"/>
      <c r="I94" s="263"/>
      <c r="J94" s="263"/>
      <c r="K94" s="263"/>
      <c r="L94" s="263"/>
      <c r="M94" s="263"/>
      <c r="N94" s="263"/>
      <c r="O94" s="264"/>
      <c r="Q94" s="261"/>
      <c r="R94" s="261"/>
      <c r="S94" s="261"/>
    </row>
    <row r="95" spans="1:19" ht="17.25" thickBot="1">
      <c r="A95" s="232" t="s">
        <v>292</v>
      </c>
      <c r="B95" s="262" t="s">
        <v>49</v>
      </c>
      <c r="C95" s="264"/>
      <c r="D95" s="262" t="s">
        <v>58</v>
      </c>
      <c r="E95" s="263"/>
      <c r="F95" s="264"/>
      <c r="G95" s="265">
        <f>_xlfn.IFNA(VLOOKUP(B95, 현재가테이블!$B$2:$D$200, 2, FALSE), "-")</f>
        <v>40538000</v>
      </c>
      <c r="H95" s="266"/>
      <c r="I95" s="267"/>
      <c r="J95" s="262" t="s">
        <v>59</v>
      </c>
      <c r="K95" s="263"/>
      <c r="L95" s="264"/>
      <c r="M95" s="268">
        <f>_xlfn.IFNA(VLOOKUP(B95, 현재가테이블!$B$2:$D$200, 3, FALSE), "-")</f>
        <v>-3.68275993E-2</v>
      </c>
      <c r="N95" s="269"/>
      <c r="O95" s="270"/>
      <c r="Q95" s="261"/>
      <c r="R95" s="261"/>
      <c r="S95" s="261"/>
    </row>
    <row r="96" spans="1:19" ht="17.25" thickBot="1">
      <c r="A96" s="306" t="s">
        <v>55</v>
      </c>
      <c r="B96" s="302" t="str">
        <f>TEXT($G$1, "[$-ko-KR]yyyy-mm-dd(ddd) ") &amp; "오전 00:00"</f>
        <v>2021-06-19(토) 오전 00:00</v>
      </c>
      <c r="C96" s="303"/>
      <c r="D96" s="275" t="str">
        <f>TEXT($G$1, "[$-ko-KR]yyyy-mm-dd(ddd) ") &amp; "오후 14:00"</f>
        <v>2021-06-19(토) 오후 14:00</v>
      </c>
      <c r="E96" s="276"/>
      <c r="F96" s="277"/>
      <c r="G96" s="275" t="str">
        <f>TEXT($G$1, "[$-ko-KR]yyyy-mm-dd(ddd) ") &amp; "오후 19:00"</f>
        <v>2021-06-19(토) 오후 19:00</v>
      </c>
      <c r="H96" s="276"/>
      <c r="I96" s="277"/>
      <c r="J96" s="275" t="str">
        <f>TEXT($G$1, "[$-ko-KR]yyyy-mm-dd(ddd) ") &amp; "오후 21:00"</f>
        <v>2021-06-19(토) 오후 21:00</v>
      </c>
      <c r="K96" s="276"/>
      <c r="L96" s="277"/>
      <c r="M96" s="275" t="str">
        <f>TEXT($G$1+1, "[$-ko-KR]yyyy-mm-dd(ddd) ") &amp; "오전 00:00"</f>
        <v>2021-06-20(일) 오전 00:00</v>
      </c>
      <c r="N96" s="276"/>
      <c r="O96" s="277"/>
      <c r="Q96" s="261"/>
      <c r="R96" s="261"/>
      <c r="S96" s="261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3" t="s">
        <v>58</v>
      </c>
      <c r="H97" s="234" t="s">
        <v>293</v>
      </c>
      <c r="I97" s="23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1"/>
      <c r="R97" s="251"/>
      <c r="S97" s="251"/>
    </row>
    <row r="98" spans="1:19" ht="17.25" thickBot="1">
      <c r="A98" s="161" t="s">
        <v>277</v>
      </c>
      <c r="B98" s="124">
        <v>63.4</v>
      </c>
      <c r="C98" s="76">
        <v>0.34038054969999998</v>
      </c>
      <c r="D98" s="13">
        <v>61</v>
      </c>
      <c r="E98" s="14">
        <f>IF(ISNUMBER(D98), (D98 - $B98) / $B98, "")</f>
        <v>-3.7854889589905343E-2</v>
      </c>
      <c r="F98" s="16">
        <f>IF(ISNUMBER(D98), $B118 * E98, "")</f>
        <v>-3785.4889589905342</v>
      </c>
      <c r="G98" s="29">
        <v>58.9</v>
      </c>
      <c r="H98" s="14">
        <f>IF(ISNUMBER(G98), (G98 - $B98) / $B98, "")</f>
        <v>-7.0977917981072558E-2</v>
      </c>
      <c r="I98" s="100">
        <f>IF(ISNUMBER(G98), $B118 * H98, "")</f>
        <v>-7097.791798107256</v>
      </c>
      <c r="J98" s="13">
        <v>58.1</v>
      </c>
      <c r="K98" s="14">
        <f>IF(ISNUMBER(J98), (J98 - $B98) / $B98, "")</f>
        <v>-8.3596214511040962E-2</v>
      </c>
      <c r="L98" s="16">
        <f>IF(ISNUMBER(J98), $B118 * K98, "")</f>
        <v>-8359.6214511040962</v>
      </c>
      <c r="M98" s="29">
        <v>53.7</v>
      </c>
      <c r="N98" s="14">
        <f>IF(ISNUMBER(M98), (M98 - $B98) / $B98, "")</f>
        <v>-0.15299684542586744</v>
      </c>
      <c r="O98" s="16">
        <f>IF(ISNUMBER(M98), $B118 * N98, "")</f>
        <v>-15299.684542586745</v>
      </c>
      <c r="Q98" s="261"/>
      <c r="R98" s="261"/>
      <c r="S98" s="261"/>
    </row>
    <row r="99" spans="1:19" ht="17.25" thickBot="1">
      <c r="A99" s="162" t="s">
        <v>199</v>
      </c>
      <c r="B99" s="126">
        <v>183</v>
      </c>
      <c r="C99" s="77">
        <v>0.13664596270000001</v>
      </c>
      <c r="D99" s="15">
        <v>166</v>
      </c>
      <c r="E99" s="32">
        <f t="shared" ref="E99:E102" si="46">IF(ISNUMBER(D99), (D99 - $B99) / $B99, "")</f>
        <v>-9.2896174863387984E-2</v>
      </c>
      <c r="F99" s="18">
        <f>IF(ISNUMBER(D99), $B118 * E99, "")</f>
        <v>-9289.6174863387987</v>
      </c>
      <c r="G99" s="31">
        <v>168</v>
      </c>
      <c r="H99" s="32">
        <f t="shared" ref="H99:H102" si="47">IF(ISNUMBER(G99), (G99 - $B99) / $B99, "")</f>
        <v>-8.1967213114754092E-2</v>
      </c>
      <c r="I99" s="101">
        <f>IF(ISNUMBER(G99), $B118 * H99, "")</f>
        <v>-8196.7213114754086</v>
      </c>
      <c r="J99" s="15">
        <v>171</v>
      </c>
      <c r="K99" s="32">
        <f t="shared" ref="K99:K102" si="48">IF(ISNUMBER(J99), (J99 - $B99) / $B99, "")</f>
        <v>-6.5573770491803282E-2</v>
      </c>
      <c r="L99" s="18">
        <f>IF(ISNUMBER(J99), $B118 * K99, "")</f>
        <v>-6557.377049180328</v>
      </c>
      <c r="M99" s="31">
        <v>170</v>
      </c>
      <c r="N99" s="32">
        <f t="shared" ref="N99:N102" si="49">IF(ISNUMBER(M99), (M99 - $B99) / $B99, "")</f>
        <v>-7.1038251366120214E-2</v>
      </c>
      <c r="O99" s="18">
        <f>IF(ISNUMBER(M99), $B118 * N99, "")</f>
        <v>-7103.8251366120212</v>
      </c>
      <c r="Q99" s="261"/>
      <c r="R99" s="261"/>
      <c r="S99" s="261"/>
    </row>
    <row r="100" spans="1:19" ht="17.25" thickBot="1">
      <c r="A100" s="162" t="s">
        <v>142</v>
      </c>
      <c r="B100" s="126">
        <v>675</v>
      </c>
      <c r="C100" s="77">
        <v>4.8136645999999998E-2</v>
      </c>
      <c r="D100" s="15">
        <v>707</v>
      </c>
      <c r="E100" s="32">
        <f t="shared" si="46"/>
        <v>4.7407407407407405E-2</v>
      </c>
      <c r="F100" s="18">
        <f>IF(ISNUMBER(D100), $B118 * E100, "")</f>
        <v>4740.7407407407409</v>
      </c>
      <c r="G100" s="31">
        <v>708</v>
      </c>
      <c r="H100" s="32">
        <f t="shared" si="47"/>
        <v>4.8888888888888891E-2</v>
      </c>
      <c r="I100" s="101">
        <f>IF(ISNUMBER(G100), $B118 * H100, "")</f>
        <v>4888.8888888888896</v>
      </c>
      <c r="J100" s="15">
        <v>714</v>
      </c>
      <c r="K100" s="32">
        <f t="shared" si="48"/>
        <v>5.7777777777777775E-2</v>
      </c>
      <c r="L100" s="18">
        <f>IF(ISNUMBER(J100), $B118 * K100, "")</f>
        <v>5777.7777777777774</v>
      </c>
      <c r="M100" s="31">
        <v>713</v>
      </c>
      <c r="N100" s="32">
        <f t="shared" si="49"/>
        <v>5.6296296296296296E-2</v>
      </c>
      <c r="O100" s="18">
        <f>IF(ISNUMBER(M100), $B118 * N100, "")</f>
        <v>5629.6296296296296</v>
      </c>
      <c r="Q100" s="251"/>
      <c r="R100" s="251"/>
      <c r="S100" s="251"/>
    </row>
    <row r="101" spans="1:19" ht="17.25" thickBot="1">
      <c r="A101" s="162" t="s">
        <v>217</v>
      </c>
      <c r="B101" s="126">
        <v>9.7899999999999991</v>
      </c>
      <c r="C101" s="77">
        <v>2.0855057400000002E-2</v>
      </c>
      <c r="D101" s="15">
        <v>9.5</v>
      </c>
      <c r="E101" s="32">
        <f t="shared" si="46"/>
        <v>-2.9622063329928415E-2</v>
      </c>
      <c r="F101" s="18">
        <f>IF(ISNUMBER(D101), $B118 * E101, "")</f>
        <v>-2962.2063329928415</v>
      </c>
      <c r="G101" s="31">
        <v>9.64</v>
      </c>
      <c r="H101" s="32">
        <f t="shared" si="47"/>
        <v>-1.5321756894790459E-2</v>
      </c>
      <c r="I101" s="101">
        <f>IF(ISNUMBER(G101), $B118 * H101, "")</f>
        <v>-1532.175689479046</v>
      </c>
      <c r="J101" s="15">
        <v>9.61</v>
      </c>
      <c r="K101" s="32">
        <f t="shared" si="48"/>
        <v>-1.8386108273748696E-2</v>
      </c>
      <c r="L101" s="18">
        <f>IF(ISNUMBER(J101), $B118 * K101, "")</f>
        <v>-1838.6108273748696</v>
      </c>
      <c r="M101" s="31">
        <v>9.51</v>
      </c>
      <c r="N101" s="32">
        <f t="shared" si="49"/>
        <v>-2.8600612870275727E-2</v>
      </c>
      <c r="O101" s="18">
        <f>IF(ISNUMBER(M101), $B118 * N101, "")</f>
        <v>-2860.0612870275727</v>
      </c>
      <c r="Q101" s="251"/>
      <c r="R101" s="251"/>
      <c r="S101" s="251"/>
    </row>
    <row r="102" spans="1:19" ht="17.25" thickBot="1">
      <c r="A102" s="163" t="s">
        <v>219</v>
      </c>
      <c r="B102" s="128">
        <v>9.32</v>
      </c>
      <c r="C102" s="78">
        <v>4.3103448000000001E-3</v>
      </c>
      <c r="D102" s="20">
        <v>9.5</v>
      </c>
      <c r="E102" s="21">
        <f t="shared" si="46"/>
        <v>1.9313304721030013E-2</v>
      </c>
      <c r="F102" s="22">
        <f>IF(ISNUMBER(D102), $B118 * E102, "")</f>
        <v>1931.3304721030013</v>
      </c>
      <c r="G102" s="30">
        <v>9.3800000000000008</v>
      </c>
      <c r="H102" s="21">
        <f t="shared" si="47"/>
        <v>6.4377682403434005E-3</v>
      </c>
      <c r="I102" s="105">
        <f>IF(ISNUMBER(G102), $B118 * H102, "")</f>
        <v>643.77682403434005</v>
      </c>
      <c r="J102" s="20">
        <v>9.17</v>
      </c>
      <c r="K102" s="21">
        <f t="shared" si="48"/>
        <v>-1.6094420600858406E-2</v>
      </c>
      <c r="L102" s="22">
        <f>IF(ISNUMBER(J102), $B118 * K102, "")</f>
        <v>-1609.4420600858407</v>
      </c>
      <c r="M102" s="30">
        <v>9.0299999999999994</v>
      </c>
      <c r="N102" s="21">
        <f t="shared" si="49"/>
        <v>-3.1115879828326278E-2</v>
      </c>
      <c r="O102" s="22">
        <f>IF(ISNUMBER(M102), $B118 * N102, "")</f>
        <v>-3111.5879828326279</v>
      </c>
      <c r="Q102" s="251"/>
      <c r="R102" s="251"/>
      <c r="S102" s="251"/>
    </row>
    <row r="103" spans="1:19" ht="17.25" thickBot="1">
      <c r="A103" s="162" t="s">
        <v>152</v>
      </c>
      <c r="B103" s="129">
        <v>17.600000000000001</v>
      </c>
      <c r="C103" s="80">
        <v>0</v>
      </c>
      <c r="D103" s="106">
        <v>16.3</v>
      </c>
      <c r="E103" s="107">
        <f>IF(ISNUMBER(D103), (D103 - $B103) / $B103, "")</f>
        <v>-7.3863636363636395E-2</v>
      </c>
      <c r="F103" s="108">
        <f>IF(ISNUMBER(D103), $B118 * E103, "")</f>
        <v>-7386.3636363636397</v>
      </c>
      <c r="G103" s="109">
        <v>16.2</v>
      </c>
      <c r="H103" s="107">
        <f>IF(ISNUMBER(G103), (G103 - $B103) / $B103, "")</f>
        <v>-7.9545454545454655E-2</v>
      </c>
      <c r="I103" s="110">
        <f>IF(ISNUMBER(G103), $B118 * H103, "")</f>
        <v>-7954.5454545454659</v>
      </c>
      <c r="J103" s="106">
        <v>16.399999999999999</v>
      </c>
      <c r="K103" s="107">
        <f>IF(ISNUMBER(J103), (J103 - $B103) / $B103, "")</f>
        <v>-6.8181818181818343E-2</v>
      </c>
      <c r="L103" s="108">
        <f>IF(ISNUMBER(J103), $B118 * K103, "")</f>
        <v>-6818.1818181818344</v>
      </c>
      <c r="M103" s="109">
        <v>16.2</v>
      </c>
      <c r="N103" s="107">
        <f>IF(ISNUMBER(M103), (M103 - $B103) / $B103, "")</f>
        <v>-7.9545454545454655E-2</v>
      </c>
      <c r="O103" s="108">
        <f>IF(ISNUMBER(M103), $B118 * N103, "")</f>
        <v>-7954.5454545454659</v>
      </c>
      <c r="Q103" s="251"/>
      <c r="R103" s="251"/>
      <c r="S103" s="251"/>
    </row>
    <row r="104" spans="1:19" ht="17.25" thickBot="1">
      <c r="A104" s="162" t="s">
        <v>214</v>
      </c>
      <c r="B104" s="126">
        <v>235</v>
      </c>
      <c r="C104" s="77">
        <v>0</v>
      </c>
      <c r="D104" s="15">
        <v>223</v>
      </c>
      <c r="E104" s="32">
        <f t="shared" ref="E104:E107" si="50">IF(ISNUMBER(D104), (D104 - $B104) / $B104, "")</f>
        <v>-5.106382978723404E-2</v>
      </c>
      <c r="F104" s="18">
        <f>IF(ISNUMBER(D104), $B118 * E104, "")</f>
        <v>-5106.3829787234035</v>
      </c>
      <c r="G104" s="31">
        <v>223</v>
      </c>
      <c r="H104" s="32">
        <f t="shared" ref="H104:H107" si="51">IF(ISNUMBER(G104), (G104 - $B104) / $B104, "")</f>
        <v>-5.106382978723404E-2</v>
      </c>
      <c r="I104" s="101">
        <f>IF(ISNUMBER(G104), $B118 * H104, "")</f>
        <v>-5106.3829787234035</v>
      </c>
      <c r="J104" s="15">
        <v>226</v>
      </c>
      <c r="K104" s="32">
        <f t="shared" ref="K104:K107" si="52">IF(ISNUMBER(J104), (J104 - $B104) / $B104, "")</f>
        <v>-3.8297872340425532E-2</v>
      </c>
      <c r="L104" s="18">
        <f>IF(ISNUMBER(J104), $B118 * K104, "")</f>
        <v>-3829.7872340425533</v>
      </c>
      <c r="M104" s="31">
        <v>226</v>
      </c>
      <c r="N104" s="32">
        <f t="shared" ref="N104:N107" si="53">IF(ISNUMBER(M104), (M104 - $B104) / $B104, "")</f>
        <v>-3.8297872340425532E-2</v>
      </c>
      <c r="O104" s="18">
        <f>IF(ISNUMBER(M104), $B118 * N104, "")</f>
        <v>-3829.7872340425533</v>
      </c>
      <c r="Q104" s="251"/>
      <c r="R104" s="251"/>
      <c r="S104" s="251"/>
    </row>
    <row r="105" spans="1:19" ht="17.25" thickBot="1">
      <c r="A105" s="162" t="s">
        <v>65</v>
      </c>
      <c r="B105" s="126">
        <v>31.3</v>
      </c>
      <c r="C105" s="77">
        <v>-9.4936709000000008E-3</v>
      </c>
      <c r="D105" s="15">
        <v>29.5</v>
      </c>
      <c r="E105" s="32">
        <f t="shared" si="50"/>
        <v>-5.7507987220447303E-2</v>
      </c>
      <c r="F105" s="18">
        <f>IF(ISNUMBER(D105), $B118 * E105, "")</f>
        <v>-5750.7987220447303</v>
      </c>
      <c r="G105" s="31">
        <v>29.6</v>
      </c>
      <c r="H105" s="32">
        <f t="shared" si="51"/>
        <v>-5.4313099041533523E-2</v>
      </c>
      <c r="I105" s="101">
        <f>IF(ISNUMBER(G105), $B118 * H105, "")</f>
        <v>-5431.3099041533524</v>
      </c>
      <c r="J105" s="15">
        <v>29.9</v>
      </c>
      <c r="K105" s="32">
        <f t="shared" si="52"/>
        <v>-4.47284345047924E-2</v>
      </c>
      <c r="L105" s="18">
        <f>IF(ISNUMBER(J105), $B118 * K105, "")</f>
        <v>-4472.8434504792403</v>
      </c>
      <c r="M105" s="31">
        <v>29.9</v>
      </c>
      <c r="N105" s="32">
        <f t="shared" si="53"/>
        <v>-4.47284345047924E-2</v>
      </c>
      <c r="O105" s="18">
        <f>IF(ISNUMBER(M105), $B118 * N105, "")</f>
        <v>-4472.8434504792403</v>
      </c>
      <c r="Q105" s="251"/>
      <c r="R105" s="251"/>
      <c r="S105" s="251"/>
    </row>
    <row r="106" spans="1:19" ht="17.25" thickBot="1">
      <c r="A106" s="162" t="s">
        <v>54</v>
      </c>
      <c r="B106" s="126">
        <v>241</v>
      </c>
      <c r="C106" s="77">
        <v>-1.2295082000000001E-2</v>
      </c>
      <c r="D106" s="15">
        <v>238</v>
      </c>
      <c r="E106" s="32">
        <f t="shared" si="50"/>
        <v>-1.2448132780082987E-2</v>
      </c>
      <c r="F106" s="18">
        <f>IF(ISNUMBER(D106), $B118 * E106, "")</f>
        <v>-1244.8132780082988</v>
      </c>
      <c r="G106" s="31">
        <v>237</v>
      </c>
      <c r="H106" s="32">
        <f t="shared" si="51"/>
        <v>-1.6597510373443983E-2</v>
      </c>
      <c r="I106" s="101">
        <f>IF(ISNUMBER(G106), $B118 * H106, "")</f>
        <v>-1659.7510373443984</v>
      </c>
      <c r="J106" s="15">
        <v>238</v>
      </c>
      <c r="K106" s="32">
        <f t="shared" si="52"/>
        <v>-1.2448132780082987E-2</v>
      </c>
      <c r="L106" s="18">
        <f>IF(ISNUMBER(J106), $B118 * K106, "")</f>
        <v>-1244.8132780082988</v>
      </c>
      <c r="M106" s="31">
        <v>235</v>
      </c>
      <c r="N106" s="32">
        <f t="shared" si="53"/>
        <v>-2.4896265560165973E-2</v>
      </c>
      <c r="O106" s="18">
        <f>IF(ISNUMBER(M106), $B118 * N106, "")</f>
        <v>-2489.6265560165975</v>
      </c>
      <c r="Q106" s="33"/>
      <c r="R106" s="33"/>
    </row>
    <row r="107" spans="1:19" ht="17.25" thickBot="1">
      <c r="A107" s="130" t="s">
        <v>90</v>
      </c>
      <c r="B107" s="131">
        <v>188250</v>
      </c>
      <c r="C107" s="79">
        <v>-2.1569646599999999E-2</v>
      </c>
      <c r="D107" s="24">
        <v>186300</v>
      </c>
      <c r="E107" s="25">
        <f t="shared" si="50"/>
        <v>-1.0358565737051793E-2</v>
      </c>
      <c r="F107" s="104">
        <f>IF(ISNUMBER(D107), $B118 * E107, "")</f>
        <v>-1035.8565737051792</v>
      </c>
      <c r="G107" s="102">
        <v>185450</v>
      </c>
      <c r="H107" s="25">
        <f t="shared" si="51"/>
        <v>-1.4873837981407702E-2</v>
      </c>
      <c r="I107" s="103">
        <f>IF(ISNUMBER(G107), $B118 * H107, "")</f>
        <v>-1487.3837981407703</v>
      </c>
      <c r="J107" s="24">
        <v>186000</v>
      </c>
      <c r="K107" s="25">
        <f t="shared" si="52"/>
        <v>-1.1952191235059761E-2</v>
      </c>
      <c r="L107" s="104">
        <f>IF(ISNUMBER(J107), $B118 * K107, "")</f>
        <v>-1195.2191235059761</v>
      </c>
      <c r="M107" s="102">
        <v>185450</v>
      </c>
      <c r="N107" s="25">
        <f t="shared" si="53"/>
        <v>-1.4873837981407702E-2</v>
      </c>
      <c r="O107" s="104">
        <f>IF(ISNUMBER(M107), $B118 * N107, "")</f>
        <v>-1487.3837981407703</v>
      </c>
      <c r="Q107" s="252"/>
      <c r="R107" s="253"/>
      <c r="S107" s="254"/>
    </row>
    <row r="108" spans="1:19">
      <c r="A108" s="161" t="s">
        <v>49</v>
      </c>
      <c r="B108" s="124">
        <v>43617000</v>
      </c>
      <c r="C108" s="76">
        <v>-2.7578365399999999E-2</v>
      </c>
      <c r="D108" s="13">
        <v>41770000</v>
      </c>
      <c r="E108" s="14">
        <f>IF(ISNUMBER(D108), (D108 - $B108) / $B108, "")</f>
        <v>-4.2345874315060643E-2</v>
      </c>
      <c r="F108" s="16">
        <f>IF(ISNUMBER(D108), $B118 * E108, "")</f>
        <v>-4234.5874315060646</v>
      </c>
      <c r="G108" s="29">
        <v>41983000</v>
      </c>
      <c r="H108" s="14">
        <f>IF(ISNUMBER(G108), (G108 - $B108) / $B108, "")</f>
        <v>-3.746245729875966E-2</v>
      </c>
      <c r="I108" s="100">
        <f>IF(ISNUMBER(G108), $B118 * H108, "")</f>
        <v>-3746.2457298759659</v>
      </c>
      <c r="J108" s="13">
        <v>42450000</v>
      </c>
      <c r="K108" s="14">
        <f>IF(ISNUMBER(J108), (J108 - $B108) / $B108, "")</f>
        <v>-2.6755622807620883E-2</v>
      </c>
      <c r="L108" s="16">
        <f>IF(ISNUMBER(J108), $B118 * K108, "")</f>
        <v>-2675.5622807620884</v>
      </c>
      <c r="M108" s="29">
        <v>42320000</v>
      </c>
      <c r="N108" s="14">
        <f>IF(ISNUMBER(M108), (M108 - $B108) / $B108, "")</f>
        <v>-2.973611206639613E-2</v>
      </c>
      <c r="O108" s="16">
        <f>IF(ISNUMBER(M108), $B118 * N108, "")</f>
        <v>-2973.6112066396131</v>
      </c>
      <c r="Q108" s="255"/>
      <c r="R108" s="256"/>
      <c r="S108" s="257"/>
    </row>
    <row r="109" spans="1:19" ht="17.25" thickBot="1">
      <c r="A109" s="162" t="s">
        <v>273</v>
      </c>
      <c r="B109" s="126">
        <v>70.3</v>
      </c>
      <c r="C109" s="77">
        <v>-2.7662517300000002E-2</v>
      </c>
      <c r="D109" s="15">
        <v>68.400000000000006</v>
      </c>
      <c r="E109" s="32">
        <f t="shared" ref="E109:E112" si="54">IF(ISNUMBER(D109), (D109 - $B109) / $B109, "")</f>
        <v>-2.7027027027026907E-2</v>
      </c>
      <c r="F109" s="18">
        <f>IF(ISNUMBER(D109), $B118 * E109, "")</f>
        <v>-2702.7027027026907</v>
      </c>
      <c r="G109" s="31">
        <v>67.7</v>
      </c>
      <c r="H109" s="32">
        <f t="shared" ref="H109:H112" si="55">IF(ISNUMBER(G109), (G109 - $B109) / $B109, "")</f>
        <v>-3.6984352773826376E-2</v>
      </c>
      <c r="I109" s="101">
        <f>IF(ISNUMBER(G109), $B118 * H109, "")</f>
        <v>-3698.4352773826377</v>
      </c>
      <c r="J109" s="15">
        <v>68.099999999999994</v>
      </c>
      <c r="K109" s="32">
        <f t="shared" ref="K109:K112" si="56">IF(ISNUMBER(J109), (J109 - $B109) / $B109, "")</f>
        <v>-3.1294452347083966E-2</v>
      </c>
      <c r="L109" s="18">
        <f>IF(ISNUMBER(J109), $B118 * K109, "")</f>
        <v>-3129.4452347083966</v>
      </c>
      <c r="M109" s="31">
        <v>68.3</v>
      </c>
      <c r="N109" s="32">
        <f t="shared" ref="N109:N112" si="57">IF(ISNUMBER(M109), (M109 - $B109) / $B109, "")</f>
        <v>-2.8449502133712661E-2</v>
      </c>
      <c r="O109" s="18">
        <f>IF(ISNUMBER(M109), $B118 * N109, "")</f>
        <v>-2844.9502133712663</v>
      </c>
      <c r="Q109" s="258"/>
      <c r="R109" s="259"/>
      <c r="S109" s="260"/>
    </row>
    <row r="110" spans="1:19" ht="17.25" thickBot="1">
      <c r="A110" s="162" t="s">
        <v>114</v>
      </c>
      <c r="B110" s="126">
        <v>10780</v>
      </c>
      <c r="C110" s="77">
        <v>-2.8828828800000001E-2</v>
      </c>
      <c r="D110" s="15">
        <v>10420</v>
      </c>
      <c r="E110" s="32">
        <f t="shared" si="54"/>
        <v>-3.3395176252319109E-2</v>
      </c>
      <c r="F110" s="18">
        <f>IF(ISNUMBER(D110), $B118 * E110, "")</f>
        <v>-3339.5176252319106</v>
      </c>
      <c r="G110" s="31">
        <v>10490</v>
      </c>
      <c r="H110" s="32">
        <f t="shared" si="55"/>
        <v>-2.6901669758812616E-2</v>
      </c>
      <c r="I110" s="101">
        <f>IF(ISNUMBER(G110), $B118 * H110, "")</f>
        <v>-2690.1669758812618</v>
      </c>
      <c r="J110" s="15">
        <v>10610</v>
      </c>
      <c r="K110" s="32">
        <f t="shared" si="56"/>
        <v>-1.5769944341372914E-2</v>
      </c>
      <c r="L110" s="18">
        <f>IF(ISNUMBER(J110), $B118 * K110, "")</f>
        <v>-1576.9944341372914</v>
      </c>
      <c r="M110" s="31">
        <v>10620</v>
      </c>
      <c r="N110" s="32">
        <f t="shared" si="57"/>
        <v>-1.4842300556586271E-2</v>
      </c>
      <c r="O110" s="18">
        <f>IF(ISNUMBER(M110), $B118 * N110, "")</f>
        <v>-1484.2300556586272</v>
      </c>
      <c r="Q110" s="251"/>
      <c r="R110" s="251"/>
      <c r="S110" s="251"/>
    </row>
    <row r="111" spans="1:19" ht="17.25" thickBot="1">
      <c r="A111" s="162" t="s">
        <v>86</v>
      </c>
      <c r="B111" s="126">
        <v>5550</v>
      </c>
      <c r="C111" s="77">
        <v>-3.2258064500000003E-2</v>
      </c>
      <c r="D111" s="15">
        <v>5345</v>
      </c>
      <c r="E111" s="32">
        <f t="shared" si="54"/>
        <v>-3.6936936936936934E-2</v>
      </c>
      <c r="F111" s="18">
        <f>IF(ISNUMBER(D111), $B118 * E111, "")</f>
        <v>-3693.6936936936936</v>
      </c>
      <c r="G111" s="31">
        <v>5410</v>
      </c>
      <c r="H111" s="32">
        <f t="shared" si="55"/>
        <v>-2.5225225225225224E-2</v>
      </c>
      <c r="I111" s="101">
        <f>IF(ISNUMBER(G111), $B118 * H111, "")</f>
        <v>-2522.5225225225226</v>
      </c>
      <c r="J111" s="15">
        <v>5485</v>
      </c>
      <c r="K111" s="32">
        <f t="shared" si="56"/>
        <v>-1.1711711711711712E-2</v>
      </c>
      <c r="L111" s="18">
        <f>IF(ISNUMBER(J111), $B118 * K111, "")</f>
        <v>-1171.1711711711712</v>
      </c>
      <c r="M111" s="31">
        <v>5450</v>
      </c>
      <c r="N111" s="32">
        <f t="shared" si="57"/>
        <v>-1.8018018018018018E-2</v>
      </c>
      <c r="O111" s="18">
        <f>IF(ISNUMBER(M111), $B118 * N111, "")</f>
        <v>-1801.8018018018017</v>
      </c>
      <c r="Q111" s="261"/>
      <c r="R111" s="261"/>
      <c r="S111" s="261"/>
    </row>
    <row r="112" spans="1:19" ht="17.25" thickBot="1">
      <c r="A112" s="163" t="s">
        <v>156</v>
      </c>
      <c r="B112" s="128">
        <v>84</v>
      </c>
      <c r="C112" s="78">
        <v>-3.4482758600000003E-2</v>
      </c>
      <c r="D112" s="20">
        <v>81.8</v>
      </c>
      <c r="E112" s="21">
        <f t="shared" si="54"/>
        <v>-2.6190476190476226E-2</v>
      </c>
      <c r="F112" s="22">
        <f>IF(ISNUMBER(D112), $B118 * E112, "")</f>
        <v>-2619.0476190476224</v>
      </c>
      <c r="G112" s="30">
        <v>81.7</v>
      </c>
      <c r="H112" s="21">
        <f t="shared" si="55"/>
        <v>-2.7380952380952346E-2</v>
      </c>
      <c r="I112" s="105">
        <f>IF(ISNUMBER(G112), $B118 * H112, "")</f>
        <v>-2738.0952380952344</v>
      </c>
      <c r="J112" s="20">
        <v>81.8</v>
      </c>
      <c r="K112" s="21">
        <f t="shared" si="56"/>
        <v>-2.6190476190476226E-2</v>
      </c>
      <c r="L112" s="22">
        <f>IF(ISNUMBER(J112), $B118 * K112, "")</f>
        <v>-2619.0476190476224</v>
      </c>
      <c r="M112" s="30">
        <v>82</v>
      </c>
      <c r="N112" s="21">
        <f t="shared" si="57"/>
        <v>-2.3809523809523808E-2</v>
      </c>
      <c r="O112" s="22">
        <f>IF(ISNUMBER(M112), $B118 * N112, "")</f>
        <v>-2380.9523809523807</v>
      </c>
      <c r="Q112" s="261"/>
      <c r="R112" s="261"/>
      <c r="S112" s="261"/>
    </row>
    <row r="113" spans="1:19" ht="17.25" thickBot="1">
      <c r="A113" s="162" t="s">
        <v>78</v>
      </c>
      <c r="B113" s="129">
        <v>678500</v>
      </c>
      <c r="C113" s="80">
        <v>-3.5536602700000003E-2</v>
      </c>
      <c r="D113" s="106">
        <v>667500</v>
      </c>
      <c r="E113" s="107">
        <f>IF(ISNUMBER(D113), (D113 - $B113) / $B113, "")</f>
        <v>-1.6212232866617538E-2</v>
      </c>
      <c r="F113" s="108">
        <f>IF(ISNUMBER(D113), $B118 * E113, "")</f>
        <v>-1621.2232866617537</v>
      </c>
      <c r="G113" s="109">
        <v>669700</v>
      </c>
      <c r="H113" s="107">
        <f>IF(ISNUMBER(G113), (G113 - $B113) / $B113, "")</f>
        <v>-1.296978629329403E-2</v>
      </c>
      <c r="I113" s="110">
        <f>IF(ISNUMBER(G113), $B118 * H113, "")</f>
        <v>-1296.978629329403</v>
      </c>
      <c r="J113" s="106">
        <v>678700</v>
      </c>
      <c r="K113" s="107">
        <f>IF(ISNUMBER(J113), (J113 - $B113) / $B113, "")</f>
        <v>2.9476787030213708E-4</v>
      </c>
      <c r="L113" s="108">
        <f>IF(ISNUMBER(J113), $B118 * K113, "")</f>
        <v>29.476787030213707</v>
      </c>
      <c r="M113" s="109">
        <v>674800</v>
      </c>
      <c r="N113" s="107">
        <f>IF(ISNUMBER(M113), (M113 - $B113) / $B113, "")</f>
        <v>-5.4532056005895356E-3</v>
      </c>
      <c r="O113" s="108">
        <f>IF(ISNUMBER(M113), $B118 * N113, "")</f>
        <v>-545.32056005895356</v>
      </c>
      <c r="Q113" s="251"/>
      <c r="R113" s="251"/>
      <c r="S113" s="251"/>
    </row>
    <row r="114" spans="1:19" ht="17.25" thickBot="1">
      <c r="A114" s="162" t="s">
        <v>84</v>
      </c>
      <c r="B114" s="126">
        <v>1685</v>
      </c>
      <c r="C114" s="77">
        <v>-3.7142857100000003E-2</v>
      </c>
      <c r="D114" s="15">
        <v>1670</v>
      </c>
      <c r="E114" s="32">
        <f t="shared" ref="E114:E117" si="58">IF(ISNUMBER(D114), (D114 - $B114) / $B114, "")</f>
        <v>-8.9020771513353119E-3</v>
      </c>
      <c r="F114" s="18">
        <f>IF(ISNUMBER(D114), $B118 * E114, "")</f>
        <v>-890.20771513353122</v>
      </c>
      <c r="G114" s="31">
        <v>1670</v>
      </c>
      <c r="H114" s="32">
        <f t="shared" ref="H114:H117" si="59">IF(ISNUMBER(G114), (G114 - $B114) / $B114, "")</f>
        <v>-8.9020771513353119E-3</v>
      </c>
      <c r="I114" s="101">
        <f>IF(ISNUMBER(G114), $B118 * H114, "")</f>
        <v>-890.20771513353122</v>
      </c>
      <c r="J114" s="15">
        <v>1685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1675</v>
      </c>
      <c r="N114" s="32">
        <f t="shared" ref="N114:N117" si="61">IF(ISNUMBER(M114), (M114 - $B114) / $B114, "")</f>
        <v>-5.9347181008902079E-3</v>
      </c>
      <c r="O114" s="18">
        <f>IF(ISNUMBER(M114), $B118 * N114, "")</f>
        <v>-593.47181008902078</v>
      </c>
      <c r="Q114" s="251"/>
      <c r="R114" s="251"/>
      <c r="S114" s="251"/>
    </row>
    <row r="115" spans="1:19" ht="17.25" thickBot="1">
      <c r="A115" s="162" t="s">
        <v>130</v>
      </c>
      <c r="B115" s="126">
        <v>189600</v>
      </c>
      <c r="C115" s="77">
        <v>-3.7563451800000001E-2</v>
      </c>
      <c r="D115" s="15">
        <v>184700</v>
      </c>
      <c r="E115" s="32">
        <f t="shared" si="58"/>
        <v>-2.5843881856540084E-2</v>
      </c>
      <c r="F115" s="18">
        <f>IF(ISNUMBER(D115), $B118 * E115, "")</f>
        <v>-2584.3881856540083</v>
      </c>
      <c r="G115" s="31">
        <v>185950</v>
      </c>
      <c r="H115" s="32">
        <f t="shared" si="59"/>
        <v>-1.9251054852320676E-2</v>
      </c>
      <c r="I115" s="101">
        <f>IF(ISNUMBER(G115), $B118 * H115, "")</f>
        <v>-1925.1054852320676</v>
      </c>
      <c r="J115" s="15">
        <v>187900</v>
      </c>
      <c r="K115" s="32">
        <f t="shared" si="60"/>
        <v>-8.9662447257383964E-3</v>
      </c>
      <c r="L115" s="18">
        <f>IF(ISNUMBER(J115), $B118 * K115, "")</f>
        <v>-896.62447257383963</v>
      </c>
      <c r="M115" s="31">
        <v>185800</v>
      </c>
      <c r="N115" s="32">
        <f t="shared" si="61"/>
        <v>-2.0042194092827006E-2</v>
      </c>
      <c r="O115" s="18">
        <f>IF(ISNUMBER(M115), $B118 * N115, "")</f>
        <v>-2004.2194092827006</v>
      </c>
      <c r="Q115" s="251"/>
      <c r="R115" s="251"/>
      <c r="S115" s="251"/>
    </row>
    <row r="116" spans="1:19">
      <c r="A116" s="162" t="s">
        <v>92</v>
      </c>
      <c r="B116" s="126">
        <v>952</v>
      </c>
      <c r="C116" s="77">
        <v>-3.8383838400000002E-2</v>
      </c>
      <c r="D116" s="15">
        <v>931</v>
      </c>
      <c r="E116" s="32">
        <f t="shared" si="58"/>
        <v>-2.2058823529411766E-2</v>
      </c>
      <c r="F116" s="18">
        <f>IF(ISNUMBER(D116), $B118 * E116, "")</f>
        <v>-2205.8823529411766</v>
      </c>
      <c r="G116" s="31">
        <v>929</v>
      </c>
      <c r="H116" s="32">
        <f t="shared" si="59"/>
        <v>-2.4159663865546219E-2</v>
      </c>
      <c r="I116" s="101">
        <f>IF(ISNUMBER(G116), $B118 * H116, "")</f>
        <v>-2415.9663865546217</v>
      </c>
      <c r="J116" s="15">
        <v>937</v>
      </c>
      <c r="K116" s="32">
        <f t="shared" si="60"/>
        <v>-1.5756302521008403E-2</v>
      </c>
      <c r="L116" s="18">
        <f>IF(ISNUMBER(J116), $B118 * K116, "")</f>
        <v>-1575.6302521008404</v>
      </c>
      <c r="M116" s="31">
        <v>935</v>
      </c>
      <c r="N116" s="32">
        <f t="shared" si="61"/>
        <v>-1.7857142857142856E-2</v>
      </c>
      <c r="O116" s="18">
        <f>IF(ISNUMBER(M116), $B118 * N116, "")</f>
        <v>-1785.7142857142856</v>
      </c>
      <c r="Q116" s="240"/>
      <c r="R116" s="241"/>
      <c r="S116" s="242"/>
    </row>
    <row r="117" spans="1:19" ht="17.25" thickBot="1">
      <c r="A117" s="130" t="s">
        <v>183</v>
      </c>
      <c r="B117" s="131">
        <v>1275</v>
      </c>
      <c r="C117" s="79">
        <v>-4.13533835E-2</v>
      </c>
      <c r="D117" s="24">
        <v>1220</v>
      </c>
      <c r="E117" s="25">
        <f t="shared" si="58"/>
        <v>-4.3137254901960784E-2</v>
      </c>
      <c r="F117" s="104">
        <f>IF(ISNUMBER(D117), $B118 * E117, "")</f>
        <v>-4313.7254901960787</v>
      </c>
      <c r="G117" s="102">
        <v>1250</v>
      </c>
      <c r="H117" s="25">
        <f t="shared" si="59"/>
        <v>-1.9607843137254902E-2</v>
      </c>
      <c r="I117" s="103">
        <f>IF(ISNUMBER(G117), $B118 * H117, "")</f>
        <v>-1960.7843137254902</v>
      </c>
      <c r="J117" s="24">
        <v>1270</v>
      </c>
      <c r="K117" s="25">
        <f t="shared" si="60"/>
        <v>-3.9215686274509803E-3</v>
      </c>
      <c r="L117" s="104">
        <f>IF(ISNUMBER(J117), $B118 * K117, "")</f>
        <v>-392.15686274509801</v>
      </c>
      <c r="M117" s="102">
        <v>1255</v>
      </c>
      <c r="N117" s="25">
        <f t="shared" si="61"/>
        <v>-1.5686274509803921E-2</v>
      </c>
      <c r="O117" s="104">
        <f>IF(ISNUMBER(M117), $B118 * N117, "")</f>
        <v>-1568.627450980392</v>
      </c>
      <c r="Q117" s="243"/>
      <c r="R117" s="244"/>
      <c r="S117" s="245"/>
    </row>
    <row r="118" spans="1:19" ht="17.25" thickBot="1">
      <c r="A118" s="132" t="s">
        <v>295</v>
      </c>
      <c r="B118" s="304">
        <f>$B$37</f>
        <v>100000</v>
      </c>
      <c r="C118" s="305"/>
      <c r="D118" s="26" t="s">
        <v>296</v>
      </c>
      <c r="E118" s="27">
        <f>IF(COUNT(E98:E117), SUM(E98:E117) / COUNT(E98:E117), 0)</f>
        <v>-2.9047216428546109E-2</v>
      </c>
      <c r="F118" s="28">
        <f>SUM(F98:F117)</f>
        <v>-58094.432857092223</v>
      </c>
      <c r="G118" s="26" t="s">
        <v>296</v>
      </c>
      <c r="H118" s="27">
        <f>IF(COUNT(H98:H117), SUM(H98:H117) / COUNT(H98:H117), 0)</f>
        <v>-2.8408952266389308E-2</v>
      </c>
      <c r="I118" s="28">
        <f>SUM(I98:I117)</f>
        <v>-56817.904532778615</v>
      </c>
      <c r="J118" s="26" t="s">
        <v>296</v>
      </c>
      <c r="K118" s="27">
        <f>IF(COUNT(K98:K117), SUM(K98:K117) / COUNT(K98:K117), 0)</f>
        <v>-2.207763702720069E-2</v>
      </c>
      <c r="L118" s="28">
        <f>SUM(L98:L117)</f>
        <v>-44155.274054401387</v>
      </c>
      <c r="M118" s="26" t="s">
        <v>296</v>
      </c>
      <c r="N118" s="27">
        <f>IF(COUNT(N98:N117), SUM(N98:N117) / COUNT(N98:N117), 0)</f>
        <v>-3.0481307493601506E-2</v>
      </c>
      <c r="O118" s="28">
        <f>SUM(O98:O117)</f>
        <v>-60962.614987203022</v>
      </c>
      <c r="Q118" s="246"/>
      <c r="R118" s="247"/>
      <c r="S118" s="248"/>
    </row>
    <row r="120" spans="1:19" ht="17.25" thickBot="1"/>
    <row r="121" spans="1:19" ht="17.25" thickBot="1">
      <c r="A121" s="262" t="s">
        <v>283</v>
      </c>
      <c r="B121" s="263"/>
      <c r="C121" s="263"/>
      <c r="D121" s="263"/>
      <c r="E121" s="263"/>
      <c r="F121" s="263"/>
      <c r="G121" s="263"/>
      <c r="H121" s="263"/>
      <c r="I121" s="263"/>
      <c r="J121" s="263"/>
      <c r="K121" s="263"/>
      <c r="L121" s="263"/>
      <c r="M121" s="263"/>
      <c r="N121" s="263"/>
      <c r="O121" s="264"/>
      <c r="Q121" s="261"/>
      <c r="R121" s="261"/>
      <c r="S121" s="261"/>
    </row>
    <row r="122" spans="1:19" ht="17.25" thickBot="1">
      <c r="A122" s="232" t="s">
        <v>292</v>
      </c>
      <c r="B122" s="262" t="s">
        <v>49</v>
      </c>
      <c r="C122" s="264"/>
      <c r="D122" s="262" t="s">
        <v>58</v>
      </c>
      <c r="E122" s="263"/>
      <c r="F122" s="264"/>
      <c r="G122" s="265">
        <f>_xlfn.IFNA(VLOOKUP(B122, 현재가테이블!$B$2:$D$200, 2, FALSE), "-")</f>
        <v>40538000</v>
      </c>
      <c r="H122" s="266"/>
      <c r="I122" s="267"/>
      <c r="J122" s="262" t="s">
        <v>59</v>
      </c>
      <c r="K122" s="263"/>
      <c r="L122" s="264"/>
      <c r="M122" s="268">
        <f>_xlfn.IFNA(VLOOKUP(B122, 현재가테이블!$B$2:$D$200, 3, FALSE), "-")</f>
        <v>-3.68275993E-2</v>
      </c>
      <c r="N122" s="269"/>
      <c r="O122" s="270"/>
      <c r="Q122" s="261"/>
      <c r="R122" s="261"/>
      <c r="S122" s="261"/>
    </row>
    <row r="123" spans="1:19" ht="17.25" thickBot="1">
      <c r="A123" s="306" t="s">
        <v>55</v>
      </c>
      <c r="B123" s="302" t="str">
        <f>TEXT($G$1, "[$-ko-KR]yyyy-mm-dd(ddd) ") &amp; "오전 00:00"</f>
        <v>2021-06-19(토) 오전 00:00</v>
      </c>
      <c r="C123" s="303"/>
      <c r="D123" s="275" t="str">
        <f>TEXT($G$1, "[$-ko-KR]yyyy-mm-dd(ddd) ") &amp; "오후 14:00"</f>
        <v>2021-06-19(토) 오후 14:00</v>
      </c>
      <c r="E123" s="276"/>
      <c r="F123" s="277"/>
      <c r="G123" s="275" t="str">
        <f>TEXT($G$1, "[$-ko-KR]yyyy-mm-dd(ddd) ") &amp; "오후 19:00"</f>
        <v>2021-06-19(토) 오후 19:00</v>
      </c>
      <c r="H123" s="276"/>
      <c r="I123" s="277"/>
      <c r="J123" s="275" t="str">
        <f>TEXT($G$1, "[$-ko-KR]yyyy-mm-dd(ddd) ") &amp; "오후 21:00"</f>
        <v>2021-06-19(토) 오후 21:00</v>
      </c>
      <c r="K123" s="276"/>
      <c r="L123" s="277"/>
      <c r="M123" s="275" t="str">
        <f>TEXT($G$1+1, "[$-ko-KR]yyyy-mm-dd(ddd) ") &amp; "오전 00:00"</f>
        <v>2021-06-20(일) 오전 00:00</v>
      </c>
      <c r="N123" s="276"/>
      <c r="O123" s="277"/>
      <c r="Q123" s="261"/>
      <c r="R123" s="261"/>
      <c r="S123" s="261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3" t="s">
        <v>58</v>
      </c>
      <c r="H124" s="234" t="s">
        <v>293</v>
      </c>
      <c r="I124" s="23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1"/>
      <c r="R124" s="251"/>
      <c r="S124" s="251"/>
    </row>
    <row r="125" spans="1:19" ht="17.25" thickBot="1">
      <c r="A125" s="161" t="s">
        <v>208</v>
      </c>
      <c r="B125" s="124">
        <v>79</v>
      </c>
      <c r="C125" s="76">
        <v>-8.1395348800000003E-2</v>
      </c>
      <c r="D125" s="13">
        <v>73.8</v>
      </c>
      <c r="E125" s="14">
        <f>IF(ISNUMBER(D125), (D125 - $B125) / $B125, "")</f>
        <v>-6.5822784810126614E-2</v>
      </c>
      <c r="F125" s="16">
        <f>IF(ISNUMBER(D125), $B145 * E125, "")</f>
        <v>-6582.2784810126614</v>
      </c>
      <c r="G125" s="29">
        <v>74.599999999999994</v>
      </c>
      <c r="H125" s="14">
        <f>IF(ISNUMBER(G125), (G125 - $B125) / $B125, "")</f>
        <v>-5.5696202531645644E-2</v>
      </c>
      <c r="I125" s="100">
        <f>IF(ISNUMBER(G125), $B145 * H125, "")</f>
        <v>-5569.620253164564</v>
      </c>
      <c r="J125" s="13">
        <v>75.8</v>
      </c>
      <c r="K125" s="14">
        <f>IF(ISNUMBER(J125), (J125 - $B125) / $B125, "")</f>
        <v>-4.0506329113924086E-2</v>
      </c>
      <c r="L125" s="16">
        <f>IF(ISNUMBER(J125), $B145 * K125, "")</f>
        <v>-4050.6329113924085</v>
      </c>
      <c r="M125" s="29">
        <v>75.3</v>
      </c>
      <c r="N125" s="14">
        <f>IF(ISNUMBER(M125), (M125 - $B125) / $B125, "")</f>
        <v>-4.6835443037974718E-2</v>
      </c>
      <c r="O125" s="16">
        <f>IF(ISNUMBER(M125), $B145 * N125, "")</f>
        <v>-4683.5443037974719</v>
      </c>
      <c r="Q125" s="261"/>
      <c r="R125" s="261"/>
      <c r="S125" s="261"/>
    </row>
    <row r="126" spans="1:19" ht="17.25" thickBot="1">
      <c r="A126" s="162" t="s">
        <v>167</v>
      </c>
      <c r="B126" s="126">
        <v>75.8</v>
      </c>
      <c r="C126" s="77">
        <v>-8.2324455199999994E-2</v>
      </c>
      <c r="D126" s="15">
        <v>71.5</v>
      </c>
      <c r="E126" s="32">
        <f t="shared" ref="E126:E129" si="62">IF(ISNUMBER(D126), (D126 - $B126) / $B126, "")</f>
        <v>-5.6728232189973582E-2</v>
      </c>
      <c r="F126" s="18">
        <f>IF(ISNUMBER(D126), $B145 * E126, "")</f>
        <v>-5672.8232189973578</v>
      </c>
      <c r="G126" s="31">
        <v>72.400000000000006</v>
      </c>
      <c r="H126" s="32">
        <f t="shared" ref="H126:H129" si="63">IF(ISNUMBER(G126), (G126 - $B126) / $B126, "")</f>
        <v>-4.4854881266490655E-2</v>
      </c>
      <c r="I126" s="101">
        <f>IF(ISNUMBER(G126), $B145 * H126, "")</f>
        <v>-4485.4881266490656</v>
      </c>
      <c r="J126" s="15">
        <v>73.400000000000006</v>
      </c>
      <c r="K126" s="32">
        <f t="shared" ref="K126:K129" si="64">IF(ISNUMBER(J126), (J126 - $B126) / $B126, "")</f>
        <v>-3.166226912928749E-2</v>
      </c>
      <c r="L126" s="18">
        <f>IF(ISNUMBER(J126), $B145 * K126, "")</f>
        <v>-3166.2269129287492</v>
      </c>
      <c r="M126" s="31">
        <v>73.599999999999994</v>
      </c>
      <c r="N126" s="32">
        <f t="shared" ref="N126:N129" si="65">IF(ISNUMBER(M126), (M126 - $B126) / $B126, "")</f>
        <v>-2.9023746701847004E-2</v>
      </c>
      <c r="O126" s="18">
        <f>IF(ISNUMBER(M126), $B145 * N126, "")</f>
        <v>-2902.3746701847003</v>
      </c>
      <c r="Q126" s="261"/>
      <c r="R126" s="261"/>
      <c r="S126" s="261"/>
    </row>
    <row r="127" spans="1:19" ht="17.25" thickBot="1">
      <c r="A127" s="162" t="s">
        <v>259</v>
      </c>
      <c r="B127" s="126">
        <v>67</v>
      </c>
      <c r="C127" s="77">
        <v>-8.3447332400000004E-2</v>
      </c>
      <c r="D127" s="15">
        <v>64</v>
      </c>
      <c r="E127" s="32">
        <f t="shared" si="62"/>
        <v>-4.4776119402985072E-2</v>
      </c>
      <c r="F127" s="18">
        <f>IF(ISNUMBER(D127), $B145 * E127, "")</f>
        <v>-4477.6119402985069</v>
      </c>
      <c r="G127" s="31">
        <v>64.900000000000006</v>
      </c>
      <c r="H127" s="32">
        <f t="shared" si="63"/>
        <v>-3.1343283582089466E-2</v>
      </c>
      <c r="I127" s="101">
        <f>IF(ISNUMBER(G127), $B145 * H127, "")</f>
        <v>-3134.3283582089466</v>
      </c>
      <c r="J127" s="15">
        <v>65.8</v>
      </c>
      <c r="K127" s="32">
        <f t="shared" si="64"/>
        <v>-1.7910447761194073E-2</v>
      </c>
      <c r="L127" s="18">
        <f>IF(ISNUMBER(J127), $B145 * K127, "")</f>
        <v>-1791.0447761194073</v>
      </c>
      <c r="M127" s="31">
        <v>66.3</v>
      </c>
      <c r="N127" s="32">
        <f t="shared" si="65"/>
        <v>-1.0447761194029893E-2</v>
      </c>
      <c r="O127" s="18">
        <f>IF(ISNUMBER(M127), $B145 * N127, "")</f>
        <v>-1044.7761194029893</v>
      </c>
      <c r="Q127" s="251"/>
      <c r="R127" s="251"/>
      <c r="S127" s="251"/>
    </row>
    <row r="128" spans="1:19" ht="17.25" thickBot="1">
      <c r="A128" s="162" t="s">
        <v>227</v>
      </c>
      <c r="B128" s="126">
        <v>82.1</v>
      </c>
      <c r="C128" s="77">
        <v>-8.4726867299999994E-2</v>
      </c>
      <c r="D128" s="15">
        <v>76.599999999999994</v>
      </c>
      <c r="E128" s="32">
        <f t="shared" si="62"/>
        <v>-6.6991473812423874E-2</v>
      </c>
      <c r="F128" s="18">
        <f>IF(ISNUMBER(D128), $B145 * E128, "")</f>
        <v>-6699.1473812423874</v>
      </c>
      <c r="G128" s="31">
        <v>78.3</v>
      </c>
      <c r="H128" s="32">
        <f t="shared" si="63"/>
        <v>-4.628501827040192E-2</v>
      </c>
      <c r="I128" s="101">
        <f>IF(ISNUMBER(G128), $B145 * H128, "")</f>
        <v>-4628.5018270401924</v>
      </c>
      <c r="J128" s="15">
        <v>78.3</v>
      </c>
      <c r="K128" s="32">
        <f t="shared" si="64"/>
        <v>-4.628501827040192E-2</v>
      </c>
      <c r="L128" s="18">
        <f>IF(ISNUMBER(J128), $B145 * K128, "")</f>
        <v>-4628.5018270401924</v>
      </c>
      <c r="M128" s="31">
        <v>78.7</v>
      </c>
      <c r="N128" s="32">
        <f t="shared" si="65"/>
        <v>-4.1412911084043748E-2</v>
      </c>
      <c r="O128" s="18">
        <f>IF(ISNUMBER(M128), $B145 * N128, "")</f>
        <v>-4141.2911084043744</v>
      </c>
      <c r="Q128" s="251"/>
      <c r="R128" s="251"/>
      <c r="S128" s="251"/>
    </row>
    <row r="129" spans="1:19" ht="17.25" thickBot="1">
      <c r="A129" s="163" t="s">
        <v>154</v>
      </c>
      <c r="B129" s="128">
        <v>8.16</v>
      </c>
      <c r="C129" s="78">
        <v>-8.6226203799999998E-2</v>
      </c>
      <c r="D129" s="20">
        <v>7.73</v>
      </c>
      <c r="E129" s="21">
        <f t="shared" si="62"/>
        <v>-5.2696078431372514E-2</v>
      </c>
      <c r="F129" s="22">
        <f>IF(ISNUMBER(D129), $B145 * E129, "")</f>
        <v>-5269.6078431372516</v>
      </c>
      <c r="G129" s="30">
        <v>7.84</v>
      </c>
      <c r="H129" s="21">
        <f t="shared" si="63"/>
        <v>-3.9215686274509838E-2</v>
      </c>
      <c r="I129" s="105">
        <f>IF(ISNUMBER(G129), $B145 * H129, "")</f>
        <v>-3921.568627450984</v>
      </c>
      <c r="J129" s="20">
        <v>7.81</v>
      </c>
      <c r="K129" s="21">
        <f t="shared" si="64"/>
        <v>-4.2892156862745161E-2</v>
      </c>
      <c r="L129" s="22">
        <f>IF(ISNUMBER(J129), $B145 * K129, "")</f>
        <v>-4289.215686274516</v>
      </c>
      <c r="M129" s="30">
        <v>7.86</v>
      </c>
      <c r="N129" s="21">
        <f t="shared" si="65"/>
        <v>-3.6764705882352922E-2</v>
      </c>
      <c r="O129" s="22">
        <f>IF(ISNUMBER(M129), $B145 * N129, "")</f>
        <v>-3676.4705882352923</v>
      </c>
      <c r="Q129" s="251"/>
      <c r="R129" s="251"/>
      <c r="S129" s="251"/>
    </row>
    <row r="130" spans="1:19" ht="17.25" thickBot="1">
      <c r="A130" s="162" t="s">
        <v>134</v>
      </c>
      <c r="B130" s="129">
        <v>70.3</v>
      </c>
      <c r="C130" s="80">
        <v>-9.0556274300000003E-2</v>
      </c>
      <c r="D130" s="106">
        <v>66.5</v>
      </c>
      <c r="E130" s="107">
        <f>IF(ISNUMBER(D130), (D130 - $B130) / $B130, "")</f>
        <v>-5.4054054054054015E-2</v>
      </c>
      <c r="F130" s="108">
        <f>IF(ISNUMBER(D130), $B145 * E130, "")</f>
        <v>-5405.4054054054013</v>
      </c>
      <c r="G130" s="109">
        <v>66.7</v>
      </c>
      <c r="H130" s="107">
        <f>IF(ISNUMBER(G130), (G130 - $B130) / $B130, "")</f>
        <v>-5.120910384068271E-2</v>
      </c>
      <c r="I130" s="110">
        <f>IF(ISNUMBER(G130), $B145 * H130, "")</f>
        <v>-5120.910384068271</v>
      </c>
      <c r="J130" s="106">
        <v>67</v>
      </c>
      <c r="K130" s="107">
        <f>IF(ISNUMBER(J130), (J130 - $B130) / $B130, "")</f>
        <v>-4.6941678520625849E-2</v>
      </c>
      <c r="L130" s="108">
        <f>IF(ISNUMBER(J130), $B145 * K130, "")</f>
        <v>-4694.1678520625846</v>
      </c>
      <c r="M130" s="109">
        <v>67.2</v>
      </c>
      <c r="N130" s="107">
        <f>IF(ISNUMBER(M130), (M130 - $B130) / $B130, "")</f>
        <v>-4.4096728307254543E-2</v>
      </c>
      <c r="O130" s="108">
        <f>IF(ISNUMBER(M130), $B145 * N130, "")</f>
        <v>-4409.6728307254543</v>
      </c>
      <c r="Q130" s="251"/>
      <c r="R130" s="251"/>
      <c r="S130" s="251"/>
    </row>
    <row r="131" spans="1:19" ht="17.25" thickBot="1">
      <c r="A131" s="162" t="s">
        <v>201</v>
      </c>
      <c r="B131" s="126">
        <v>76.099999999999994</v>
      </c>
      <c r="C131" s="77">
        <v>-9.1885441499999998E-2</v>
      </c>
      <c r="D131" s="15">
        <v>69</v>
      </c>
      <c r="E131" s="32">
        <f t="shared" ref="E131:E134" si="66">IF(ISNUMBER(D131), (D131 - $B131) / $B131, "")</f>
        <v>-9.3298291721419124E-2</v>
      </c>
      <c r="F131" s="18">
        <f>IF(ISNUMBER(D131), $B145 * E131, "")</f>
        <v>-9329.8291721419118</v>
      </c>
      <c r="G131" s="31">
        <v>69.7</v>
      </c>
      <c r="H131" s="32">
        <f t="shared" ref="H131:H134" si="67">IF(ISNUMBER(G131), (G131 - $B131) / $B131, "")</f>
        <v>-8.4099868593955213E-2</v>
      </c>
      <c r="I131" s="101">
        <f>IF(ISNUMBER(G131), $B145 * H131, "")</f>
        <v>-8409.9868593955216</v>
      </c>
      <c r="J131" s="15">
        <v>70.2</v>
      </c>
      <c r="K131" s="32">
        <f t="shared" ref="K131:K134" si="68">IF(ISNUMBER(J131), (J131 - $B131) / $B131, "")</f>
        <v>-7.7529566360052454E-2</v>
      </c>
      <c r="L131" s="18">
        <f>IF(ISNUMBER(J131), $B145 * K131, "")</f>
        <v>-7752.9566360052459</v>
      </c>
      <c r="M131" s="31">
        <v>70</v>
      </c>
      <c r="N131" s="32">
        <f t="shared" ref="N131:N134" si="69">IF(ISNUMBER(M131), (M131 - $B131) / $B131, "")</f>
        <v>-8.0157687253613594E-2</v>
      </c>
      <c r="O131" s="18">
        <f>IF(ISNUMBER(M131), $B145 * N131, "")</f>
        <v>-8015.7687253613594</v>
      </c>
      <c r="Q131" s="251"/>
      <c r="R131" s="251"/>
      <c r="S131" s="251"/>
    </row>
    <row r="132" spans="1:19" ht="17.25" thickBot="1">
      <c r="A132" s="162" t="s">
        <v>212</v>
      </c>
      <c r="B132" s="126">
        <v>8.52</v>
      </c>
      <c r="C132" s="77">
        <v>-9.3617021300000006E-2</v>
      </c>
      <c r="D132" s="15">
        <v>8.35</v>
      </c>
      <c r="E132" s="32">
        <f t="shared" si="66"/>
        <v>-1.9953051643192481E-2</v>
      </c>
      <c r="F132" s="18">
        <f>IF(ISNUMBER(D132), $B145 * E132, "")</f>
        <v>-1995.3051643192482</v>
      </c>
      <c r="G132" s="31">
        <v>8.35</v>
      </c>
      <c r="H132" s="32">
        <f t="shared" si="67"/>
        <v>-1.9953051643192481E-2</v>
      </c>
      <c r="I132" s="101">
        <f>IF(ISNUMBER(G132), $B145 * H132, "")</f>
        <v>-1995.3051643192482</v>
      </c>
      <c r="J132" s="15">
        <v>8.39</v>
      </c>
      <c r="K132" s="32">
        <f t="shared" si="68"/>
        <v>-1.5258215962441198E-2</v>
      </c>
      <c r="L132" s="18">
        <f>IF(ISNUMBER(J132), $B145 * K132, "")</f>
        <v>-1525.8215962441197</v>
      </c>
      <c r="M132" s="31">
        <v>8.35</v>
      </c>
      <c r="N132" s="32">
        <f t="shared" si="69"/>
        <v>-1.9953051643192481E-2</v>
      </c>
      <c r="O132" s="18">
        <f>IF(ISNUMBER(M132), $B145 * N132, "")</f>
        <v>-1995.3051643192482</v>
      </c>
      <c r="Q132" s="251"/>
      <c r="R132" s="251"/>
      <c r="S132" s="251"/>
    </row>
    <row r="133" spans="1:19" ht="17.25" thickBot="1">
      <c r="A133" s="162" t="s">
        <v>236</v>
      </c>
      <c r="B133" s="126">
        <v>76.900000000000006</v>
      </c>
      <c r="C133" s="77">
        <v>-9.4228504099999999E-2</v>
      </c>
      <c r="D133" s="15">
        <v>72.3</v>
      </c>
      <c r="E133" s="32">
        <f t="shared" si="66"/>
        <v>-5.9817945383615193E-2</v>
      </c>
      <c r="F133" s="18">
        <f>IF(ISNUMBER(D133), $B145 * E133, "")</f>
        <v>-5981.7945383615197</v>
      </c>
      <c r="G133" s="31">
        <v>74</v>
      </c>
      <c r="H133" s="32">
        <f t="shared" si="67"/>
        <v>-3.771131339401828E-2</v>
      </c>
      <c r="I133" s="101">
        <f>IF(ISNUMBER(G133), $B145 * H133, "")</f>
        <v>-3771.131339401828</v>
      </c>
      <c r="J133" s="15">
        <v>74.400000000000006</v>
      </c>
      <c r="K133" s="32">
        <f t="shared" si="68"/>
        <v>-3.2509752925877759E-2</v>
      </c>
      <c r="L133" s="18">
        <f>IF(ISNUMBER(J133), $B145 * K133, "")</f>
        <v>-3250.975292587776</v>
      </c>
      <c r="M133" s="31">
        <v>74</v>
      </c>
      <c r="N133" s="32">
        <f t="shared" si="69"/>
        <v>-3.771131339401828E-2</v>
      </c>
      <c r="O133" s="18">
        <f>IF(ISNUMBER(M133), $B145 * N133, "")</f>
        <v>-3771.131339401828</v>
      </c>
      <c r="Q133" s="33"/>
      <c r="R133" s="33"/>
    </row>
    <row r="134" spans="1:19" ht="17.25" thickBot="1">
      <c r="A134" s="130" t="s">
        <v>197</v>
      </c>
      <c r="B134" s="131">
        <v>12.4</v>
      </c>
      <c r="C134" s="79">
        <v>-9.4890510900000002E-2</v>
      </c>
      <c r="D134" s="24">
        <v>12.8</v>
      </c>
      <c r="E134" s="25">
        <f t="shared" si="66"/>
        <v>3.2258064516129059E-2</v>
      </c>
      <c r="F134" s="104">
        <f>IF(ISNUMBER(D134), $B145 * E134, "")</f>
        <v>3225.8064516129061</v>
      </c>
      <c r="G134" s="102">
        <v>12.7</v>
      </c>
      <c r="H134" s="25">
        <f t="shared" si="67"/>
        <v>2.4193548387096687E-2</v>
      </c>
      <c r="I134" s="103">
        <f>IF(ISNUMBER(G134), $B145 * H134, "")</f>
        <v>2419.3548387096685</v>
      </c>
      <c r="J134" s="24">
        <v>12.6</v>
      </c>
      <c r="K134" s="25">
        <f t="shared" si="68"/>
        <v>1.6129032258064457E-2</v>
      </c>
      <c r="L134" s="104">
        <f>IF(ISNUMBER(J134), $B145 * K134, "")</f>
        <v>1612.9032258064456</v>
      </c>
      <c r="M134" s="102">
        <v>12.5</v>
      </c>
      <c r="N134" s="25">
        <f t="shared" si="69"/>
        <v>8.0645161290322284E-3</v>
      </c>
      <c r="O134" s="104">
        <f>IF(ISNUMBER(M134), $B145 * N134, "")</f>
        <v>806.45161290322278</v>
      </c>
      <c r="Q134" s="252"/>
      <c r="R134" s="253"/>
      <c r="S134" s="254"/>
    </row>
    <row r="135" spans="1:19">
      <c r="A135" s="161" t="s">
        <v>225</v>
      </c>
      <c r="B135" s="124">
        <v>7.37</v>
      </c>
      <c r="C135" s="76">
        <v>-9.6813725500000003E-2</v>
      </c>
      <c r="D135" s="13">
        <v>7.18</v>
      </c>
      <c r="E135" s="14">
        <f>IF(ISNUMBER(D135), (D135 - $B135) / $B135, "")</f>
        <v>-2.578018995929449E-2</v>
      </c>
      <c r="F135" s="16">
        <f>IF(ISNUMBER(D135), $B145 * E135, "")</f>
        <v>-2578.0189959294489</v>
      </c>
      <c r="G135" s="29">
        <v>7.14</v>
      </c>
      <c r="H135" s="14">
        <f>IF(ISNUMBER(G135), (G135 - $B135) / $B135, "")</f>
        <v>-3.1207598371777532E-2</v>
      </c>
      <c r="I135" s="100">
        <f>IF(ISNUMBER(G135), $B145 * H135, "")</f>
        <v>-3120.7598371777531</v>
      </c>
      <c r="J135" s="13">
        <v>7.2</v>
      </c>
      <c r="K135" s="14">
        <f>IF(ISNUMBER(J135), (J135 - $B135) / $B135, "")</f>
        <v>-2.3066485753052906E-2</v>
      </c>
      <c r="L135" s="16">
        <f>IF(ISNUMBER(J135), $B145 * K135, "")</f>
        <v>-2306.6485753052907</v>
      </c>
      <c r="M135" s="29">
        <v>7.2</v>
      </c>
      <c r="N135" s="14">
        <f>IF(ISNUMBER(M135), (M135 - $B135) / $B135, "")</f>
        <v>-2.3066485753052906E-2</v>
      </c>
      <c r="O135" s="16">
        <f>IF(ISNUMBER(M135), $B145 * N135, "")</f>
        <v>-2306.6485753052907</v>
      </c>
      <c r="Q135" s="255"/>
      <c r="R135" s="256"/>
      <c r="S135" s="257"/>
    </row>
    <row r="136" spans="1:19" ht="17.25" thickBot="1">
      <c r="A136" s="162" t="s">
        <v>229</v>
      </c>
      <c r="B136" s="126">
        <v>87.4</v>
      </c>
      <c r="C136" s="77">
        <v>-9.9897013399999998E-2</v>
      </c>
      <c r="D136" s="15">
        <v>81.400000000000006</v>
      </c>
      <c r="E136" s="32">
        <f t="shared" ref="E136:E139" si="70">IF(ISNUMBER(D136), (D136 - $B136) / $B136, "")</f>
        <v>-6.8649885583524028E-2</v>
      </c>
      <c r="F136" s="18">
        <f>IF(ISNUMBER(D136), $B145 * E136, "")</f>
        <v>-6864.9885583524028</v>
      </c>
      <c r="G136" s="31">
        <v>83.7</v>
      </c>
      <c r="H136" s="32">
        <f t="shared" ref="H136:H139" si="71">IF(ISNUMBER(G136), (G136 - $B136) / $B136, "")</f>
        <v>-4.2334096109839847E-2</v>
      </c>
      <c r="I136" s="101">
        <f>IF(ISNUMBER(G136), $B145 * H136, "")</f>
        <v>-4233.4096109839847</v>
      </c>
      <c r="J136" s="15">
        <v>84.8</v>
      </c>
      <c r="K136" s="32">
        <f t="shared" ref="K136:K139" si="72">IF(ISNUMBER(J136), (J136 - $B136) / $B136, "")</f>
        <v>-2.9748283752860507E-2</v>
      </c>
      <c r="L136" s="18">
        <f>IF(ISNUMBER(J136), $B145 * K136, "")</f>
        <v>-2974.8283752860507</v>
      </c>
      <c r="M136" s="31">
        <v>84.5</v>
      </c>
      <c r="N136" s="32">
        <f t="shared" ref="N136:N139" si="73">IF(ISNUMBER(M136), (M136 - $B136) / $B136, "")</f>
        <v>-3.3180778032036673E-2</v>
      </c>
      <c r="O136" s="18">
        <f>IF(ISNUMBER(M136), $B145 * N136, "")</f>
        <v>-3318.0778032036674</v>
      </c>
      <c r="Q136" s="258"/>
      <c r="R136" s="259"/>
      <c r="S136" s="260"/>
    </row>
    <row r="137" spans="1:19" ht="17.25" thickBot="1">
      <c r="A137" s="162" t="s">
        <v>195</v>
      </c>
      <c r="B137" s="126">
        <v>8.1999999999999993</v>
      </c>
      <c r="C137" s="77">
        <v>-0.1018619934</v>
      </c>
      <c r="D137" s="15">
        <v>7.82</v>
      </c>
      <c r="E137" s="32">
        <f t="shared" si="70"/>
        <v>-4.6341463414634028E-2</v>
      </c>
      <c r="F137" s="18">
        <f>IF(ISNUMBER(D137), $B145 * E137, "")</f>
        <v>-4634.1463414634027</v>
      </c>
      <c r="G137" s="31">
        <v>7.9</v>
      </c>
      <c r="H137" s="32">
        <f t="shared" si="71"/>
        <v>-3.6585365853658409E-2</v>
      </c>
      <c r="I137" s="101">
        <f>IF(ISNUMBER(G137), $B145 * H137, "")</f>
        <v>-3658.5365853658409</v>
      </c>
      <c r="J137" s="15">
        <v>7.99</v>
      </c>
      <c r="K137" s="32">
        <f t="shared" si="72"/>
        <v>-2.5609756097560867E-2</v>
      </c>
      <c r="L137" s="18">
        <f>IF(ISNUMBER(J137), $B145 * K137, "")</f>
        <v>-2560.9756097560867</v>
      </c>
      <c r="M137" s="31">
        <v>8.01</v>
      </c>
      <c r="N137" s="32">
        <f t="shared" si="73"/>
        <v>-2.3170731707317014E-2</v>
      </c>
      <c r="O137" s="18">
        <f>IF(ISNUMBER(M137), $B145 * N137, "")</f>
        <v>-2317.0731707317013</v>
      </c>
      <c r="Q137" s="251"/>
      <c r="R137" s="251"/>
      <c r="S137" s="251"/>
    </row>
    <row r="138" spans="1:19" ht="17.25" thickBot="1">
      <c r="A138" s="162" t="s">
        <v>255</v>
      </c>
      <c r="B138" s="126">
        <v>49.8</v>
      </c>
      <c r="C138" s="77">
        <v>-0.1059245961</v>
      </c>
      <c r="D138" s="15">
        <v>46.6</v>
      </c>
      <c r="E138" s="32">
        <f t="shared" si="70"/>
        <v>-6.4257028112449724E-2</v>
      </c>
      <c r="F138" s="18">
        <f>IF(ISNUMBER(D138), $B145 * E138, "")</f>
        <v>-6425.7028112449725</v>
      </c>
      <c r="G138" s="31">
        <v>47</v>
      </c>
      <c r="H138" s="32">
        <f t="shared" si="71"/>
        <v>-5.6224899598393517E-2</v>
      </c>
      <c r="I138" s="101">
        <f>IF(ISNUMBER(G138), $B145 * H138, "")</f>
        <v>-5622.4899598393513</v>
      </c>
      <c r="J138" s="15">
        <v>47.4</v>
      </c>
      <c r="K138" s="32">
        <f t="shared" si="72"/>
        <v>-4.8192771084337324E-2</v>
      </c>
      <c r="L138" s="18">
        <f>IF(ISNUMBER(J138), $B145 * K138, "")</f>
        <v>-4819.2771084337328</v>
      </c>
      <c r="M138" s="31">
        <v>47.3</v>
      </c>
      <c r="N138" s="32">
        <f t="shared" si="73"/>
        <v>-5.0200803212851405E-2</v>
      </c>
      <c r="O138" s="18">
        <f>IF(ISNUMBER(M138), $B145 * N138, "")</f>
        <v>-5020.0803212851406</v>
      </c>
      <c r="Q138" s="261"/>
      <c r="R138" s="261"/>
      <c r="S138" s="261"/>
    </row>
    <row r="139" spans="1:19" ht="17.25" thickBot="1">
      <c r="A139" s="163" t="s">
        <v>263</v>
      </c>
      <c r="B139" s="128">
        <v>20.8</v>
      </c>
      <c r="C139" s="78">
        <v>-0.14754098360000001</v>
      </c>
      <c r="D139" s="20">
        <v>23.8</v>
      </c>
      <c r="E139" s="21">
        <f t="shared" si="70"/>
        <v>0.14423076923076922</v>
      </c>
      <c r="F139" s="22">
        <f>IF(ISNUMBER(D139), $B145 * E139, "")</f>
        <v>14423.076923076922</v>
      </c>
      <c r="G139" s="30">
        <v>23.2</v>
      </c>
      <c r="H139" s="21">
        <f t="shared" si="71"/>
        <v>0.11538461538461531</v>
      </c>
      <c r="I139" s="105">
        <f>IF(ISNUMBER(G139), $B145 * H139, "")</f>
        <v>11538.46153846153</v>
      </c>
      <c r="J139" s="20">
        <v>22.6</v>
      </c>
      <c r="K139" s="21">
        <f t="shared" si="72"/>
        <v>8.6538461538461564E-2</v>
      </c>
      <c r="L139" s="22">
        <f>IF(ISNUMBER(J139), $B145 * K139, "")</f>
        <v>8653.8461538461561</v>
      </c>
      <c r="M139" s="30">
        <v>21.8</v>
      </c>
      <c r="N139" s="21">
        <f t="shared" si="73"/>
        <v>4.8076923076923073E-2</v>
      </c>
      <c r="O139" s="22">
        <f>IF(ISNUMBER(M139), $B145 * N139, "")</f>
        <v>4807.6923076923076</v>
      </c>
      <c r="Q139" s="261"/>
      <c r="R139" s="261"/>
      <c r="S139" s="261"/>
    </row>
    <row r="140" spans="1:19" ht="17.25" thickBot="1">
      <c r="A140" s="162" t="s">
        <v>122</v>
      </c>
      <c r="B140" s="129">
        <v>13.6</v>
      </c>
      <c r="C140" s="80">
        <v>-0.26086956519999999</v>
      </c>
      <c r="D140" s="106">
        <v>15.3</v>
      </c>
      <c r="E140" s="107">
        <f>IF(ISNUMBER(D140), (D140 - $B140) / $B140, "")</f>
        <v>0.12500000000000008</v>
      </c>
      <c r="F140" s="108">
        <f>IF(ISNUMBER(D140), $B145 * E140, "")</f>
        <v>12500.000000000009</v>
      </c>
      <c r="G140" s="109">
        <v>15.2</v>
      </c>
      <c r="H140" s="107">
        <f>IF(ISNUMBER(G140), (G140 - $B140) / $B140, "")</f>
        <v>0.11764705882352938</v>
      </c>
      <c r="I140" s="110">
        <f>IF(ISNUMBER(G140), $B145 * H140, "")</f>
        <v>11764.705882352939</v>
      </c>
      <c r="J140" s="106">
        <v>15.4</v>
      </c>
      <c r="K140" s="107">
        <f>IF(ISNUMBER(J140), (J140 - $B140) / $B140, "")</f>
        <v>0.13235294117647065</v>
      </c>
      <c r="L140" s="108">
        <f>IF(ISNUMBER(J140), $B145 * K140, "")</f>
        <v>13235.294117647065</v>
      </c>
      <c r="M140" s="109">
        <v>14.8</v>
      </c>
      <c r="N140" s="107">
        <f>IF(ISNUMBER(M140), (M140 - $B140) / $B140, "")</f>
        <v>8.8235294117647134E-2</v>
      </c>
      <c r="O140" s="108">
        <f>IF(ISNUMBER(M140), $B145 * N140, "")</f>
        <v>8823.5294117647136</v>
      </c>
      <c r="Q140" s="251"/>
      <c r="R140" s="251"/>
      <c r="S140" s="251"/>
    </row>
    <row r="141" spans="1:19" ht="17.25" thickBot="1">
      <c r="A141" s="162" t="s">
        <v>233</v>
      </c>
      <c r="B141" s="126">
        <v>10.6</v>
      </c>
      <c r="C141" s="77">
        <v>-0.28859060399999997</v>
      </c>
      <c r="D141" s="15">
        <v>11.9</v>
      </c>
      <c r="E141" s="32">
        <f t="shared" ref="E141:E144" si="74">IF(ISNUMBER(D141), (D141 - $B141) / $B141, "")</f>
        <v>0.12264150943396233</v>
      </c>
      <c r="F141" s="18">
        <f>IF(ISNUMBER(D141), $B145 * E141, "")</f>
        <v>12264.150943396233</v>
      </c>
      <c r="G141" s="31">
        <v>12.2</v>
      </c>
      <c r="H141" s="32">
        <f t="shared" ref="H141:H144" si="75">IF(ISNUMBER(G141), (G141 - $B141) / $B141, "")</f>
        <v>0.15094339622641506</v>
      </c>
      <c r="I141" s="101">
        <f>IF(ISNUMBER(G141), $B145 * H141, "")</f>
        <v>15094.339622641506</v>
      </c>
      <c r="J141" s="15">
        <v>12</v>
      </c>
      <c r="K141" s="32">
        <f t="shared" ref="K141:K144" si="76">IF(ISNUMBER(J141), (J141 - $B141) / $B141, "")</f>
        <v>0.13207547169811323</v>
      </c>
      <c r="L141" s="18">
        <f>IF(ISNUMBER(J141), $B145 * K141, "")</f>
        <v>13207.547169811323</v>
      </c>
      <c r="M141" s="31">
        <v>11.6</v>
      </c>
      <c r="N141" s="32">
        <f t="shared" ref="N141:N144" si="77">IF(ISNUMBER(M141), (M141 - $B141) / $B141, "")</f>
        <v>9.4339622641509441E-2</v>
      </c>
      <c r="O141" s="18">
        <f>IF(ISNUMBER(M141), $B145 * N141, "")</f>
        <v>9433.962264150945</v>
      </c>
      <c r="Q141" s="251"/>
      <c r="R141" s="251"/>
      <c r="S141" s="251"/>
    </row>
    <row r="142" spans="1:19" ht="17.25" thickBot="1">
      <c r="A142" s="162" t="s">
        <v>246</v>
      </c>
      <c r="B142" s="126">
        <v>37.6</v>
      </c>
      <c r="C142" s="77">
        <v>-0.28922495269999998</v>
      </c>
      <c r="D142" s="15">
        <v>42</v>
      </c>
      <c r="E142" s="32">
        <f t="shared" si="74"/>
        <v>0.11702127659574464</v>
      </c>
      <c r="F142" s="18">
        <f>IF(ISNUMBER(D142), $B145 * E142, "")</f>
        <v>11702.127659574464</v>
      </c>
      <c r="G142" s="31">
        <v>44</v>
      </c>
      <c r="H142" s="32">
        <f t="shared" si="75"/>
        <v>0.17021276595744678</v>
      </c>
      <c r="I142" s="101">
        <f>IF(ISNUMBER(G142), $B145 * H142, "")</f>
        <v>17021.276595744679</v>
      </c>
      <c r="J142" s="15">
        <v>42.3</v>
      </c>
      <c r="K142" s="32">
        <f t="shared" si="76"/>
        <v>0.12499999999999988</v>
      </c>
      <c r="L142" s="18">
        <f>IF(ISNUMBER(J142), $B145 * K142, "")</f>
        <v>12499.999999999987</v>
      </c>
      <c r="M142" s="31">
        <v>40.700000000000003</v>
      </c>
      <c r="N142" s="32">
        <f t="shared" si="77"/>
        <v>8.2446808510638334E-2</v>
      </c>
      <c r="O142" s="18">
        <f>IF(ISNUMBER(M142), $B145 * N142, "")</f>
        <v>8244.680851063833</v>
      </c>
      <c r="Q142" s="251"/>
      <c r="R142" s="251"/>
      <c r="S142" s="251"/>
    </row>
    <row r="143" spans="1:19">
      <c r="A143" s="162" t="s">
        <v>171</v>
      </c>
      <c r="B143" s="126">
        <v>2.92</v>
      </c>
      <c r="C143" s="77">
        <v>-0.2912621359</v>
      </c>
      <c r="D143" s="15">
        <v>3.56</v>
      </c>
      <c r="E143" s="32">
        <f t="shared" si="74"/>
        <v>0.21917808219178087</v>
      </c>
      <c r="F143" s="18">
        <f>IF(ISNUMBER(D143), $B145 * E143, "")</f>
        <v>21917.808219178085</v>
      </c>
      <c r="G143" s="31">
        <v>3.54</v>
      </c>
      <c r="H143" s="32">
        <f t="shared" si="75"/>
        <v>0.21232876712328771</v>
      </c>
      <c r="I143" s="101">
        <f>IF(ISNUMBER(G143), $B145 * H143, "")</f>
        <v>21232.876712328773</v>
      </c>
      <c r="J143" s="15">
        <v>3.4</v>
      </c>
      <c r="K143" s="32">
        <f t="shared" si="76"/>
        <v>0.16438356164383561</v>
      </c>
      <c r="L143" s="18">
        <f>IF(ISNUMBER(J143), $B145 * K143, "")</f>
        <v>16438.35616438356</v>
      </c>
      <c r="M143" s="31">
        <v>3.22</v>
      </c>
      <c r="N143" s="32">
        <f t="shared" si="77"/>
        <v>0.10273972602739735</v>
      </c>
      <c r="O143" s="18">
        <f>IF(ISNUMBER(M143), $B145 * N143, "")</f>
        <v>10273.972602739736</v>
      </c>
      <c r="Q143" s="240"/>
      <c r="R143" s="241"/>
      <c r="S143" s="242"/>
    </row>
    <row r="144" spans="1:19" ht="17.25" thickBot="1">
      <c r="A144" s="130" t="s">
        <v>248</v>
      </c>
      <c r="B144" s="131">
        <v>61.8</v>
      </c>
      <c r="C144" s="79">
        <v>-0.30405405410000003</v>
      </c>
      <c r="D144" s="24">
        <v>68.400000000000006</v>
      </c>
      <c r="E144" s="25">
        <f t="shared" si="74"/>
        <v>0.10679611650485452</v>
      </c>
      <c r="F144" s="104">
        <f>IF(ISNUMBER(D144), $B145 * E144, "")</f>
        <v>10679.611650485451</v>
      </c>
      <c r="G144" s="102">
        <v>70.900000000000006</v>
      </c>
      <c r="H144" s="25">
        <f t="shared" si="75"/>
        <v>0.14724919093851147</v>
      </c>
      <c r="I144" s="103">
        <f>IF(ISNUMBER(G144), $B145 * H144, "")</f>
        <v>14724.919093851147</v>
      </c>
      <c r="J144" s="24">
        <v>68.2</v>
      </c>
      <c r="K144" s="25">
        <f t="shared" si="76"/>
        <v>0.10355987055016191</v>
      </c>
      <c r="L144" s="104">
        <f>IF(ISNUMBER(J144), $B145 * K144, "")</f>
        <v>10355.987055016192</v>
      </c>
      <c r="M144" s="102">
        <v>66.400000000000006</v>
      </c>
      <c r="N144" s="25">
        <f t="shared" si="77"/>
        <v>7.4433656957928945E-2</v>
      </c>
      <c r="O144" s="104">
        <f>IF(ISNUMBER(M144), $B145 * N144, "")</f>
        <v>7443.3656957928943</v>
      </c>
      <c r="Q144" s="243"/>
      <c r="R144" s="244"/>
      <c r="S144" s="245"/>
    </row>
    <row r="145" spans="1:19" ht="17.25" thickBot="1">
      <c r="A145" s="132" t="s">
        <v>295</v>
      </c>
      <c r="B145" s="304">
        <f>$B$37</f>
        <v>100000</v>
      </c>
      <c r="C145" s="305"/>
      <c r="D145" s="26" t="s">
        <v>296</v>
      </c>
      <c r="E145" s="27">
        <f>IF(COUNT(E125:E144), SUM(E125:E144) / COUNT(E125:E144), 0)</f>
        <v>7.3979609977087952E-3</v>
      </c>
      <c r="F145" s="28">
        <f>SUM(F125:F144)</f>
        <v>14795.921995417601</v>
      </c>
      <c r="G145" s="26" t="s">
        <v>296</v>
      </c>
      <c r="H145" s="27">
        <f>IF(COUNT(H125:H144), SUM(H125:H144) / COUNT(H125:H144), 0)</f>
        <v>1.8061948675512342E-2</v>
      </c>
      <c r="I145" s="28">
        <f>SUM(I125:I144)</f>
        <v>36123.897351024687</v>
      </c>
      <c r="J145" s="26" t="s">
        <v>296</v>
      </c>
      <c r="K145" s="27">
        <f>IF(COUNT(K125:K144), SUM(K125:K144) / COUNT(K125:K144), 0)</f>
        <v>1.4096330363537279E-2</v>
      </c>
      <c r="L145" s="28">
        <f>SUM(L125:L144)</f>
        <v>28192.660727074566</v>
      </c>
      <c r="M145" s="26" t="s">
        <v>296</v>
      </c>
      <c r="N145" s="27">
        <f>IF(COUNT(N125:N144), SUM(N125:N144) / COUNT(N125:N144), 0)</f>
        <v>1.1157200128745625E-3</v>
      </c>
      <c r="O145" s="28">
        <f>SUM(O125:O144)</f>
        <v>2231.440025749127</v>
      </c>
      <c r="Q145" s="246"/>
      <c r="R145" s="247"/>
      <c r="S145" s="248"/>
    </row>
    <row r="147" spans="1:19" ht="17.25" thickBot="1"/>
    <row r="148" spans="1:19" ht="17.25" thickBot="1">
      <c r="A148" s="262" t="s">
        <v>284</v>
      </c>
      <c r="B148" s="263"/>
      <c r="C148" s="263"/>
      <c r="D148" s="263"/>
      <c r="E148" s="263"/>
      <c r="F148" s="263"/>
      <c r="G148" s="263"/>
      <c r="H148" s="263"/>
      <c r="I148" s="263"/>
      <c r="J148" s="263"/>
      <c r="K148" s="263"/>
      <c r="L148" s="263"/>
      <c r="M148" s="263"/>
      <c r="N148" s="263"/>
      <c r="O148" s="264"/>
      <c r="Q148" s="261"/>
      <c r="R148" s="261"/>
      <c r="S148" s="261"/>
    </row>
    <row r="149" spans="1:19" ht="17.25" thickBot="1">
      <c r="A149" s="232" t="s">
        <v>292</v>
      </c>
      <c r="B149" s="262" t="s">
        <v>49</v>
      </c>
      <c r="C149" s="264"/>
      <c r="D149" s="262" t="s">
        <v>58</v>
      </c>
      <c r="E149" s="263"/>
      <c r="F149" s="264"/>
      <c r="G149" s="265">
        <f>_xlfn.IFNA(VLOOKUP(B149, 현재가테이블!$B$2:$D$200, 2, FALSE), "-")</f>
        <v>40538000</v>
      </c>
      <c r="H149" s="266"/>
      <c r="I149" s="267"/>
      <c r="J149" s="262" t="s">
        <v>59</v>
      </c>
      <c r="K149" s="263"/>
      <c r="L149" s="264"/>
      <c r="M149" s="268">
        <f>_xlfn.IFNA(VLOOKUP(B149, 현재가테이블!$B$2:$D$200, 3, FALSE), "-")</f>
        <v>-3.68275993E-2</v>
      </c>
      <c r="N149" s="269"/>
      <c r="O149" s="270"/>
      <c r="Q149" s="261"/>
      <c r="R149" s="261"/>
      <c r="S149" s="261"/>
    </row>
    <row r="150" spans="1:19" ht="17.25" thickBot="1">
      <c r="A150" s="306" t="s">
        <v>55</v>
      </c>
      <c r="B150" s="302" t="str">
        <f>TEXT($G$1, "[$-ko-KR]yyyy-mm-dd(ddd) ") &amp; "오전 00:00"</f>
        <v>2021-06-19(토) 오전 00:00</v>
      </c>
      <c r="C150" s="303"/>
      <c r="D150" s="275" t="str">
        <f>TEXT($G$1, "[$-ko-KR]yyyy-mm-dd(ddd) ") &amp; "오후 14:00"</f>
        <v>2021-06-19(토) 오후 14:00</v>
      </c>
      <c r="E150" s="276"/>
      <c r="F150" s="277"/>
      <c r="G150" s="275" t="str">
        <f>TEXT($G$1, "[$-ko-KR]yyyy-mm-dd(ddd) ") &amp; "오후 19:00"</f>
        <v>2021-06-19(토) 오후 19:00</v>
      </c>
      <c r="H150" s="276"/>
      <c r="I150" s="277"/>
      <c r="J150" s="275" t="str">
        <f>TEXT($G$1, "[$-ko-KR]yyyy-mm-dd(ddd) ") &amp; "오후 21:00"</f>
        <v>2021-06-19(토) 오후 21:00</v>
      </c>
      <c r="K150" s="276"/>
      <c r="L150" s="277"/>
      <c r="M150" s="275" t="str">
        <f>TEXT($G$1+1, "[$-ko-KR]yyyy-mm-dd(ddd) ") &amp; "오전 00:00"</f>
        <v>2021-06-20(일) 오전 00:00</v>
      </c>
      <c r="N150" s="276"/>
      <c r="O150" s="277"/>
      <c r="Q150" s="261"/>
      <c r="R150" s="261"/>
      <c r="S150" s="261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3" t="s">
        <v>58</v>
      </c>
      <c r="H151" s="234" t="s">
        <v>293</v>
      </c>
      <c r="I151" s="23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1"/>
      <c r="R151" s="251"/>
      <c r="S151" s="251"/>
    </row>
    <row r="152" spans="1:19" ht="17.25" thickBot="1">
      <c r="A152" s="161" t="s">
        <v>265</v>
      </c>
      <c r="B152" s="124">
        <v>308</v>
      </c>
      <c r="C152" s="76">
        <v>-5.8103975500000002E-2</v>
      </c>
      <c r="D152" s="13">
        <v>305</v>
      </c>
      <c r="E152" s="14">
        <f>IF(ISNUMBER(D152), (D152 - $B152) / $B152, "")</f>
        <v>-9.74025974025974E-3</v>
      </c>
      <c r="F152" s="16">
        <f>IF(ISNUMBER(D152), $B172 * E152, "")</f>
        <v>-974.02597402597405</v>
      </c>
      <c r="G152" s="29">
        <v>309</v>
      </c>
      <c r="H152" s="14">
        <f>IF(ISNUMBER(G152), (G152 - $B152) / $B152, "")</f>
        <v>3.246753246753247E-3</v>
      </c>
      <c r="I152" s="100">
        <f>IF(ISNUMBER(G152), $B172 * H152, "")</f>
        <v>324.6753246753247</v>
      </c>
      <c r="J152" s="13">
        <v>312</v>
      </c>
      <c r="K152" s="14">
        <f>IF(ISNUMBER(J152), (J152 - $B152) / $B152, "")</f>
        <v>1.2987012987012988E-2</v>
      </c>
      <c r="L152" s="16">
        <f>IF(ISNUMBER(J152), $B172 * K152, "")</f>
        <v>1298.7012987012988</v>
      </c>
      <c r="M152" s="29">
        <v>310</v>
      </c>
      <c r="N152" s="14">
        <f>IF(ISNUMBER(M152), (M152 - $B152) / $B152, "")</f>
        <v>6.4935064935064939E-3</v>
      </c>
      <c r="O152" s="16">
        <f>IF(ISNUMBER(M152), $B172 * N152, "")</f>
        <v>649.35064935064941</v>
      </c>
      <c r="Q152" s="261"/>
      <c r="R152" s="261"/>
      <c r="S152" s="261"/>
    </row>
    <row r="153" spans="1:19" ht="17.25" thickBot="1">
      <c r="A153" s="162" t="s">
        <v>106</v>
      </c>
      <c r="B153" s="126">
        <v>973</v>
      </c>
      <c r="C153" s="77">
        <v>-5.99033816E-2</v>
      </c>
      <c r="D153" s="15">
        <v>950</v>
      </c>
      <c r="E153" s="32">
        <f t="shared" ref="E153:E156" si="78">IF(ISNUMBER(D153), (D153 - $B153) / $B153, "")</f>
        <v>-2.3638232271325797E-2</v>
      </c>
      <c r="F153" s="18">
        <f>IF(ISNUMBER(D153), $B172 * E153, "")</f>
        <v>-2363.8232271325796</v>
      </c>
      <c r="G153" s="31">
        <v>953</v>
      </c>
      <c r="H153" s="32">
        <f t="shared" ref="H153:H156" si="79">IF(ISNUMBER(G153), (G153 - $B153) / $B153, "")</f>
        <v>-2.0554984583761562E-2</v>
      </c>
      <c r="I153" s="101">
        <f>IF(ISNUMBER(G153), $B172 * H153, "")</f>
        <v>-2055.4984583761561</v>
      </c>
      <c r="J153" s="15">
        <v>970</v>
      </c>
      <c r="K153" s="32">
        <f t="shared" ref="K153:K156" si="80">IF(ISNUMBER(J153), (J153 - $B153) / $B153, "")</f>
        <v>-3.0832476875642342E-3</v>
      </c>
      <c r="L153" s="18">
        <f>IF(ISNUMBER(J153), $B172 * K153, "")</f>
        <v>-308.3247687564234</v>
      </c>
      <c r="M153" s="31">
        <v>967</v>
      </c>
      <c r="N153" s="32">
        <f t="shared" ref="N153:N156" si="81">IF(ISNUMBER(M153), (M153 - $B153) / $B153, "")</f>
        <v>-6.1664953751284684E-3</v>
      </c>
      <c r="O153" s="18">
        <f>IF(ISNUMBER(M153), $B172 * N153, "")</f>
        <v>-616.64953751284679</v>
      </c>
      <c r="Q153" s="261"/>
      <c r="R153" s="261"/>
      <c r="S153" s="261"/>
    </row>
    <row r="154" spans="1:19" ht="17.25" thickBot="1">
      <c r="A154" s="162" t="s">
        <v>169</v>
      </c>
      <c r="B154" s="126">
        <v>232</v>
      </c>
      <c r="C154" s="77">
        <v>-6.0728744899999999E-2</v>
      </c>
      <c r="D154" s="15">
        <v>223</v>
      </c>
      <c r="E154" s="32">
        <f t="shared" si="78"/>
        <v>-3.8793103448275863E-2</v>
      </c>
      <c r="F154" s="18">
        <f>IF(ISNUMBER(D154), $B172 * E154, "")</f>
        <v>-3879.3103448275865</v>
      </c>
      <c r="G154" s="31">
        <v>225</v>
      </c>
      <c r="H154" s="32">
        <f t="shared" si="79"/>
        <v>-3.017241379310345E-2</v>
      </c>
      <c r="I154" s="101">
        <f>IF(ISNUMBER(G154), $B172 * H154, "")</f>
        <v>-3017.2413793103451</v>
      </c>
      <c r="J154" s="15">
        <v>225</v>
      </c>
      <c r="K154" s="32">
        <f t="shared" si="80"/>
        <v>-3.017241379310345E-2</v>
      </c>
      <c r="L154" s="18">
        <f>IF(ISNUMBER(J154), $B172 * K154, "")</f>
        <v>-3017.2413793103451</v>
      </c>
      <c r="M154" s="31">
        <v>227</v>
      </c>
      <c r="N154" s="32">
        <f t="shared" si="81"/>
        <v>-2.1551724137931036E-2</v>
      </c>
      <c r="O154" s="18">
        <f>IF(ISNUMBER(M154), $B172 * N154, "")</f>
        <v>-2155.1724137931037</v>
      </c>
      <c r="Q154" s="251"/>
      <c r="R154" s="251"/>
      <c r="S154" s="251"/>
    </row>
    <row r="155" spans="1:19" ht="17.25" thickBot="1">
      <c r="A155" s="162" t="s">
        <v>61</v>
      </c>
      <c r="B155" s="126">
        <v>763</v>
      </c>
      <c r="C155" s="77">
        <v>-6.1500615000000002E-2</v>
      </c>
      <c r="D155" s="15">
        <v>751</v>
      </c>
      <c r="E155" s="32">
        <f t="shared" si="78"/>
        <v>-1.5727391874180863E-2</v>
      </c>
      <c r="F155" s="18">
        <f>IF(ISNUMBER(D155), $B172 * E155, "")</f>
        <v>-1572.7391874180864</v>
      </c>
      <c r="G155" s="31">
        <v>756</v>
      </c>
      <c r="H155" s="32">
        <f t="shared" si="79"/>
        <v>-9.1743119266055051E-3</v>
      </c>
      <c r="I155" s="101">
        <f>IF(ISNUMBER(G155), $B172 * H155, "")</f>
        <v>-917.43119266055055</v>
      </c>
      <c r="J155" s="15">
        <v>765</v>
      </c>
      <c r="K155" s="32">
        <f t="shared" si="80"/>
        <v>2.6212319790301442E-3</v>
      </c>
      <c r="L155" s="18">
        <f>IF(ISNUMBER(J155), $B172 * K155, "")</f>
        <v>262.12319790301444</v>
      </c>
      <c r="M155" s="31">
        <v>764</v>
      </c>
      <c r="N155" s="32">
        <f t="shared" si="81"/>
        <v>1.3106159895150721E-3</v>
      </c>
      <c r="O155" s="18">
        <f>IF(ISNUMBER(M155), $B172 * N155, "")</f>
        <v>131.06159895150722</v>
      </c>
      <c r="Q155" s="251"/>
      <c r="R155" s="251"/>
      <c r="S155" s="251"/>
    </row>
    <row r="156" spans="1:19" ht="17.25" thickBot="1">
      <c r="A156" s="163" t="s">
        <v>136</v>
      </c>
      <c r="B156" s="128">
        <v>122</v>
      </c>
      <c r="C156" s="78">
        <v>-6.1538461500000002E-2</v>
      </c>
      <c r="D156" s="20">
        <v>119</v>
      </c>
      <c r="E156" s="21">
        <f t="shared" si="78"/>
        <v>-2.4590163934426229E-2</v>
      </c>
      <c r="F156" s="22">
        <f>IF(ISNUMBER(D156), $B172 * E156, "")</f>
        <v>-2459.0163934426228</v>
      </c>
      <c r="G156" s="30">
        <v>120</v>
      </c>
      <c r="H156" s="21">
        <f t="shared" si="79"/>
        <v>-1.6393442622950821E-2</v>
      </c>
      <c r="I156" s="105">
        <f>IF(ISNUMBER(G156), $B172 * H156, "")</f>
        <v>-1639.344262295082</v>
      </c>
      <c r="J156" s="20">
        <v>122</v>
      </c>
      <c r="K156" s="21">
        <f t="shared" si="80"/>
        <v>0</v>
      </c>
      <c r="L156" s="22">
        <f>IF(ISNUMBER(J156), $B172 * K156, "")</f>
        <v>0</v>
      </c>
      <c r="M156" s="30">
        <v>122</v>
      </c>
      <c r="N156" s="21">
        <f t="shared" si="81"/>
        <v>0</v>
      </c>
      <c r="O156" s="22">
        <f>IF(ISNUMBER(M156), $B172 * N156, "")</f>
        <v>0</v>
      </c>
      <c r="Q156" s="251"/>
      <c r="R156" s="251"/>
      <c r="S156" s="251"/>
    </row>
    <row r="157" spans="1:19" ht="17.25" thickBot="1">
      <c r="A157" s="162" t="s">
        <v>173</v>
      </c>
      <c r="B157" s="129">
        <v>105</v>
      </c>
      <c r="C157" s="80">
        <v>-6.25E-2</v>
      </c>
      <c r="D157" s="106">
        <v>108</v>
      </c>
      <c r="E157" s="107">
        <f>IF(ISNUMBER(D157), (D157 - $B157) / $B157, "")</f>
        <v>2.8571428571428571E-2</v>
      </c>
      <c r="F157" s="108">
        <f>IF(ISNUMBER(D157), $B172 * E157, "")</f>
        <v>2857.1428571428569</v>
      </c>
      <c r="G157" s="109">
        <v>105</v>
      </c>
      <c r="H157" s="107">
        <f>IF(ISNUMBER(G157), (G157 - $B157) / $B157, "")</f>
        <v>0</v>
      </c>
      <c r="I157" s="110">
        <f>IF(ISNUMBER(G157), $B172 * H157, "")</f>
        <v>0</v>
      </c>
      <c r="J157" s="106">
        <v>106</v>
      </c>
      <c r="K157" s="107">
        <f>IF(ISNUMBER(J157), (J157 - $B157) / $B157, "")</f>
        <v>9.5238095238095247E-3</v>
      </c>
      <c r="L157" s="108">
        <f>IF(ISNUMBER(J157), $B172 * K157, "")</f>
        <v>952.38095238095252</v>
      </c>
      <c r="M157" s="109">
        <v>105</v>
      </c>
      <c r="N157" s="107">
        <f>IF(ISNUMBER(M157), (M157 - $B157) / $B157, "")</f>
        <v>0</v>
      </c>
      <c r="O157" s="108">
        <f>IF(ISNUMBER(M157), $B172 * N157, "")</f>
        <v>0</v>
      </c>
      <c r="Q157" s="251"/>
      <c r="R157" s="251"/>
      <c r="S157" s="251"/>
    </row>
    <row r="158" spans="1:19" ht="17.25" thickBot="1">
      <c r="A158" s="162" t="s">
        <v>251</v>
      </c>
      <c r="B158" s="126">
        <v>133</v>
      </c>
      <c r="C158" s="77">
        <v>-6.3380281699999999E-2</v>
      </c>
      <c r="D158" s="15">
        <v>130</v>
      </c>
      <c r="E158" s="32">
        <f t="shared" ref="E158:E161" si="82">IF(ISNUMBER(D158), (D158 - $B158) / $B158, "")</f>
        <v>-2.2556390977443608E-2</v>
      </c>
      <c r="F158" s="18">
        <f>IF(ISNUMBER(D158), $B172 * E158, "")</f>
        <v>-2255.6390977443607</v>
      </c>
      <c r="G158" s="31">
        <v>129</v>
      </c>
      <c r="H158" s="32">
        <f t="shared" ref="H158:H161" si="83">IF(ISNUMBER(G158), (G158 - $B158) / $B158, "")</f>
        <v>-3.007518796992481E-2</v>
      </c>
      <c r="I158" s="101">
        <f>IF(ISNUMBER(G158), $B172 * H158, "")</f>
        <v>-3007.5187969924809</v>
      </c>
      <c r="J158" s="15">
        <v>130</v>
      </c>
      <c r="K158" s="32">
        <f t="shared" ref="K158:K161" si="84">IF(ISNUMBER(J158), (J158 - $B158) / $B158, "")</f>
        <v>-2.2556390977443608E-2</v>
      </c>
      <c r="L158" s="18">
        <f>IF(ISNUMBER(J158), $B172 * K158, "")</f>
        <v>-2255.6390977443607</v>
      </c>
      <c r="M158" s="31">
        <v>130</v>
      </c>
      <c r="N158" s="32">
        <f t="shared" ref="N158:N161" si="85">IF(ISNUMBER(M158), (M158 - $B158) / $B158, "")</f>
        <v>-2.2556390977443608E-2</v>
      </c>
      <c r="O158" s="18">
        <f>IF(ISNUMBER(M158), $B172 * N158, "")</f>
        <v>-2255.6390977443607</v>
      </c>
      <c r="Q158" s="251"/>
      <c r="R158" s="251"/>
      <c r="S158" s="251"/>
    </row>
    <row r="159" spans="1:19" ht="17.25" thickBot="1">
      <c r="A159" s="162" t="s">
        <v>128</v>
      </c>
      <c r="B159" s="126">
        <v>277</v>
      </c>
      <c r="C159" s="77">
        <v>-6.4189189199999996E-2</v>
      </c>
      <c r="D159" s="15">
        <v>267</v>
      </c>
      <c r="E159" s="32">
        <f t="shared" si="82"/>
        <v>-3.6101083032490974E-2</v>
      </c>
      <c r="F159" s="18">
        <f>IF(ISNUMBER(D159), $B172 * E159, "")</f>
        <v>-3610.1083032490974</v>
      </c>
      <c r="G159" s="31">
        <v>268</v>
      </c>
      <c r="H159" s="32">
        <f t="shared" si="83"/>
        <v>-3.2490974729241874E-2</v>
      </c>
      <c r="I159" s="101">
        <f>IF(ISNUMBER(G159), $B172 * H159, "")</f>
        <v>-3249.0974729241875</v>
      </c>
      <c r="J159" s="15">
        <v>273</v>
      </c>
      <c r="K159" s="32">
        <f t="shared" si="84"/>
        <v>-1.444043321299639E-2</v>
      </c>
      <c r="L159" s="18">
        <f>IF(ISNUMBER(J159), $B172 * K159, "")</f>
        <v>-1444.043321299639</v>
      </c>
      <c r="M159" s="31">
        <v>269</v>
      </c>
      <c r="N159" s="32">
        <f t="shared" si="85"/>
        <v>-2.8880866425992781E-2</v>
      </c>
      <c r="O159" s="18">
        <f>IF(ISNUMBER(M159), $B172 * N159, "")</f>
        <v>-2888.0866425992781</v>
      </c>
      <c r="Q159" s="251"/>
      <c r="R159" s="251"/>
      <c r="S159" s="251"/>
    </row>
    <row r="160" spans="1:19" ht="17.25" thickBot="1">
      <c r="A160" s="162" t="s">
        <v>80</v>
      </c>
      <c r="B160" s="126">
        <v>726</v>
      </c>
      <c r="C160" s="77">
        <v>-6.5637065600000002E-2</v>
      </c>
      <c r="D160" s="15">
        <v>712</v>
      </c>
      <c r="E160" s="32">
        <f t="shared" si="82"/>
        <v>-1.928374655647383E-2</v>
      </c>
      <c r="F160" s="18">
        <f>IF(ISNUMBER(D160), $B172 * E160, "")</f>
        <v>-1928.374655647383</v>
      </c>
      <c r="G160" s="31">
        <v>722</v>
      </c>
      <c r="H160" s="32">
        <f t="shared" si="83"/>
        <v>-5.5096418732782371E-3</v>
      </c>
      <c r="I160" s="101">
        <f>IF(ISNUMBER(G160), $B172 * H160, "")</f>
        <v>-550.96418732782365</v>
      </c>
      <c r="J160" s="15">
        <v>732</v>
      </c>
      <c r="K160" s="32">
        <f t="shared" si="84"/>
        <v>8.2644628099173556E-3</v>
      </c>
      <c r="L160" s="18">
        <f>IF(ISNUMBER(J160), $B172 * K160, "")</f>
        <v>826.44628099173553</v>
      </c>
      <c r="M160" s="31">
        <v>731</v>
      </c>
      <c r="N160" s="32">
        <f t="shared" si="85"/>
        <v>6.8870523415977963E-3</v>
      </c>
      <c r="O160" s="18">
        <f>IF(ISNUMBER(M160), $B172 * N160, "")</f>
        <v>688.70523415977959</v>
      </c>
      <c r="Q160" s="33"/>
      <c r="R160" s="33"/>
    </row>
    <row r="161" spans="1:19" ht="17.25" thickBot="1">
      <c r="A161" s="130" t="s">
        <v>242</v>
      </c>
      <c r="B161" s="131">
        <v>230</v>
      </c>
      <c r="C161" s="79">
        <v>-6.8825910899999995E-2</v>
      </c>
      <c r="D161" s="24">
        <v>217</v>
      </c>
      <c r="E161" s="25">
        <f t="shared" si="82"/>
        <v>-5.6521739130434782E-2</v>
      </c>
      <c r="F161" s="104">
        <f>IF(ISNUMBER(D161), $B172 * E161, "")</f>
        <v>-5652.173913043478</v>
      </c>
      <c r="G161" s="102">
        <v>217</v>
      </c>
      <c r="H161" s="25">
        <f t="shared" si="83"/>
        <v>-5.6521739130434782E-2</v>
      </c>
      <c r="I161" s="103">
        <f>IF(ISNUMBER(G161), $B172 * H161, "")</f>
        <v>-5652.173913043478</v>
      </c>
      <c r="J161" s="24">
        <v>219</v>
      </c>
      <c r="K161" s="25">
        <f t="shared" si="84"/>
        <v>-4.7826086956521741E-2</v>
      </c>
      <c r="L161" s="104">
        <f>IF(ISNUMBER(J161), $B172 * K161, "")</f>
        <v>-4782.608695652174</v>
      </c>
      <c r="M161" s="102">
        <v>221</v>
      </c>
      <c r="N161" s="25">
        <f t="shared" si="85"/>
        <v>-3.9130434782608699E-2</v>
      </c>
      <c r="O161" s="104">
        <f>IF(ISNUMBER(M161), $B172 * N161, "")</f>
        <v>-3913.04347826087</v>
      </c>
      <c r="Q161" s="252"/>
      <c r="R161" s="253"/>
      <c r="S161" s="254"/>
    </row>
    <row r="162" spans="1:19">
      <c r="A162" s="161" t="s">
        <v>175</v>
      </c>
      <c r="B162" s="124">
        <v>984</v>
      </c>
      <c r="C162" s="76">
        <v>-7.6056338000000001E-2</v>
      </c>
      <c r="D162" s="13">
        <v>959</v>
      </c>
      <c r="E162" s="14">
        <f>IF(ISNUMBER(D162), (D162 - $B162) / $B162, "")</f>
        <v>-2.540650406504065E-2</v>
      </c>
      <c r="F162" s="16">
        <f>IF(ISNUMBER(D162), $B172 * E162, "")</f>
        <v>-2540.6504065040649</v>
      </c>
      <c r="G162" s="29">
        <v>978</v>
      </c>
      <c r="H162" s="14">
        <f>IF(ISNUMBER(G162), (G162 - $B162) / $B162, "")</f>
        <v>-6.0975609756097563E-3</v>
      </c>
      <c r="I162" s="100">
        <f>IF(ISNUMBER(G162), $B172 * H162, "")</f>
        <v>-609.7560975609756</v>
      </c>
      <c r="J162" s="13">
        <v>984</v>
      </c>
      <c r="K162" s="14">
        <f>IF(ISNUMBER(J162), (J162 - $B162) / $B162, "")</f>
        <v>0</v>
      </c>
      <c r="L162" s="16">
        <f>IF(ISNUMBER(J162), $B172 * K162, "")</f>
        <v>0</v>
      </c>
      <c r="M162" s="29">
        <v>978</v>
      </c>
      <c r="N162" s="14">
        <f>IF(ISNUMBER(M162), (M162 - $B162) / $B162, "")</f>
        <v>-6.0975609756097563E-3</v>
      </c>
      <c r="O162" s="16">
        <f>IF(ISNUMBER(M162), $B172 * N162, "")</f>
        <v>-609.7560975609756</v>
      </c>
      <c r="Q162" s="255"/>
      <c r="R162" s="256"/>
      <c r="S162" s="257"/>
    </row>
    <row r="163" spans="1:19" ht="17.25" thickBot="1">
      <c r="A163" s="162" t="s">
        <v>181</v>
      </c>
      <c r="B163" s="126">
        <v>208</v>
      </c>
      <c r="C163" s="77">
        <v>-7.9646017700000002E-2</v>
      </c>
      <c r="D163" s="15">
        <v>202</v>
      </c>
      <c r="E163" s="32">
        <f t="shared" ref="E163:E166" si="86">IF(ISNUMBER(D163), (D163 - $B163) / $B163, "")</f>
        <v>-2.8846153846153848E-2</v>
      </c>
      <c r="F163" s="18">
        <f>IF(ISNUMBER(D163), $B172 * E163, "")</f>
        <v>-2884.6153846153848</v>
      </c>
      <c r="G163" s="31">
        <v>204</v>
      </c>
      <c r="H163" s="32">
        <f t="shared" ref="H163:H166" si="87">IF(ISNUMBER(G163), (G163 - $B163) / $B163, "")</f>
        <v>-1.9230769230769232E-2</v>
      </c>
      <c r="I163" s="101">
        <f>IF(ISNUMBER(G163), $B172 * H163, "")</f>
        <v>-1923.0769230769231</v>
      </c>
      <c r="J163" s="15">
        <v>205</v>
      </c>
      <c r="K163" s="32">
        <f t="shared" ref="K163:K166" si="88">IF(ISNUMBER(J163), (J163 - $B163) / $B163, "")</f>
        <v>-1.4423076923076924E-2</v>
      </c>
      <c r="L163" s="18">
        <f>IF(ISNUMBER(J163), $B172 * K163, "")</f>
        <v>-1442.3076923076924</v>
      </c>
      <c r="M163" s="31">
        <v>205</v>
      </c>
      <c r="N163" s="32">
        <f t="shared" ref="N163:N166" si="89">IF(ISNUMBER(M163), (M163 - $B163) / $B163, "")</f>
        <v>-1.4423076923076924E-2</v>
      </c>
      <c r="O163" s="18">
        <f>IF(ISNUMBER(M163), $B172 * N163, "")</f>
        <v>-1442.3076923076924</v>
      </c>
      <c r="Q163" s="258"/>
      <c r="R163" s="259"/>
      <c r="S163" s="260"/>
    </row>
    <row r="164" spans="1:19" ht="17.25" thickBot="1">
      <c r="A164" s="162" t="s">
        <v>191</v>
      </c>
      <c r="B164" s="126">
        <v>891</v>
      </c>
      <c r="C164" s="77">
        <v>-8.3333333300000006E-2</v>
      </c>
      <c r="D164" s="15">
        <v>862</v>
      </c>
      <c r="E164" s="32">
        <f t="shared" si="86"/>
        <v>-3.2547699214365879E-2</v>
      </c>
      <c r="F164" s="18">
        <f>IF(ISNUMBER(D164), $B172 * E164, "")</f>
        <v>-3254.769921436588</v>
      </c>
      <c r="G164" s="31">
        <v>869</v>
      </c>
      <c r="H164" s="32">
        <f t="shared" si="87"/>
        <v>-2.4691358024691357E-2</v>
      </c>
      <c r="I164" s="101">
        <f>IF(ISNUMBER(G164), $B172 * H164, "")</f>
        <v>-2469.1358024691358</v>
      </c>
      <c r="J164" s="15">
        <v>870</v>
      </c>
      <c r="K164" s="32">
        <f t="shared" si="88"/>
        <v>-2.3569023569023569E-2</v>
      </c>
      <c r="L164" s="18">
        <f>IF(ISNUMBER(J164), $B172 * K164, "")</f>
        <v>-2356.902356902357</v>
      </c>
      <c r="M164" s="31">
        <v>881</v>
      </c>
      <c r="N164" s="32">
        <f t="shared" si="89"/>
        <v>-1.1223344556677889E-2</v>
      </c>
      <c r="O164" s="18">
        <f>IF(ISNUMBER(M164), $B172 * N164, "")</f>
        <v>-1122.3344556677889</v>
      </c>
      <c r="Q164" s="251"/>
      <c r="R164" s="251"/>
      <c r="S164" s="251"/>
    </row>
    <row r="165" spans="1:19" ht="17.25" thickBot="1">
      <c r="A165" s="162" t="s">
        <v>257</v>
      </c>
      <c r="B165" s="126">
        <v>435</v>
      </c>
      <c r="C165" s="77">
        <v>-8.8050314500000004E-2</v>
      </c>
      <c r="D165" s="15">
        <v>406</v>
      </c>
      <c r="E165" s="32">
        <f t="shared" si="86"/>
        <v>-6.6666666666666666E-2</v>
      </c>
      <c r="F165" s="18">
        <f>IF(ISNUMBER(D165), $B172 * E165, "")</f>
        <v>-6666.666666666667</v>
      </c>
      <c r="G165" s="31">
        <v>411</v>
      </c>
      <c r="H165" s="32">
        <f t="shared" si="87"/>
        <v>-5.5172413793103448E-2</v>
      </c>
      <c r="I165" s="101">
        <f>IF(ISNUMBER(G165), $B172 * H165, "")</f>
        <v>-5517.2413793103451</v>
      </c>
      <c r="J165" s="15">
        <v>416</v>
      </c>
      <c r="K165" s="32">
        <f t="shared" si="88"/>
        <v>-4.3678160919540229E-2</v>
      </c>
      <c r="L165" s="18">
        <f>IF(ISNUMBER(J165), $B172 * K165, "")</f>
        <v>-4367.8160919540232</v>
      </c>
      <c r="M165" s="31">
        <v>414</v>
      </c>
      <c r="N165" s="32">
        <f t="shared" si="89"/>
        <v>-4.8275862068965517E-2</v>
      </c>
      <c r="O165" s="18">
        <f>IF(ISNUMBER(M165), $B172 * N165, "")</f>
        <v>-4827.5862068965516</v>
      </c>
      <c r="Q165" s="261"/>
      <c r="R165" s="261"/>
      <c r="S165" s="261"/>
    </row>
    <row r="166" spans="1:19" ht="17.25" thickBot="1">
      <c r="A166" s="163" t="s">
        <v>275</v>
      </c>
      <c r="B166" s="128">
        <v>736</v>
      </c>
      <c r="C166" s="78">
        <v>-9.4710947099999998E-2</v>
      </c>
      <c r="D166" s="20">
        <v>694</v>
      </c>
      <c r="E166" s="21">
        <f t="shared" si="86"/>
        <v>-5.7065217391304345E-2</v>
      </c>
      <c r="F166" s="22">
        <f>IF(ISNUMBER(D166), $B172 * E166, "")</f>
        <v>-5706.5217391304341</v>
      </c>
      <c r="G166" s="30">
        <v>702</v>
      </c>
      <c r="H166" s="21">
        <f t="shared" si="87"/>
        <v>-4.619565217391304E-2</v>
      </c>
      <c r="I166" s="105">
        <f>IF(ISNUMBER(G166), $B172 * H166, "")</f>
        <v>-4619.565217391304</v>
      </c>
      <c r="J166" s="20">
        <v>701</v>
      </c>
      <c r="K166" s="21">
        <f t="shared" si="88"/>
        <v>-4.755434782608696E-2</v>
      </c>
      <c r="L166" s="22">
        <f>IF(ISNUMBER(J166), $B172 * K166, "")</f>
        <v>-4755.434782608696</v>
      </c>
      <c r="M166" s="30">
        <v>701</v>
      </c>
      <c r="N166" s="21">
        <f t="shared" si="89"/>
        <v>-4.755434782608696E-2</v>
      </c>
      <c r="O166" s="22">
        <f>IF(ISNUMBER(M166), $B172 * N166, "")</f>
        <v>-4755.434782608696</v>
      </c>
      <c r="Q166" s="261"/>
      <c r="R166" s="261"/>
      <c r="S166" s="261"/>
    </row>
    <row r="167" spans="1:19" ht="17.25" thickBot="1">
      <c r="A167" s="162" t="s">
        <v>112</v>
      </c>
      <c r="B167" s="129">
        <v>113</v>
      </c>
      <c r="C167" s="80">
        <v>-9.6000000000000002E-2</v>
      </c>
      <c r="D167" s="106">
        <v>114</v>
      </c>
      <c r="E167" s="107">
        <f>IF(ISNUMBER(D167), (D167 - $B167) / $B167, "")</f>
        <v>8.8495575221238937E-3</v>
      </c>
      <c r="F167" s="108">
        <f>IF(ISNUMBER(D167), $B172 * E167, "")</f>
        <v>884.95575221238937</v>
      </c>
      <c r="G167" s="109">
        <v>115</v>
      </c>
      <c r="H167" s="107">
        <f>IF(ISNUMBER(G167), (G167 - $B167) / $B167, "")</f>
        <v>1.7699115044247787E-2</v>
      </c>
      <c r="I167" s="110">
        <f>IF(ISNUMBER(G167), $B172 * H167, "")</f>
        <v>1769.9115044247787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1769.9115044247787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2654.8672566371679</v>
      </c>
      <c r="Q167" s="251"/>
      <c r="R167" s="251"/>
      <c r="S167" s="251"/>
    </row>
    <row r="168" spans="1:19" ht="17.25" thickBot="1">
      <c r="A168" s="162" t="s">
        <v>88</v>
      </c>
      <c r="B168" s="126">
        <v>346</v>
      </c>
      <c r="C168" s="77">
        <v>-9.6605744100000002E-2</v>
      </c>
      <c r="D168" s="15">
        <v>335</v>
      </c>
      <c r="E168" s="32">
        <f t="shared" ref="E168:E171" si="90">IF(ISNUMBER(D168), (D168 - $B168) / $B168, "")</f>
        <v>-3.1791907514450865E-2</v>
      </c>
      <c r="F168" s="18">
        <f>IF(ISNUMBER(D168), $B172 * E168, "")</f>
        <v>-3179.1907514450863</v>
      </c>
      <c r="G168" s="31">
        <v>346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352</v>
      </c>
      <c r="K168" s="32">
        <f t="shared" ref="K168:K171" si="92">IF(ISNUMBER(J168), (J168 - $B168) / $B168, "")</f>
        <v>1.7341040462427744E-2</v>
      </c>
      <c r="L168" s="18">
        <f>IF(ISNUMBER(J168), $B172 * K168, "")</f>
        <v>1734.1040462427743</v>
      </c>
      <c r="M168" s="31">
        <v>348</v>
      </c>
      <c r="N168" s="32">
        <f t="shared" ref="N168:N171" si="93">IF(ISNUMBER(M168), (M168 - $B168) / $B168, "")</f>
        <v>5.7803468208092483E-3</v>
      </c>
      <c r="O168" s="18">
        <f>IF(ISNUMBER(M168), $B172 * N168, "")</f>
        <v>578.03468208092488</v>
      </c>
      <c r="Q168" s="251"/>
      <c r="R168" s="251"/>
      <c r="S168" s="251"/>
    </row>
    <row r="169" spans="1:19" ht="17.25" thickBot="1">
      <c r="A169" s="162" t="s">
        <v>223</v>
      </c>
      <c r="B169" s="126">
        <v>189</v>
      </c>
      <c r="C169" s="77">
        <v>-0.108490566</v>
      </c>
      <c r="D169" s="15">
        <v>186</v>
      </c>
      <c r="E169" s="32">
        <f t="shared" si="90"/>
        <v>-1.5873015873015872E-2</v>
      </c>
      <c r="F169" s="18">
        <f>IF(ISNUMBER(D169), $B172 * E169, "")</f>
        <v>-1587.3015873015872</v>
      </c>
      <c r="G169" s="31">
        <v>184</v>
      </c>
      <c r="H169" s="32">
        <f t="shared" si="91"/>
        <v>-2.6455026455026454E-2</v>
      </c>
      <c r="I169" s="101">
        <f>IF(ISNUMBER(G169), $B172 * H169, "")</f>
        <v>-2645.5026455026455</v>
      </c>
      <c r="J169" s="15">
        <v>186</v>
      </c>
      <c r="K169" s="32">
        <f t="shared" si="92"/>
        <v>-1.5873015873015872E-2</v>
      </c>
      <c r="L169" s="18">
        <f>IF(ISNUMBER(J169), $B172 * K169, "")</f>
        <v>-1587.3015873015872</v>
      </c>
      <c r="M169" s="31">
        <v>184</v>
      </c>
      <c r="N169" s="32">
        <f t="shared" si="93"/>
        <v>-2.6455026455026454E-2</v>
      </c>
      <c r="O169" s="18">
        <f>IF(ISNUMBER(M169), $B172 * N169, "")</f>
        <v>-2645.5026455026455</v>
      </c>
      <c r="Q169" s="251"/>
      <c r="R169" s="251"/>
      <c r="S169" s="251"/>
    </row>
    <row r="170" spans="1:19">
      <c r="A170" s="162" t="s">
        <v>82</v>
      </c>
      <c r="B170" s="126">
        <v>673</v>
      </c>
      <c r="C170" s="77">
        <v>-0.14485387550000001</v>
      </c>
      <c r="D170" s="15">
        <v>833</v>
      </c>
      <c r="E170" s="32">
        <f t="shared" si="90"/>
        <v>0.23774145616641901</v>
      </c>
      <c r="F170" s="18">
        <f>IF(ISNUMBER(D170), $B172 * E170, "")</f>
        <v>23774.145616641901</v>
      </c>
      <c r="G170" s="31">
        <v>852</v>
      </c>
      <c r="H170" s="32">
        <f t="shared" si="91"/>
        <v>0.26597325408618128</v>
      </c>
      <c r="I170" s="101">
        <f>IF(ISNUMBER(G170), $B172 * H170, "")</f>
        <v>26597.325408618126</v>
      </c>
      <c r="J170" s="15">
        <v>814</v>
      </c>
      <c r="K170" s="32">
        <f t="shared" si="92"/>
        <v>0.20950965824665677</v>
      </c>
      <c r="L170" s="18">
        <f>IF(ISNUMBER(J170), $B172 * K170, "")</f>
        <v>20950.965824665676</v>
      </c>
      <c r="M170" s="31">
        <v>739</v>
      </c>
      <c r="N170" s="32">
        <f t="shared" si="93"/>
        <v>9.8068350668647844E-2</v>
      </c>
      <c r="O170" s="18">
        <f>IF(ISNUMBER(M170), $B172 * N170, "")</f>
        <v>9806.8350668647836</v>
      </c>
      <c r="Q170" s="240"/>
      <c r="R170" s="241"/>
      <c r="S170" s="242"/>
    </row>
    <row r="171" spans="1:19" ht="17.25" thickBot="1">
      <c r="A171" s="130" t="s">
        <v>231</v>
      </c>
      <c r="B171" s="131">
        <v>192</v>
      </c>
      <c r="C171" s="79">
        <v>-0.26996197719999998</v>
      </c>
      <c r="D171" s="24">
        <v>322</v>
      </c>
      <c r="E171" s="25">
        <f t="shared" si="90"/>
        <v>0.67708333333333337</v>
      </c>
      <c r="F171" s="104">
        <f>IF(ISNUMBER(D171), $B172 * E171, "")</f>
        <v>67708.333333333343</v>
      </c>
      <c r="G171" s="102">
        <v>305</v>
      </c>
      <c r="H171" s="25">
        <f t="shared" si="91"/>
        <v>0.58854166666666663</v>
      </c>
      <c r="I171" s="103">
        <f>IF(ISNUMBER(G171), $B172 * H171, "")</f>
        <v>58854.166666666664</v>
      </c>
      <c r="J171" s="24">
        <v>282</v>
      </c>
      <c r="K171" s="25">
        <f t="shared" si="92"/>
        <v>0.46875</v>
      </c>
      <c r="L171" s="104">
        <f>IF(ISNUMBER(J171), $B172 * K171, "")</f>
        <v>46875</v>
      </c>
      <c r="M171" s="102">
        <v>257</v>
      </c>
      <c r="N171" s="25">
        <f t="shared" si="93"/>
        <v>0.33854166666666669</v>
      </c>
      <c r="O171" s="104">
        <f>IF(ISNUMBER(M171), $B172 * N171, "")</f>
        <v>33854.166666666672</v>
      </c>
      <c r="Q171" s="243"/>
      <c r="R171" s="244"/>
      <c r="S171" s="245"/>
    </row>
    <row r="172" spans="1:19" ht="17.25" thickBot="1">
      <c r="A172" s="132" t="s">
        <v>295</v>
      </c>
      <c r="B172" s="304">
        <f>$B$37</f>
        <v>100000</v>
      </c>
      <c r="C172" s="305"/>
      <c r="D172" s="26" t="s">
        <v>296</v>
      </c>
      <c r="E172" s="27">
        <f>IF(COUNT(E152:E171), SUM(E152:E171) / COUNT(E152:E171), 0)</f>
        <v>2.235482500284975E-2</v>
      </c>
      <c r="F172" s="28">
        <f>SUM(F152:F171)</f>
        <v>44709.650005699506</v>
      </c>
      <c r="G172" s="26" t="s">
        <v>296</v>
      </c>
      <c r="H172" s="27">
        <f>IF(COUNT(H152:H171), SUM(H152:H171) / COUNT(H152:H171), 0)</f>
        <v>2.4836265588071733E-2</v>
      </c>
      <c r="I172" s="28">
        <f>SUM(I152:I171)</f>
        <v>49672.531176143464</v>
      </c>
      <c r="J172" s="26" t="s">
        <v>296</v>
      </c>
      <c r="K172" s="27">
        <f>IF(COUNT(K152:K171), SUM(K152:K171) / COUNT(K152:K171), 0)</f>
        <v>2.4176006665736466E-2</v>
      </c>
      <c r="L172" s="28">
        <f>SUM(L152:L171)</f>
        <v>48352.013331472932</v>
      </c>
      <c r="M172" s="26" t="s">
        <v>296</v>
      </c>
      <c r="N172" s="27">
        <f>IF(COUNT(N152:N171), SUM(N152:N171) / COUNT(N152:N171), 0)</f>
        <v>1.0565754052128335E-2</v>
      </c>
      <c r="O172" s="28">
        <f>SUM(O152:O171)</f>
        <v>21131.508104256674</v>
      </c>
      <c r="Q172" s="246"/>
      <c r="R172" s="247"/>
      <c r="S172" s="248"/>
    </row>
    <row r="174" spans="1:19" ht="17.25" thickBot="1"/>
    <row r="175" spans="1:19" ht="17.25" thickBot="1">
      <c r="A175" s="262" t="s">
        <v>280</v>
      </c>
      <c r="B175" s="263"/>
      <c r="C175" s="263"/>
      <c r="D175" s="263"/>
      <c r="E175" s="263"/>
      <c r="F175" s="263"/>
      <c r="G175" s="263"/>
      <c r="H175" s="263"/>
      <c r="I175" s="263"/>
      <c r="J175" s="263"/>
      <c r="K175" s="263"/>
      <c r="L175" s="263"/>
      <c r="M175" s="263"/>
      <c r="N175" s="263"/>
      <c r="O175" s="264"/>
      <c r="Q175" s="261"/>
      <c r="R175" s="261"/>
      <c r="S175" s="261"/>
    </row>
    <row r="176" spans="1:19" ht="17.25" thickBot="1">
      <c r="A176" s="232" t="s">
        <v>292</v>
      </c>
      <c r="B176" s="262" t="s">
        <v>49</v>
      </c>
      <c r="C176" s="264"/>
      <c r="D176" s="262" t="s">
        <v>58</v>
      </c>
      <c r="E176" s="263"/>
      <c r="F176" s="264"/>
      <c r="G176" s="265">
        <f>_xlfn.IFNA(VLOOKUP(B176, 현재가테이블!$B$2:$D$200, 2, FALSE), "-")</f>
        <v>40538000</v>
      </c>
      <c r="H176" s="266"/>
      <c r="I176" s="267"/>
      <c r="J176" s="262" t="s">
        <v>59</v>
      </c>
      <c r="K176" s="263"/>
      <c r="L176" s="264"/>
      <c r="M176" s="268">
        <f>_xlfn.IFNA(VLOOKUP(B176, 현재가테이블!$B$2:$D$200, 3, FALSE), "-")</f>
        <v>-3.68275993E-2</v>
      </c>
      <c r="N176" s="269"/>
      <c r="O176" s="270"/>
      <c r="Q176" s="261"/>
      <c r="R176" s="261"/>
      <c r="S176" s="261"/>
    </row>
    <row r="177" spans="1:19" ht="17.25" thickBot="1">
      <c r="A177" s="306" t="s">
        <v>55</v>
      </c>
      <c r="B177" s="302" t="str">
        <f>TEXT($G$1, "[$-ko-KR]yyyy-mm-dd(ddd) ") &amp; "오전 00:00"</f>
        <v>2021-06-19(토) 오전 00:00</v>
      </c>
      <c r="C177" s="303"/>
      <c r="D177" s="275" t="str">
        <f>TEXT($G$1, "[$-ko-KR]yyyy-mm-dd(ddd) ") &amp; "오후 14:00"</f>
        <v>2021-06-19(토) 오후 14:00</v>
      </c>
      <c r="E177" s="276"/>
      <c r="F177" s="277"/>
      <c r="G177" s="275" t="str">
        <f>TEXT($G$1, "[$-ko-KR]yyyy-mm-dd(ddd) ") &amp; "오후 19:00"</f>
        <v>2021-06-19(토) 오후 19:00</v>
      </c>
      <c r="H177" s="276"/>
      <c r="I177" s="277"/>
      <c r="J177" s="275" t="str">
        <f>TEXT($G$1, "[$-ko-KR]yyyy-mm-dd(ddd) ") &amp; "오후 21:00"</f>
        <v>2021-06-19(토) 오후 21:00</v>
      </c>
      <c r="K177" s="276"/>
      <c r="L177" s="277"/>
      <c r="M177" s="275" t="str">
        <f>TEXT($G$1+1, "[$-ko-KR]yyyy-mm-dd(ddd) ") &amp; "오전 00:00"</f>
        <v>2021-06-20(일) 오전 00:00</v>
      </c>
      <c r="N177" s="276"/>
      <c r="O177" s="277"/>
      <c r="Q177" s="261"/>
      <c r="R177" s="261"/>
      <c r="S177" s="261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3" t="s">
        <v>58</v>
      </c>
      <c r="H178" s="234" t="s">
        <v>293</v>
      </c>
      <c r="I178" s="23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1"/>
      <c r="R178" s="251"/>
      <c r="S178" s="251"/>
    </row>
    <row r="179" spans="1:19" ht="17.25" thickBot="1">
      <c r="A179" s="161" t="s">
        <v>212</v>
      </c>
      <c r="B179" s="124">
        <v>8.52</v>
      </c>
      <c r="C179" s="76">
        <v>-9.3617021300000006E-2</v>
      </c>
      <c r="D179" s="13">
        <v>8.35</v>
      </c>
      <c r="E179" s="14">
        <f>IF(ISNUMBER(D179), (D179 - $B179) / $B179, "")</f>
        <v>-1.9953051643192481E-2</v>
      </c>
      <c r="F179" s="16">
        <f>IF(ISNUMBER(D179), $B199 * E179, "")</f>
        <v>-1995.3051643192482</v>
      </c>
      <c r="G179" s="29">
        <v>8.35</v>
      </c>
      <c r="H179" s="14">
        <f>IF(ISNUMBER(G179), (G179 - $B179) / $B179, "")</f>
        <v>-1.9953051643192481E-2</v>
      </c>
      <c r="I179" s="100">
        <f>IF(ISNUMBER(G179), $B199 * H179, "")</f>
        <v>-1995.3051643192482</v>
      </c>
      <c r="J179" s="13">
        <v>8.39</v>
      </c>
      <c r="K179" s="14">
        <f>IF(ISNUMBER(J179), (J179 - $B179) / $B179, "")</f>
        <v>-1.5258215962441198E-2</v>
      </c>
      <c r="L179" s="16">
        <f>IF(ISNUMBER(J179), $B199 * K179, "")</f>
        <v>-1525.8215962441197</v>
      </c>
      <c r="M179" s="29">
        <v>8.35</v>
      </c>
      <c r="N179" s="14">
        <f>IF(ISNUMBER(M179), (M179 - $B179) / $B179, "")</f>
        <v>-1.9953051643192481E-2</v>
      </c>
      <c r="O179" s="16">
        <f>IF(ISNUMBER(M179), $B199 * N179, "")</f>
        <v>-1995.3051643192482</v>
      </c>
      <c r="Q179" s="261"/>
      <c r="R179" s="261"/>
      <c r="S179" s="261"/>
    </row>
    <row r="180" spans="1:19" ht="17.25" thickBot="1">
      <c r="A180" s="162" t="s">
        <v>236</v>
      </c>
      <c r="B180" s="126">
        <v>76.900000000000006</v>
      </c>
      <c r="C180" s="77">
        <v>-9.4228504099999999E-2</v>
      </c>
      <c r="D180" s="15">
        <v>72.3</v>
      </c>
      <c r="E180" s="32">
        <f t="shared" ref="E180:E183" si="94">IF(ISNUMBER(D180), (D180 - $B180) / $B180, "")</f>
        <v>-5.9817945383615193E-2</v>
      </c>
      <c r="F180" s="18">
        <f>IF(ISNUMBER(D180), $B199 * E180, "")</f>
        <v>-5981.7945383615197</v>
      </c>
      <c r="G180" s="31">
        <v>74</v>
      </c>
      <c r="H180" s="32">
        <f t="shared" ref="H180:H183" si="95">IF(ISNUMBER(G180), (G180 - $B180) / $B180, "")</f>
        <v>-3.771131339401828E-2</v>
      </c>
      <c r="I180" s="101">
        <f>IF(ISNUMBER(G180), $B199 * H180, "")</f>
        <v>-3771.131339401828</v>
      </c>
      <c r="J180" s="15">
        <v>74.400000000000006</v>
      </c>
      <c r="K180" s="32">
        <f t="shared" ref="K180:K183" si="96">IF(ISNUMBER(J180), (J180 - $B180) / $B180, "")</f>
        <v>-3.2509752925877759E-2</v>
      </c>
      <c r="L180" s="18">
        <f>IF(ISNUMBER(J180), $B199 * K180, "")</f>
        <v>-3250.975292587776</v>
      </c>
      <c r="M180" s="31">
        <v>74</v>
      </c>
      <c r="N180" s="32">
        <f t="shared" ref="N180:N183" si="97">IF(ISNUMBER(M180), (M180 - $B180) / $B180, "")</f>
        <v>-3.771131339401828E-2</v>
      </c>
      <c r="O180" s="18">
        <f>IF(ISNUMBER(M180), $B199 * N180, "")</f>
        <v>-3771.131339401828</v>
      </c>
      <c r="Q180" s="261"/>
      <c r="R180" s="261"/>
      <c r="S180" s="261"/>
    </row>
    <row r="181" spans="1:19" ht="17.25" thickBot="1">
      <c r="A181" s="162" t="s">
        <v>275</v>
      </c>
      <c r="B181" s="126">
        <v>736</v>
      </c>
      <c r="C181" s="77">
        <v>-9.4710947099999998E-2</v>
      </c>
      <c r="D181" s="15">
        <v>694</v>
      </c>
      <c r="E181" s="32">
        <f t="shared" si="94"/>
        <v>-5.7065217391304345E-2</v>
      </c>
      <c r="F181" s="18">
        <f>IF(ISNUMBER(D181), $B199 * E181, "")</f>
        <v>-5706.5217391304341</v>
      </c>
      <c r="G181" s="31">
        <v>702</v>
      </c>
      <c r="H181" s="32">
        <f t="shared" si="95"/>
        <v>-4.619565217391304E-2</v>
      </c>
      <c r="I181" s="101">
        <f>IF(ISNUMBER(G181), $B199 * H181, "")</f>
        <v>-4619.565217391304</v>
      </c>
      <c r="J181" s="15">
        <v>701</v>
      </c>
      <c r="K181" s="32">
        <f t="shared" si="96"/>
        <v>-4.755434782608696E-2</v>
      </c>
      <c r="L181" s="18">
        <f>IF(ISNUMBER(J181), $B199 * K181, "")</f>
        <v>-4755.434782608696</v>
      </c>
      <c r="M181" s="31">
        <v>701</v>
      </c>
      <c r="N181" s="32">
        <f t="shared" si="97"/>
        <v>-4.755434782608696E-2</v>
      </c>
      <c r="O181" s="18">
        <f>IF(ISNUMBER(M181), $B199 * N181, "")</f>
        <v>-4755.434782608696</v>
      </c>
      <c r="Q181" s="251"/>
      <c r="R181" s="251"/>
      <c r="S181" s="251"/>
    </row>
    <row r="182" spans="1:19" ht="17.25" thickBot="1">
      <c r="A182" s="162" t="s">
        <v>197</v>
      </c>
      <c r="B182" s="126">
        <v>12.4</v>
      </c>
      <c r="C182" s="77">
        <v>-9.4890510900000002E-2</v>
      </c>
      <c r="D182" s="15">
        <v>12.8</v>
      </c>
      <c r="E182" s="32">
        <f t="shared" si="94"/>
        <v>3.2258064516129059E-2</v>
      </c>
      <c r="F182" s="18">
        <f>IF(ISNUMBER(D182), $B199 * E182, "")</f>
        <v>3225.8064516129061</v>
      </c>
      <c r="G182" s="31">
        <v>12.7</v>
      </c>
      <c r="H182" s="32">
        <f t="shared" si="95"/>
        <v>2.4193548387096687E-2</v>
      </c>
      <c r="I182" s="101">
        <f>IF(ISNUMBER(G182), $B199 * H182, "")</f>
        <v>2419.3548387096685</v>
      </c>
      <c r="J182" s="15">
        <v>12.6</v>
      </c>
      <c r="K182" s="32">
        <f t="shared" si="96"/>
        <v>1.6129032258064457E-2</v>
      </c>
      <c r="L182" s="18">
        <f>IF(ISNUMBER(J182), $B199 * K182, "")</f>
        <v>1612.9032258064456</v>
      </c>
      <c r="M182" s="31">
        <v>12.5</v>
      </c>
      <c r="N182" s="32">
        <f t="shared" si="97"/>
        <v>8.0645161290322284E-3</v>
      </c>
      <c r="O182" s="18">
        <f>IF(ISNUMBER(M182), $B199 * N182, "")</f>
        <v>806.45161290322278</v>
      </c>
      <c r="Q182" s="251"/>
      <c r="R182" s="251"/>
      <c r="S182" s="251"/>
    </row>
    <row r="183" spans="1:19" ht="17.25" thickBot="1">
      <c r="A183" s="163" t="s">
        <v>112</v>
      </c>
      <c r="B183" s="128">
        <v>113</v>
      </c>
      <c r="C183" s="78">
        <v>-9.6000000000000002E-2</v>
      </c>
      <c r="D183" s="20">
        <v>114</v>
      </c>
      <c r="E183" s="21">
        <f t="shared" si="94"/>
        <v>8.8495575221238937E-3</v>
      </c>
      <c r="F183" s="22">
        <f>IF(ISNUMBER(D183), $B199 * E183, "")</f>
        <v>884.95575221238937</v>
      </c>
      <c r="G183" s="30">
        <v>115</v>
      </c>
      <c r="H183" s="21">
        <f t="shared" si="95"/>
        <v>1.7699115044247787E-2</v>
      </c>
      <c r="I183" s="105">
        <f>IF(ISNUMBER(G183), $B199 * H183, "")</f>
        <v>1769.9115044247787</v>
      </c>
      <c r="J183" s="20">
        <v>115</v>
      </c>
      <c r="K183" s="21">
        <f t="shared" si="96"/>
        <v>1.7699115044247787E-2</v>
      </c>
      <c r="L183" s="22">
        <f>IF(ISNUMBER(J183), $B199 * K183, "")</f>
        <v>1769.9115044247787</v>
      </c>
      <c r="M183" s="30">
        <v>116</v>
      </c>
      <c r="N183" s="21">
        <f t="shared" si="97"/>
        <v>2.6548672566371681E-2</v>
      </c>
      <c r="O183" s="22">
        <f>IF(ISNUMBER(M183), $B199 * N183, "")</f>
        <v>2654.8672566371679</v>
      </c>
      <c r="Q183" s="251"/>
      <c r="R183" s="251"/>
      <c r="S183" s="251"/>
    </row>
    <row r="184" spans="1:19" ht="17.25" thickBot="1">
      <c r="A184" s="162" t="s">
        <v>88</v>
      </c>
      <c r="B184" s="129">
        <v>346</v>
      </c>
      <c r="C184" s="80">
        <v>-9.6605744100000002E-2</v>
      </c>
      <c r="D184" s="106">
        <v>335</v>
      </c>
      <c r="E184" s="107">
        <f>IF(ISNUMBER(D184), (D184 - $B184) / $B184, "")</f>
        <v>-3.1791907514450865E-2</v>
      </c>
      <c r="F184" s="108">
        <f>IF(ISNUMBER(D184), $B199 * E184, "")</f>
        <v>-3179.1907514450863</v>
      </c>
      <c r="G184" s="109">
        <v>346</v>
      </c>
      <c r="H184" s="107">
        <f>IF(ISNUMBER(G184), (G184 - $B184) / $B184, "")</f>
        <v>0</v>
      </c>
      <c r="I184" s="110">
        <f>IF(ISNUMBER(G184), $B199 * H184, "")</f>
        <v>0</v>
      </c>
      <c r="J184" s="106">
        <v>352</v>
      </c>
      <c r="K184" s="107">
        <f>IF(ISNUMBER(J184), (J184 - $B184) / $B184, "")</f>
        <v>1.7341040462427744E-2</v>
      </c>
      <c r="L184" s="108">
        <f>IF(ISNUMBER(J184), $B199 * K184, "")</f>
        <v>1734.1040462427743</v>
      </c>
      <c r="M184" s="109">
        <v>348</v>
      </c>
      <c r="N184" s="107">
        <f>IF(ISNUMBER(M184), (M184 - $B184) / $B184, "")</f>
        <v>5.7803468208092483E-3</v>
      </c>
      <c r="O184" s="108">
        <f>IF(ISNUMBER(M184), $B199 * N184, "")</f>
        <v>578.03468208092488</v>
      </c>
      <c r="Q184" s="251"/>
      <c r="R184" s="251"/>
      <c r="S184" s="251"/>
    </row>
    <row r="185" spans="1:19" ht="17.25" thickBot="1">
      <c r="A185" s="162" t="s">
        <v>225</v>
      </c>
      <c r="B185" s="126">
        <v>7.37</v>
      </c>
      <c r="C185" s="77">
        <v>-9.6813725500000003E-2</v>
      </c>
      <c r="D185" s="15">
        <v>7.18</v>
      </c>
      <c r="E185" s="32">
        <f t="shared" ref="E185:E188" si="98">IF(ISNUMBER(D185), (D185 - $B185) / $B185, "")</f>
        <v>-2.578018995929449E-2</v>
      </c>
      <c r="F185" s="18">
        <f>IF(ISNUMBER(D185), $B199 * E185, "")</f>
        <v>-2578.0189959294489</v>
      </c>
      <c r="G185" s="31">
        <v>7.14</v>
      </c>
      <c r="H185" s="32">
        <f t="shared" ref="H185:H188" si="99">IF(ISNUMBER(G185), (G185 - $B185) / $B185, "")</f>
        <v>-3.1207598371777532E-2</v>
      </c>
      <c r="I185" s="101">
        <f>IF(ISNUMBER(G185), $B199 * H185, "")</f>
        <v>-3120.7598371777531</v>
      </c>
      <c r="J185" s="15">
        <v>7.2</v>
      </c>
      <c r="K185" s="32">
        <f t="shared" ref="K185:K188" si="100">IF(ISNUMBER(J185), (J185 - $B185) / $B185, "")</f>
        <v>-2.3066485753052906E-2</v>
      </c>
      <c r="L185" s="18">
        <f>IF(ISNUMBER(J185), $B199 * K185, "")</f>
        <v>-2306.6485753052907</v>
      </c>
      <c r="M185" s="31">
        <v>7.2</v>
      </c>
      <c r="N185" s="32">
        <f t="shared" ref="N185:N188" si="101">IF(ISNUMBER(M185), (M185 - $B185) / $B185, "")</f>
        <v>-2.3066485753052906E-2</v>
      </c>
      <c r="O185" s="18">
        <f>IF(ISNUMBER(M185), $B199 * N185, "")</f>
        <v>-2306.6485753052907</v>
      </c>
      <c r="Q185" s="251"/>
      <c r="R185" s="251"/>
      <c r="S185" s="251"/>
    </row>
    <row r="186" spans="1:19" ht="17.25" thickBot="1">
      <c r="A186" s="162" t="s">
        <v>229</v>
      </c>
      <c r="B186" s="126">
        <v>87.4</v>
      </c>
      <c r="C186" s="77">
        <v>-9.9897013399999998E-2</v>
      </c>
      <c r="D186" s="15">
        <v>81.400000000000006</v>
      </c>
      <c r="E186" s="32">
        <f t="shared" si="98"/>
        <v>-6.8649885583524028E-2</v>
      </c>
      <c r="F186" s="18">
        <f>IF(ISNUMBER(D186), $B199 * E186, "")</f>
        <v>-6864.9885583524028</v>
      </c>
      <c r="G186" s="31">
        <v>83.7</v>
      </c>
      <c r="H186" s="32">
        <f t="shared" si="99"/>
        <v>-4.2334096109839847E-2</v>
      </c>
      <c r="I186" s="101">
        <f>IF(ISNUMBER(G186), $B199 * H186, "")</f>
        <v>-4233.4096109839847</v>
      </c>
      <c r="J186" s="15">
        <v>84.8</v>
      </c>
      <c r="K186" s="32">
        <f t="shared" si="100"/>
        <v>-2.9748283752860507E-2</v>
      </c>
      <c r="L186" s="18">
        <f>IF(ISNUMBER(J186), $B199 * K186, "")</f>
        <v>-2974.8283752860507</v>
      </c>
      <c r="M186" s="31">
        <v>84.5</v>
      </c>
      <c r="N186" s="32">
        <f t="shared" si="101"/>
        <v>-3.3180778032036673E-2</v>
      </c>
      <c r="O186" s="18">
        <f>IF(ISNUMBER(M186), $B199 * N186, "")</f>
        <v>-3318.0778032036674</v>
      </c>
      <c r="Q186" s="251"/>
      <c r="R186" s="251"/>
      <c r="S186" s="251"/>
    </row>
    <row r="187" spans="1:19" ht="17.25" thickBot="1">
      <c r="A187" s="162" t="s">
        <v>195</v>
      </c>
      <c r="B187" s="126">
        <v>8.1999999999999993</v>
      </c>
      <c r="C187" s="77">
        <v>-0.1018619934</v>
      </c>
      <c r="D187" s="15">
        <v>7.82</v>
      </c>
      <c r="E187" s="32">
        <f t="shared" si="98"/>
        <v>-4.6341463414634028E-2</v>
      </c>
      <c r="F187" s="18">
        <f>IF(ISNUMBER(D187), $B199 * E187, "")</f>
        <v>-4634.1463414634027</v>
      </c>
      <c r="G187" s="31">
        <v>7.9</v>
      </c>
      <c r="H187" s="32">
        <f t="shared" si="99"/>
        <v>-3.6585365853658409E-2</v>
      </c>
      <c r="I187" s="101">
        <f>IF(ISNUMBER(G187), $B199 * H187, "")</f>
        <v>-3658.5365853658409</v>
      </c>
      <c r="J187" s="15">
        <v>7.99</v>
      </c>
      <c r="K187" s="32">
        <f t="shared" si="100"/>
        <v>-2.5609756097560867E-2</v>
      </c>
      <c r="L187" s="18">
        <f>IF(ISNUMBER(J187), $B199 * K187, "")</f>
        <v>-2560.9756097560867</v>
      </c>
      <c r="M187" s="31">
        <v>8.01</v>
      </c>
      <c r="N187" s="32">
        <f t="shared" si="101"/>
        <v>-2.3170731707317014E-2</v>
      </c>
      <c r="O187" s="18">
        <f>IF(ISNUMBER(M187), $B199 * N187, "")</f>
        <v>-2317.0731707317013</v>
      </c>
      <c r="Q187" s="33"/>
      <c r="R187" s="33"/>
    </row>
    <row r="188" spans="1:19" ht="17.25" thickBot="1">
      <c r="A188" s="130" t="s">
        <v>255</v>
      </c>
      <c r="B188" s="131">
        <v>49.8</v>
      </c>
      <c r="C188" s="79">
        <v>-0.1059245961</v>
      </c>
      <c r="D188" s="24">
        <v>46.6</v>
      </c>
      <c r="E188" s="25">
        <f t="shared" si="98"/>
        <v>-6.4257028112449724E-2</v>
      </c>
      <c r="F188" s="104">
        <f>IF(ISNUMBER(D188), $B199 * E188, "")</f>
        <v>-6425.7028112449725</v>
      </c>
      <c r="G188" s="102">
        <v>47</v>
      </c>
      <c r="H188" s="25">
        <f t="shared" si="99"/>
        <v>-5.6224899598393517E-2</v>
      </c>
      <c r="I188" s="103">
        <f>IF(ISNUMBER(G188), $B199 * H188, "")</f>
        <v>-5622.4899598393513</v>
      </c>
      <c r="J188" s="24">
        <v>47.4</v>
      </c>
      <c r="K188" s="25">
        <f t="shared" si="100"/>
        <v>-4.8192771084337324E-2</v>
      </c>
      <c r="L188" s="104">
        <f>IF(ISNUMBER(J188), $B199 * K188, "")</f>
        <v>-4819.2771084337328</v>
      </c>
      <c r="M188" s="102">
        <v>47.3</v>
      </c>
      <c r="N188" s="25">
        <f t="shared" si="101"/>
        <v>-5.0200803212851405E-2</v>
      </c>
      <c r="O188" s="104">
        <f>IF(ISNUMBER(M188), $B199 * N188, "")</f>
        <v>-5020.0803212851406</v>
      </c>
      <c r="Q188" s="252"/>
      <c r="R188" s="253"/>
      <c r="S188" s="254"/>
    </row>
    <row r="189" spans="1:19">
      <c r="A189" s="161" t="s">
        <v>223</v>
      </c>
      <c r="B189" s="124">
        <v>189</v>
      </c>
      <c r="C189" s="76">
        <v>-0.108490566</v>
      </c>
      <c r="D189" s="13">
        <v>186</v>
      </c>
      <c r="E189" s="14">
        <f>IF(ISNUMBER(D189), (D189 - $B189) / $B189, "")</f>
        <v>-1.5873015873015872E-2</v>
      </c>
      <c r="F189" s="16">
        <f>IF(ISNUMBER(D189), $B199 * E189, "")</f>
        <v>-1587.3015873015872</v>
      </c>
      <c r="G189" s="29">
        <v>184</v>
      </c>
      <c r="H189" s="14">
        <f>IF(ISNUMBER(G189), (G189 - $B189) / $B189, "")</f>
        <v>-2.6455026455026454E-2</v>
      </c>
      <c r="I189" s="100">
        <f>IF(ISNUMBER(G189), $B199 * H189, "")</f>
        <v>-2645.5026455026455</v>
      </c>
      <c r="J189" s="13">
        <v>186</v>
      </c>
      <c r="K189" s="14">
        <f>IF(ISNUMBER(J189), (J189 - $B189) / $B189, "")</f>
        <v>-1.5873015873015872E-2</v>
      </c>
      <c r="L189" s="16">
        <f>IF(ISNUMBER(J189), $B199 * K189, "")</f>
        <v>-1587.3015873015872</v>
      </c>
      <c r="M189" s="29">
        <v>184</v>
      </c>
      <c r="N189" s="14">
        <f>IF(ISNUMBER(M189), (M189 - $B189) / $B189, "")</f>
        <v>-2.6455026455026454E-2</v>
      </c>
      <c r="O189" s="16">
        <f>IF(ISNUMBER(M189), $B199 * N189, "")</f>
        <v>-2645.5026455026455</v>
      </c>
      <c r="Q189" s="255"/>
      <c r="R189" s="256"/>
      <c r="S189" s="257"/>
    </row>
    <row r="190" spans="1:19" ht="17.25" thickBot="1">
      <c r="A190" s="162" t="s">
        <v>82</v>
      </c>
      <c r="B190" s="126">
        <v>673</v>
      </c>
      <c r="C190" s="77">
        <v>-0.14485387550000001</v>
      </c>
      <c r="D190" s="15">
        <v>833</v>
      </c>
      <c r="E190" s="32">
        <f t="shared" ref="E190:E193" si="102">IF(ISNUMBER(D190), (D190 - $B190) / $B190, "")</f>
        <v>0.23774145616641901</v>
      </c>
      <c r="F190" s="18">
        <f>IF(ISNUMBER(D190), $B199 * E190, "")</f>
        <v>23774.145616641901</v>
      </c>
      <c r="G190" s="31">
        <v>852</v>
      </c>
      <c r="H190" s="32">
        <f t="shared" ref="H190:H193" si="103">IF(ISNUMBER(G190), (G190 - $B190) / $B190, "")</f>
        <v>0.26597325408618128</v>
      </c>
      <c r="I190" s="101">
        <f>IF(ISNUMBER(G190), $B199 * H190, "")</f>
        <v>26597.325408618126</v>
      </c>
      <c r="J190" s="15">
        <v>814</v>
      </c>
      <c r="K190" s="32">
        <f t="shared" ref="K190:K193" si="104">IF(ISNUMBER(J190), (J190 - $B190) / $B190, "")</f>
        <v>0.20950965824665677</v>
      </c>
      <c r="L190" s="18">
        <f>IF(ISNUMBER(J190), $B199 * K190, "")</f>
        <v>20950.965824665676</v>
      </c>
      <c r="M190" s="31">
        <v>739</v>
      </c>
      <c r="N190" s="32">
        <f t="shared" ref="N190:N193" si="105">IF(ISNUMBER(M190), (M190 - $B190) / $B190, "")</f>
        <v>9.8068350668647844E-2</v>
      </c>
      <c r="O190" s="18">
        <f>IF(ISNUMBER(M190), $B199 * N190, "")</f>
        <v>9806.8350668647836</v>
      </c>
      <c r="Q190" s="258"/>
      <c r="R190" s="259"/>
      <c r="S190" s="260"/>
    </row>
    <row r="191" spans="1:19" ht="17.25" thickBot="1">
      <c r="A191" s="162" t="s">
        <v>263</v>
      </c>
      <c r="B191" s="126">
        <v>20.8</v>
      </c>
      <c r="C191" s="77">
        <v>-0.14754098360000001</v>
      </c>
      <c r="D191" s="15">
        <v>23.8</v>
      </c>
      <c r="E191" s="32">
        <f t="shared" si="102"/>
        <v>0.14423076923076922</v>
      </c>
      <c r="F191" s="18">
        <f>IF(ISNUMBER(D191), $B199 * E191, "")</f>
        <v>14423.076923076922</v>
      </c>
      <c r="G191" s="31">
        <v>23.2</v>
      </c>
      <c r="H191" s="32">
        <f t="shared" si="103"/>
        <v>0.11538461538461531</v>
      </c>
      <c r="I191" s="101">
        <f>IF(ISNUMBER(G191), $B199 * H191, "")</f>
        <v>11538.46153846153</v>
      </c>
      <c r="J191" s="15">
        <v>22.6</v>
      </c>
      <c r="K191" s="32">
        <f t="shared" si="104"/>
        <v>8.6538461538461564E-2</v>
      </c>
      <c r="L191" s="18">
        <f>IF(ISNUMBER(J191), $B199 * K191, "")</f>
        <v>8653.8461538461561</v>
      </c>
      <c r="M191" s="31">
        <v>21.8</v>
      </c>
      <c r="N191" s="32">
        <f t="shared" si="105"/>
        <v>4.8076923076923073E-2</v>
      </c>
      <c r="O191" s="18">
        <f>IF(ISNUMBER(M191), $B199 * N191, "")</f>
        <v>4807.6923076923076</v>
      </c>
      <c r="Q191" s="251"/>
      <c r="R191" s="251"/>
      <c r="S191" s="251"/>
    </row>
    <row r="192" spans="1:19" ht="17.25" thickBot="1">
      <c r="A192" s="162" t="s">
        <v>244</v>
      </c>
      <c r="B192" s="126">
        <v>1045</v>
      </c>
      <c r="C192" s="77">
        <v>-0.17063492059999999</v>
      </c>
      <c r="D192" s="15">
        <v>1115</v>
      </c>
      <c r="E192" s="32">
        <f t="shared" si="102"/>
        <v>6.6985645933014357E-2</v>
      </c>
      <c r="F192" s="18">
        <f>IF(ISNUMBER(D192), $B199 * E192, "")</f>
        <v>6698.5645933014357</v>
      </c>
      <c r="G192" s="31">
        <v>1125</v>
      </c>
      <c r="H192" s="32">
        <f t="shared" si="103"/>
        <v>7.6555023923444973E-2</v>
      </c>
      <c r="I192" s="101">
        <f>IF(ISNUMBER(G192), $B199 * H192, "")</f>
        <v>7655.5023923444969</v>
      </c>
      <c r="J192" s="15">
        <v>1105</v>
      </c>
      <c r="K192" s="32">
        <f t="shared" si="104"/>
        <v>5.7416267942583733E-2</v>
      </c>
      <c r="L192" s="18">
        <f>IF(ISNUMBER(J192), $B199 * K192, "")</f>
        <v>5741.6267942583736</v>
      </c>
      <c r="M192" s="31">
        <v>1065</v>
      </c>
      <c r="N192" s="32">
        <f t="shared" si="105"/>
        <v>1.9138755980861243E-2</v>
      </c>
      <c r="O192" s="18">
        <f>IF(ISNUMBER(M192), $B199 * N192, "")</f>
        <v>1913.8755980861242</v>
      </c>
      <c r="Q192" s="261"/>
      <c r="R192" s="261"/>
      <c r="S192" s="261"/>
    </row>
    <row r="193" spans="1:19" ht="17.25" thickBot="1">
      <c r="A193" s="163" t="s">
        <v>122</v>
      </c>
      <c r="B193" s="128">
        <v>13.6</v>
      </c>
      <c r="C193" s="78">
        <v>-0.26086956519999999</v>
      </c>
      <c r="D193" s="20">
        <v>15.3</v>
      </c>
      <c r="E193" s="21">
        <f t="shared" si="102"/>
        <v>0.12500000000000008</v>
      </c>
      <c r="F193" s="22">
        <f>IF(ISNUMBER(D193), $B199 * E193, "")</f>
        <v>12500.000000000009</v>
      </c>
      <c r="G193" s="30">
        <v>15.2</v>
      </c>
      <c r="H193" s="21">
        <f t="shared" si="103"/>
        <v>0.11764705882352938</v>
      </c>
      <c r="I193" s="105">
        <f>IF(ISNUMBER(G193), $B199 * H193, "")</f>
        <v>11764.705882352939</v>
      </c>
      <c r="J193" s="20">
        <v>15.4</v>
      </c>
      <c r="K193" s="21">
        <f t="shared" si="104"/>
        <v>0.13235294117647065</v>
      </c>
      <c r="L193" s="22">
        <f>IF(ISNUMBER(J193), $B199 * K193, "")</f>
        <v>13235.294117647065</v>
      </c>
      <c r="M193" s="30">
        <v>14.8</v>
      </c>
      <c r="N193" s="21">
        <f t="shared" si="105"/>
        <v>8.8235294117647134E-2</v>
      </c>
      <c r="O193" s="22">
        <f>IF(ISNUMBER(M193), $B199 * N193, "")</f>
        <v>8823.5294117647136</v>
      </c>
      <c r="Q193" s="261"/>
      <c r="R193" s="261"/>
      <c r="S193" s="261"/>
    </row>
    <row r="194" spans="1:19" ht="17.25" thickBot="1">
      <c r="A194" s="162" t="s">
        <v>231</v>
      </c>
      <c r="B194" s="129">
        <v>192</v>
      </c>
      <c r="C194" s="80">
        <v>-0.26996197719999998</v>
      </c>
      <c r="D194" s="106">
        <v>322</v>
      </c>
      <c r="E194" s="107">
        <f>IF(ISNUMBER(D194), (D194 - $B194) / $B194, "")</f>
        <v>0.67708333333333337</v>
      </c>
      <c r="F194" s="108">
        <f>IF(ISNUMBER(D194), $B199 * E194, "")</f>
        <v>67708.333333333343</v>
      </c>
      <c r="G194" s="109">
        <v>305</v>
      </c>
      <c r="H194" s="107">
        <f>IF(ISNUMBER(G194), (G194 - $B194) / $B194, "")</f>
        <v>0.58854166666666663</v>
      </c>
      <c r="I194" s="110">
        <f>IF(ISNUMBER(G194), $B199 * H194, "")</f>
        <v>58854.166666666664</v>
      </c>
      <c r="J194" s="106">
        <v>282</v>
      </c>
      <c r="K194" s="107">
        <f>IF(ISNUMBER(J194), (J194 - $B194) / $B194, "")</f>
        <v>0.46875</v>
      </c>
      <c r="L194" s="108">
        <f>IF(ISNUMBER(J194), $B199 * K194, "")</f>
        <v>46875</v>
      </c>
      <c r="M194" s="109">
        <v>257</v>
      </c>
      <c r="N194" s="107">
        <f>IF(ISNUMBER(M194), (M194 - $B194) / $B194, "")</f>
        <v>0.33854166666666669</v>
      </c>
      <c r="O194" s="108">
        <f>IF(ISNUMBER(M194), $B199 * N194, "")</f>
        <v>33854.166666666672</v>
      </c>
      <c r="Q194" s="251"/>
      <c r="R194" s="251"/>
      <c r="S194" s="251"/>
    </row>
    <row r="195" spans="1:19" ht="17.25" thickBot="1">
      <c r="A195" s="162" t="s">
        <v>233</v>
      </c>
      <c r="B195" s="126">
        <v>10.6</v>
      </c>
      <c r="C195" s="77">
        <v>-0.28859060399999997</v>
      </c>
      <c r="D195" s="15">
        <v>11.9</v>
      </c>
      <c r="E195" s="32">
        <f t="shared" ref="E195:E198" si="106">IF(ISNUMBER(D195), (D195 - $B195) / $B195, "")</f>
        <v>0.12264150943396233</v>
      </c>
      <c r="F195" s="18">
        <f>IF(ISNUMBER(D195), $B199 * E195, "")</f>
        <v>12264.150943396233</v>
      </c>
      <c r="G195" s="31">
        <v>12.2</v>
      </c>
      <c r="H195" s="32">
        <f t="shared" ref="H195:H198" si="107">IF(ISNUMBER(G195), (G195 - $B195) / $B195, "")</f>
        <v>0.15094339622641506</v>
      </c>
      <c r="I195" s="101">
        <f>IF(ISNUMBER(G195), $B199 * H195, "")</f>
        <v>15094.339622641506</v>
      </c>
      <c r="J195" s="15">
        <v>12</v>
      </c>
      <c r="K195" s="32">
        <f t="shared" ref="K195:K198" si="108">IF(ISNUMBER(J195), (J195 - $B195) / $B195, "")</f>
        <v>0.13207547169811323</v>
      </c>
      <c r="L195" s="18">
        <f>IF(ISNUMBER(J195), $B199 * K195, "")</f>
        <v>13207.547169811323</v>
      </c>
      <c r="M195" s="31">
        <v>11.6</v>
      </c>
      <c r="N195" s="32">
        <f t="shared" ref="N195:N198" si="109">IF(ISNUMBER(M195), (M195 - $B195) / $B195, "")</f>
        <v>9.4339622641509441E-2</v>
      </c>
      <c r="O195" s="18">
        <f>IF(ISNUMBER(M195), $B199 * N195, "")</f>
        <v>9433.962264150945</v>
      </c>
      <c r="Q195" s="251"/>
      <c r="R195" s="251"/>
      <c r="S195" s="251"/>
    </row>
    <row r="196" spans="1:19" ht="17.25" thickBot="1">
      <c r="A196" s="162" t="s">
        <v>246</v>
      </c>
      <c r="B196" s="126">
        <v>37.6</v>
      </c>
      <c r="C196" s="77">
        <v>-0.28922495269999998</v>
      </c>
      <c r="D196" s="15">
        <v>42</v>
      </c>
      <c r="E196" s="32">
        <f t="shared" si="106"/>
        <v>0.11702127659574464</v>
      </c>
      <c r="F196" s="18">
        <f>IF(ISNUMBER(D196), $B199 * E196, "")</f>
        <v>11702.127659574464</v>
      </c>
      <c r="G196" s="31">
        <v>44</v>
      </c>
      <c r="H196" s="32">
        <f t="shared" si="107"/>
        <v>0.17021276595744678</v>
      </c>
      <c r="I196" s="101">
        <f>IF(ISNUMBER(G196), $B199 * H196, "")</f>
        <v>17021.276595744679</v>
      </c>
      <c r="J196" s="15">
        <v>42.3</v>
      </c>
      <c r="K196" s="32">
        <f t="shared" si="108"/>
        <v>0.12499999999999988</v>
      </c>
      <c r="L196" s="18">
        <f>IF(ISNUMBER(J196), $B199 * K196, "")</f>
        <v>12499.999999999987</v>
      </c>
      <c r="M196" s="31">
        <v>40.700000000000003</v>
      </c>
      <c r="N196" s="32">
        <f t="shared" si="109"/>
        <v>8.2446808510638334E-2</v>
      </c>
      <c r="O196" s="18">
        <f>IF(ISNUMBER(M196), $B199 * N196, "")</f>
        <v>8244.680851063833</v>
      </c>
      <c r="Q196" s="251"/>
      <c r="R196" s="251"/>
      <c r="S196" s="251"/>
    </row>
    <row r="197" spans="1:19">
      <c r="A197" s="162" t="s">
        <v>171</v>
      </c>
      <c r="B197" s="126">
        <v>2.92</v>
      </c>
      <c r="C197" s="77">
        <v>-0.2912621359</v>
      </c>
      <c r="D197" s="15">
        <v>3.56</v>
      </c>
      <c r="E197" s="32">
        <f t="shared" si="106"/>
        <v>0.21917808219178087</v>
      </c>
      <c r="F197" s="18">
        <f>IF(ISNUMBER(D197), $B199 * E197, "")</f>
        <v>21917.808219178085</v>
      </c>
      <c r="G197" s="31">
        <v>3.54</v>
      </c>
      <c r="H197" s="32">
        <f t="shared" si="107"/>
        <v>0.21232876712328771</v>
      </c>
      <c r="I197" s="101">
        <f>IF(ISNUMBER(G197), $B199 * H197, "")</f>
        <v>21232.876712328773</v>
      </c>
      <c r="J197" s="15">
        <v>3.4</v>
      </c>
      <c r="K197" s="32">
        <f t="shared" si="108"/>
        <v>0.16438356164383561</v>
      </c>
      <c r="L197" s="18">
        <f>IF(ISNUMBER(J197), $B199 * K197, "")</f>
        <v>16438.35616438356</v>
      </c>
      <c r="M197" s="31">
        <v>3.22</v>
      </c>
      <c r="N197" s="32">
        <f t="shared" si="109"/>
        <v>0.10273972602739735</v>
      </c>
      <c r="O197" s="18">
        <f>IF(ISNUMBER(M197), $B199 * N197, "")</f>
        <v>10273.972602739736</v>
      </c>
      <c r="Q197" s="240"/>
      <c r="R197" s="241"/>
      <c r="S197" s="242"/>
    </row>
    <row r="198" spans="1:19" ht="17.25" thickBot="1">
      <c r="A198" s="130" t="s">
        <v>248</v>
      </c>
      <c r="B198" s="131">
        <v>61.8</v>
      </c>
      <c r="C198" s="79">
        <v>-0.30405405410000003</v>
      </c>
      <c r="D198" s="24">
        <v>68.400000000000006</v>
      </c>
      <c r="E198" s="25">
        <f t="shared" si="106"/>
        <v>0.10679611650485452</v>
      </c>
      <c r="F198" s="104">
        <f>IF(ISNUMBER(D198), $B199 * E198, "")</f>
        <v>10679.611650485451</v>
      </c>
      <c r="G198" s="102">
        <v>70.900000000000006</v>
      </c>
      <c r="H198" s="25">
        <f t="shared" si="107"/>
        <v>0.14724919093851147</v>
      </c>
      <c r="I198" s="103">
        <f>IF(ISNUMBER(G198), $B199 * H198, "")</f>
        <v>14724.919093851147</v>
      </c>
      <c r="J198" s="24">
        <v>68.2</v>
      </c>
      <c r="K198" s="25">
        <f t="shared" si="108"/>
        <v>0.10355987055016191</v>
      </c>
      <c r="L198" s="104">
        <f>IF(ISNUMBER(J198), $B199 * K198, "")</f>
        <v>10355.987055016192</v>
      </c>
      <c r="M198" s="102">
        <v>66.400000000000006</v>
      </c>
      <c r="N198" s="25">
        <f t="shared" si="109"/>
        <v>7.4433656957928945E-2</v>
      </c>
      <c r="O198" s="104">
        <f>IF(ISNUMBER(M198), $B199 * N198, "")</f>
        <v>7443.3656957928943</v>
      </c>
      <c r="Q198" s="243"/>
      <c r="R198" s="244"/>
      <c r="S198" s="245"/>
    </row>
    <row r="199" spans="1:19" ht="17.25" thickBot="1">
      <c r="A199" s="132" t="s">
        <v>295</v>
      </c>
      <c r="B199" s="304">
        <f>$B$37</f>
        <v>100000</v>
      </c>
      <c r="C199" s="305"/>
      <c r="D199" s="26" t="s">
        <v>296</v>
      </c>
      <c r="E199" s="27">
        <f>IF(COUNT(E179:E198), SUM(E179:E198) / COUNT(E179:E198), 0)</f>
        <v>7.3412805327632516E-2</v>
      </c>
      <c r="F199" s="28">
        <f>SUM(F179:F198)</f>
        <v>146825.61065526505</v>
      </c>
      <c r="G199" s="26" t="s">
        <v>296</v>
      </c>
      <c r="H199" s="27">
        <f>IF(COUNT(H179:H198), SUM(H179:H198) / COUNT(H179:H198), 0)</f>
        <v>7.9503069948081179E-2</v>
      </c>
      <c r="I199" s="28">
        <f>SUM(I179:I198)</f>
        <v>159006.13989616235</v>
      </c>
      <c r="J199" s="26" t="s">
        <v>296</v>
      </c>
      <c r="K199" s="27">
        <f>IF(COUNT(K179:K198), SUM(K179:K198) / COUNT(K179:K198), 0)</f>
        <v>6.4647139564289496E-2</v>
      </c>
      <c r="L199" s="28">
        <f>SUM(L179:L198)</f>
        <v>129294.27912857899</v>
      </c>
      <c r="M199" s="26" t="s">
        <v>296</v>
      </c>
      <c r="N199" s="27">
        <f>IF(COUNT(N179:N198), SUM(N179:N198) / COUNT(N179:N198), 0)</f>
        <v>3.6256090107042546E-2</v>
      </c>
      <c r="O199" s="28">
        <f>SUM(O179:O198)</f>
        <v>72512.180214085107</v>
      </c>
      <c r="Q199" s="246"/>
      <c r="R199" s="247"/>
      <c r="S199" s="24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1D0F6-E5FA-4B8D-9A31-BBF1328CCD23}">
  <sheetPr codeName="Sheet26"/>
  <dimension ref="A1:S199"/>
  <sheetViews>
    <sheetView tabSelected="1"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2" t="s">
        <v>0</v>
      </c>
      <c r="B1" s="263"/>
      <c r="C1" s="263"/>
      <c r="D1" s="263"/>
      <c r="E1" s="263"/>
      <c r="F1" s="264"/>
      <c r="G1" s="293">
        <v>44367</v>
      </c>
      <c r="H1" s="294"/>
      <c r="I1" s="295"/>
      <c r="J1" s="262" t="s">
        <v>1</v>
      </c>
      <c r="K1" s="263"/>
      <c r="L1" s="263"/>
      <c r="M1" s="263"/>
      <c r="N1" s="263"/>
      <c r="O1" s="264"/>
      <c r="Q1" s="262" t="s">
        <v>2</v>
      </c>
      <c r="R1" s="264"/>
    </row>
    <row r="2" spans="1:19" ht="17.25" customHeight="1">
      <c r="A2" s="117" t="s">
        <v>3</v>
      </c>
      <c r="B2" s="296" t="s">
        <v>8</v>
      </c>
      <c r="C2" s="297"/>
      <c r="D2" s="297"/>
      <c r="E2" s="297"/>
      <c r="F2" s="298"/>
      <c r="G2" s="290" t="s">
        <v>46</v>
      </c>
      <c r="H2" s="291"/>
      <c r="I2" s="292"/>
      <c r="J2" s="1" t="s">
        <v>3</v>
      </c>
      <c r="K2" s="296" t="s">
        <v>345</v>
      </c>
      <c r="L2" s="297"/>
      <c r="M2" s="297"/>
      <c r="N2" s="297"/>
      <c r="O2" s="298"/>
      <c r="Q2" s="2" t="s">
        <v>6</v>
      </c>
      <c r="R2" s="3">
        <v>0.375</v>
      </c>
    </row>
    <row r="3" spans="1:19" ht="17.25" customHeight="1" thickBot="1">
      <c r="A3" s="118" t="s">
        <v>7</v>
      </c>
      <c r="B3" s="287" t="s">
        <v>353</v>
      </c>
      <c r="C3" s="288"/>
      <c r="D3" s="288"/>
      <c r="E3" s="288"/>
      <c r="F3" s="289"/>
      <c r="G3" s="28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-143,775 KRW (-7.19%)</v>
      </c>
      <c r="H3" s="284"/>
      <c r="I3" s="285"/>
      <c r="J3" s="4" t="s">
        <v>7</v>
      </c>
      <c r="K3" s="287" t="s">
        <v>346</v>
      </c>
      <c r="L3" s="288"/>
      <c r="M3" s="288"/>
      <c r="N3" s="288"/>
      <c r="O3" s="28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7" t="s">
        <v>16</v>
      </c>
      <c r="C4" s="288"/>
      <c r="D4" s="288"/>
      <c r="E4" s="288"/>
      <c r="F4" s="289"/>
      <c r="G4" s="290" t="s">
        <v>44</v>
      </c>
      <c r="H4" s="291"/>
      <c r="I4" s="292"/>
      <c r="J4" s="4" t="s">
        <v>11</v>
      </c>
      <c r="K4" s="287" t="s">
        <v>347</v>
      </c>
      <c r="L4" s="288"/>
      <c r="M4" s="288"/>
      <c r="N4" s="288"/>
      <c r="O4" s="28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7" t="s">
        <v>344</v>
      </c>
      <c r="C5" s="288"/>
      <c r="D5" s="288"/>
      <c r="E5" s="288"/>
      <c r="F5" s="289"/>
      <c r="G5" s="28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-178,090 KRW (-8.90%)</v>
      </c>
      <c r="H5" s="284"/>
      <c r="I5" s="285"/>
      <c r="J5" s="4" t="s">
        <v>15</v>
      </c>
      <c r="K5" s="287" t="s">
        <v>348</v>
      </c>
      <c r="L5" s="288"/>
      <c r="M5" s="288"/>
      <c r="N5" s="288"/>
      <c r="O5" s="289"/>
    </row>
    <row r="6" spans="1:19">
      <c r="A6" s="118" t="s">
        <v>18</v>
      </c>
      <c r="B6" s="287"/>
      <c r="C6" s="288"/>
      <c r="D6" s="288"/>
      <c r="E6" s="288"/>
      <c r="F6" s="289"/>
      <c r="G6" s="290" t="s">
        <v>45</v>
      </c>
      <c r="H6" s="291"/>
      <c r="I6" s="292"/>
      <c r="J6" s="4" t="s">
        <v>18</v>
      </c>
      <c r="K6" s="287" t="s">
        <v>349</v>
      </c>
      <c r="L6" s="288"/>
      <c r="M6" s="288"/>
      <c r="N6" s="288"/>
      <c r="O6" s="289"/>
    </row>
    <row r="7" spans="1:19" ht="17.25" thickBot="1">
      <c r="A7" s="118" t="s">
        <v>21</v>
      </c>
      <c r="B7" s="287"/>
      <c r="C7" s="288"/>
      <c r="D7" s="288"/>
      <c r="E7" s="288"/>
      <c r="F7" s="289"/>
      <c r="G7" s="28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-131,421 KRW (-6.57%)</v>
      </c>
      <c r="H7" s="284"/>
      <c r="I7" s="285"/>
      <c r="J7" s="4" t="s">
        <v>21</v>
      </c>
      <c r="K7" s="287" t="s">
        <v>350</v>
      </c>
      <c r="L7" s="288"/>
      <c r="M7" s="288"/>
      <c r="N7" s="288"/>
      <c r="O7" s="289"/>
    </row>
    <row r="8" spans="1:19" ht="17.25" thickBot="1">
      <c r="A8" s="118" t="s">
        <v>24</v>
      </c>
      <c r="B8" s="287"/>
      <c r="C8" s="288"/>
      <c r="D8" s="288"/>
      <c r="E8" s="288"/>
      <c r="F8" s="289"/>
      <c r="G8" s="290" t="s">
        <v>280</v>
      </c>
      <c r="H8" s="291"/>
      <c r="I8" s="292"/>
      <c r="J8" s="4" t="s">
        <v>24</v>
      </c>
      <c r="K8" s="287"/>
      <c r="L8" s="288"/>
      <c r="M8" s="288"/>
      <c r="N8" s="288"/>
      <c r="O8" s="289"/>
      <c r="Q8" s="262" t="s">
        <v>27</v>
      </c>
      <c r="R8" s="264"/>
    </row>
    <row r="9" spans="1:19" ht="17.25" thickBot="1">
      <c r="A9" s="118" t="s">
        <v>28</v>
      </c>
      <c r="B9" s="287"/>
      <c r="C9" s="288"/>
      <c r="D9" s="288"/>
      <c r="E9" s="288"/>
      <c r="F9" s="289"/>
      <c r="G9" s="28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-161,607 KRW (-8.08%)</v>
      </c>
      <c r="H9" s="284"/>
      <c r="I9" s="285"/>
      <c r="J9" s="4" t="s">
        <v>28</v>
      </c>
      <c r="K9" s="287"/>
      <c r="L9" s="288"/>
      <c r="M9" s="288"/>
      <c r="N9" s="288"/>
      <c r="O9" s="289"/>
      <c r="Q9" s="2" t="s">
        <v>29</v>
      </c>
      <c r="R9" s="6">
        <v>10</v>
      </c>
    </row>
    <row r="10" spans="1:19">
      <c r="A10" s="118" t="s">
        <v>30</v>
      </c>
      <c r="B10" s="287"/>
      <c r="C10" s="288"/>
      <c r="D10" s="288"/>
      <c r="E10" s="288"/>
      <c r="F10" s="289"/>
      <c r="G10" s="290" t="s">
        <v>47</v>
      </c>
      <c r="H10" s="291"/>
      <c r="I10" s="292"/>
      <c r="J10" s="4" t="s">
        <v>30</v>
      </c>
      <c r="K10" s="287" t="s">
        <v>351</v>
      </c>
      <c r="L10" s="288"/>
      <c r="M10" s="288"/>
      <c r="N10" s="288"/>
      <c r="O10" s="289"/>
      <c r="Q10" s="2" t="s">
        <v>31</v>
      </c>
      <c r="R10" s="6">
        <v>100</v>
      </c>
    </row>
    <row r="11" spans="1:19" ht="17.25" thickBot="1">
      <c r="A11" s="119" t="s">
        <v>32</v>
      </c>
      <c r="B11" s="280" t="s">
        <v>352</v>
      </c>
      <c r="C11" s="281"/>
      <c r="D11" s="281"/>
      <c r="E11" s="281"/>
      <c r="F11" s="282"/>
      <c r="G11" s="28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4"/>
      <c r="I11" s="285"/>
      <c r="J11" s="7" t="s">
        <v>32</v>
      </c>
      <c r="K11" s="280" t="s">
        <v>343</v>
      </c>
      <c r="L11" s="281"/>
      <c r="M11" s="281"/>
      <c r="N11" s="281"/>
      <c r="O11" s="282"/>
      <c r="Q11" s="65" t="s">
        <v>33</v>
      </c>
      <c r="R11" s="8">
        <v>1000</v>
      </c>
    </row>
    <row r="12" spans="1:19" ht="17.25" thickBot="1"/>
    <row r="13" spans="1:19" ht="17.25" customHeight="1" thickBot="1">
      <c r="A13" s="262" t="s">
        <v>34</v>
      </c>
      <c r="B13" s="263"/>
      <c r="C13" s="263"/>
      <c r="D13" s="263"/>
      <c r="E13" s="263"/>
      <c r="F13" s="263"/>
      <c r="G13" s="263"/>
      <c r="H13" s="263"/>
      <c r="I13" s="263"/>
      <c r="J13" s="263"/>
      <c r="K13" s="263"/>
      <c r="L13" s="263"/>
      <c r="M13" s="263"/>
      <c r="N13" s="263"/>
      <c r="O13" s="264"/>
      <c r="Q13" s="261"/>
      <c r="R13" s="261"/>
      <c r="S13" s="261"/>
    </row>
    <row r="14" spans="1:19" ht="17.25" customHeight="1" thickBot="1">
      <c r="A14" s="236" t="s">
        <v>35</v>
      </c>
      <c r="B14" s="262" t="s">
        <v>36</v>
      </c>
      <c r="C14" s="264"/>
      <c r="D14" s="262" t="s">
        <v>37</v>
      </c>
      <c r="E14" s="263"/>
      <c r="F14" s="264"/>
      <c r="G14" s="265">
        <f>_xlfn.IFNA(VLOOKUP(B14, 현재가테이블!$B$2:$D$200, 2, FALSE), "-")</f>
        <v>40538000</v>
      </c>
      <c r="H14" s="266"/>
      <c r="I14" s="267"/>
      <c r="J14" s="262" t="s">
        <v>38</v>
      </c>
      <c r="K14" s="263"/>
      <c r="L14" s="264"/>
      <c r="M14" s="268">
        <f>_xlfn.IFNA(VLOOKUP(B14, 현재가테이블!$B$2:$D$200, 3, FALSE), "-")</f>
        <v>-3.68275993E-2</v>
      </c>
      <c r="N14" s="269"/>
      <c r="O14" s="270"/>
      <c r="Q14" s="261"/>
      <c r="R14" s="261"/>
      <c r="S14" s="261"/>
    </row>
    <row r="15" spans="1:19" ht="17.25" customHeight="1" thickBot="1">
      <c r="A15" s="299" t="s">
        <v>39</v>
      </c>
      <c r="B15" s="300" t="str">
        <f>TEXT($G$1, "[$-ko-KR]yyyy-mm-dd(ddd) ") &amp; "오전 00:00"</f>
        <v>2021-06-20(일) 오전 00:00</v>
      </c>
      <c r="C15" s="301"/>
      <c r="D15" s="275" t="str">
        <f>TEXT($G$1, "[$-ko-KR]yyyy-mm-dd(ddd) ") &amp; "오후 14:00"</f>
        <v>2021-06-20(일) 오후 14:00</v>
      </c>
      <c r="E15" s="276"/>
      <c r="F15" s="277"/>
      <c r="G15" s="275" t="str">
        <f>TEXT($G$1, "[$-ko-KR]yyyy-mm-dd(ddd) ") &amp; "오후 19:00"</f>
        <v>2021-06-20(일) 오후 19:00</v>
      </c>
      <c r="H15" s="276"/>
      <c r="I15" s="277"/>
      <c r="J15" s="275" t="str">
        <f>TEXT($G$1, "[$-ko-KR]yyyy-mm-dd(ddd) ") &amp; "오후 21:00"</f>
        <v>2021-06-20(일) 오후 21:00</v>
      </c>
      <c r="K15" s="276"/>
      <c r="L15" s="277"/>
      <c r="M15" s="275" t="str">
        <f>TEXT($G$1+1, "[$-ko-KR]yyyy-mm-dd(ddd) ") &amp; "오전 00:00"</f>
        <v>2021-06-21(월) 오전 00:00</v>
      </c>
      <c r="N15" s="276"/>
      <c r="O15" s="277"/>
      <c r="Q15" s="261"/>
      <c r="R15" s="261"/>
      <c r="S15" s="261"/>
    </row>
    <row r="16" spans="1:19" ht="17.25" customHeight="1" thickBot="1">
      <c r="A16" s="29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7" t="s">
        <v>37</v>
      </c>
      <c r="H16" s="238" t="s">
        <v>40</v>
      </c>
      <c r="I16" s="23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1"/>
      <c r="R16" s="251"/>
      <c r="S16" s="251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1"/>
      <c r="R17" s="261"/>
      <c r="S17" s="261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1"/>
      <c r="R18" s="261"/>
      <c r="S18" s="261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1"/>
      <c r="R19" s="251"/>
      <c r="S19" s="251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1"/>
      <c r="R20" s="251"/>
      <c r="S20" s="251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1"/>
      <c r="R21" s="251"/>
      <c r="S21" s="25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1"/>
      <c r="R22" s="251"/>
      <c r="S22" s="25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1"/>
      <c r="R23" s="251"/>
      <c r="S23" s="25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1"/>
      <c r="R24" s="251"/>
      <c r="S24" s="25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2"/>
      <c r="R26" s="253"/>
      <c r="S26" s="25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1"/>
      <c r="R29" s="251"/>
      <c r="S29" s="25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1"/>
      <c r="R30" s="261"/>
      <c r="S30" s="26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1"/>
      <c r="R31" s="261"/>
      <c r="S31" s="26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1"/>
      <c r="R32" s="251"/>
      <c r="S32" s="25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1"/>
      <c r="R33" s="251"/>
      <c r="S33" s="25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1"/>
      <c r="R34" s="251"/>
      <c r="S34" s="25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0"/>
      <c r="R35" s="241"/>
      <c r="S35" s="24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3"/>
      <c r="R36" s="244"/>
      <c r="S36" s="245"/>
    </row>
    <row r="37" spans="1:19" ht="17.25" customHeight="1" thickBot="1">
      <c r="A37" s="132" t="s">
        <v>42</v>
      </c>
      <c r="B37" s="304">
        <v>100000</v>
      </c>
      <c r="C37" s="30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6"/>
      <c r="R37" s="247"/>
      <c r="S37" s="248"/>
    </row>
    <row r="38" spans="1:19" ht="17.25" customHeight="1"/>
    <row r="39" spans="1:19" ht="17.25" customHeight="1" thickBot="1"/>
    <row r="40" spans="1:19" ht="17.25" customHeight="1" thickBot="1">
      <c r="A40" s="262" t="s">
        <v>44</v>
      </c>
      <c r="B40" s="263"/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4"/>
      <c r="Q40" s="261"/>
      <c r="R40" s="261"/>
      <c r="S40" s="261"/>
    </row>
    <row r="41" spans="1:19" ht="17.25" customHeight="1" thickBot="1">
      <c r="A41" s="236" t="s">
        <v>292</v>
      </c>
      <c r="B41" s="262" t="s">
        <v>49</v>
      </c>
      <c r="C41" s="264"/>
      <c r="D41" s="262" t="s">
        <v>58</v>
      </c>
      <c r="E41" s="263"/>
      <c r="F41" s="264"/>
      <c r="G41" s="265">
        <f>_xlfn.IFNA(VLOOKUP(B41, 현재가테이블!$B$2:$D$200, 2, FALSE), "-")</f>
        <v>40538000</v>
      </c>
      <c r="H41" s="266"/>
      <c r="I41" s="267"/>
      <c r="J41" s="262" t="s">
        <v>59</v>
      </c>
      <c r="K41" s="263"/>
      <c r="L41" s="264"/>
      <c r="M41" s="268">
        <f>_xlfn.IFNA(VLOOKUP(B41, 현재가테이블!$B$2:$D$200, 3, FALSE), "-")</f>
        <v>-3.68275993E-2</v>
      </c>
      <c r="N41" s="269"/>
      <c r="O41" s="270"/>
      <c r="Q41" s="261"/>
      <c r="R41" s="261"/>
      <c r="S41" s="261"/>
    </row>
    <row r="42" spans="1:19" ht="17.25" customHeight="1" thickBot="1">
      <c r="A42" s="306" t="s">
        <v>55</v>
      </c>
      <c r="B42" s="302" t="str">
        <f>TEXT($G$1, "[$-ko-KR]yyyy-mm-dd(ddd) ") &amp; "오전 00:00"</f>
        <v>2021-06-20(일) 오전 00:00</v>
      </c>
      <c r="C42" s="303"/>
      <c r="D42" s="275" t="str">
        <f>TEXT($G$1, "[$-ko-KR]yyyy-mm-dd(ddd) ") &amp; "오후 14:00"</f>
        <v>2021-06-20(일) 오후 14:00</v>
      </c>
      <c r="E42" s="276"/>
      <c r="F42" s="277"/>
      <c r="G42" s="275" t="str">
        <f>TEXT($G$1, "[$-ko-KR]yyyy-mm-dd(ddd) ") &amp; "오후 19:00"</f>
        <v>2021-06-20(일) 오후 19:00</v>
      </c>
      <c r="H42" s="276"/>
      <c r="I42" s="277"/>
      <c r="J42" s="275" t="str">
        <f>TEXT($G$1, "[$-ko-KR]yyyy-mm-dd(ddd) ") &amp; "오후 21:00"</f>
        <v>2021-06-20(일) 오후 21:00</v>
      </c>
      <c r="K42" s="276"/>
      <c r="L42" s="277"/>
      <c r="M42" s="275" t="str">
        <f>TEXT($G$1+1, "[$-ko-KR]yyyy-mm-dd(ddd) ") &amp; "오전 00:00"</f>
        <v>2021-06-21(월) 오전 00:00</v>
      </c>
      <c r="N42" s="276"/>
      <c r="O42" s="277"/>
      <c r="Q42" s="261"/>
      <c r="R42" s="261"/>
      <c r="S42" s="261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7" t="s">
        <v>58</v>
      </c>
      <c r="H43" s="238" t="s">
        <v>293</v>
      </c>
      <c r="I43" s="23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1"/>
      <c r="R43" s="251"/>
      <c r="S43" s="251"/>
    </row>
    <row r="44" spans="1:19" ht="17.25" customHeight="1" thickBot="1">
      <c r="A44" s="161" t="s">
        <v>233</v>
      </c>
      <c r="B44" s="124">
        <v>11.6</v>
      </c>
      <c r="C44" s="76">
        <v>8.4112149499999997E-2</v>
      </c>
      <c r="D44" s="13">
        <v>11.1</v>
      </c>
      <c r="E44" s="14">
        <f>IF(ISNUMBER(D44), (D44 - $B44) / $B44, "")</f>
        <v>-4.3103448275862072E-2</v>
      </c>
      <c r="F44" s="16">
        <f>IF(ISNUMBER(D44), $B64 * E44, "")</f>
        <v>-4310.3448275862074</v>
      </c>
      <c r="G44" s="29">
        <v>10.9</v>
      </c>
      <c r="H44" s="14">
        <f>IF(ISNUMBER(G44), (G44 - $B44) / $B44, "")</f>
        <v>-6.0344827586206837E-2</v>
      </c>
      <c r="I44" s="100">
        <f>IF(ISNUMBER(G44), $B64 * H44, "")</f>
        <v>-6034.4827586206839</v>
      </c>
      <c r="J44" s="13">
        <v>10.6</v>
      </c>
      <c r="K44" s="14">
        <f>IF(ISNUMBER(J44), (J44 - $B44) / $B44, "")</f>
        <v>-8.6206896551724144E-2</v>
      </c>
      <c r="L44" s="16">
        <f>IF(ISNUMBER(J44), $B64 * K44, "")</f>
        <v>-8620.6896551724149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1"/>
      <c r="R44" s="261"/>
      <c r="S44" s="261"/>
    </row>
    <row r="45" spans="1:19" ht="17.25" customHeight="1" thickBot="1">
      <c r="A45" s="162" t="s">
        <v>122</v>
      </c>
      <c r="B45" s="126">
        <v>14.8</v>
      </c>
      <c r="C45" s="77">
        <v>6.4748201399999997E-2</v>
      </c>
      <c r="D45" s="15">
        <v>14.1</v>
      </c>
      <c r="E45" s="32">
        <f t="shared" ref="E45:E48" si="14">IF(ISNUMBER(D45), (D45 - $B45) / $B45, "")</f>
        <v>-4.7297297297297369E-2</v>
      </c>
      <c r="F45" s="18">
        <f>IF(ISNUMBER(D45), $B64 * E45, "")</f>
        <v>-4729.7297297297373</v>
      </c>
      <c r="G45" s="31">
        <v>13.9</v>
      </c>
      <c r="H45" s="32">
        <f t="shared" ref="H45:H48" si="15">IF(ISNUMBER(G45), (G45 - $B45) / $B45, "")</f>
        <v>-6.0810810810810835E-2</v>
      </c>
      <c r="I45" s="101">
        <f>IF(ISNUMBER(G45), $B64 * H45, "")</f>
        <v>-6081.0810810810835</v>
      </c>
      <c r="J45" s="15">
        <v>13.3</v>
      </c>
      <c r="K45" s="32">
        <f t="shared" ref="K45:K48" si="16">IF(ISNUMBER(J45), (J45 - $B45) / $B45, "")</f>
        <v>-0.10135135135135134</v>
      </c>
      <c r="L45" s="18">
        <f>IF(ISNUMBER(J45), $B64 * K45, "")</f>
        <v>-10135.135135135135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1"/>
      <c r="R45" s="261"/>
      <c r="S45" s="261"/>
    </row>
    <row r="46" spans="1:19" ht="17.25" customHeight="1" thickBot="1">
      <c r="A46" s="162" t="s">
        <v>248</v>
      </c>
      <c r="B46" s="126">
        <v>66.400000000000006</v>
      </c>
      <c r="C46" s="77">
        <v>5.7324840799999999E-2</v>
      </c>
      <c r="D46" s="15">
        <v>66.099999999999994</v>
      </c>
      <c r="E46" s="32">
        <f t="shared" si="14"/>
        <v>-4.5180722891567972E-3</v>
      </c>
      <c r="F46" s="18">
        <f>IF(ISNUMBER(D46), $B64 * E46, "")</f>
        <v>-451.80722891567973</v>
      </c>
      <c r="G46" s="31">
        <v>65</v>
      </c>
      <c r="H46" s="32">
        <f t="shared" si="15"/>
        <v>-2.1084337349397676E-2</v>
      </c>
      <c r="I46" s="101">
        <f>IF(ISNUMBER(G46), $B64 * H46, "")</f>
        <v>-2108.4337349397674</v>
      </c>
      <c r="J46" s="15">
        <v>64.2</v>
      </c>
      <c r="K46" s="32">
        <f t="shared" si="16"/>
        <v>-3.3132530120481965E-2</v>
      </c>
      <c r="L46" s="18">
        <f>IF(ISNUMBER(J46), $B64 * K46, "")</f>
        <v>-3313.2530120481965</v>
      </c>
      <c r="M46" s="31"/>
      <c r="N46" s="32" t="str">
        <f t="shared" si="17"/>
        <v/>
      </c>
      <c r="O46" s="18" t="str">
        <f>IF(ISNUMBER(M46), $B64 * N46, "")</f>
        <v/>
      </c>
      <c r="Q46" s="251"/>
      <c r="R46" s="251"/>
      <c r="S46" s="251"/>
    </row>
    <row r="47" spans="1:19" ht="17.25" customHeight="1" thickBot="1">
      <c r="A47" s="162" t="s">
        <v>246</v>
      </c>
      <c r="B47" s="126">
        <v>40.700000000000003</v>
      </c>
      <c r="C47" s="77">
        <v>5.1679586600000001E-2</v>
      </c>
      <c r="D47" s="15">
        <v>40.4</v>
      </c>
      <c r="E47" s="32">
        <f t="shared" si="14"/>
        <v>-7.3710073710074753E-3</v>
      </c>
      <c r="F47" s="18">
        <f>IF(ISNUMBER(D47), $B64 * E47, "")</f>
        <v>-737.10073710074755</v>
      </c>
      <c r="G47" s="31">
        <v>39.5</v>
      </c>
      <c r="H47" s="32">
        <f t="shared" si="15"/>
        <v>-2.9484029484029551E-2</v>
      </c>
      <c r="I47" s="101">
        <f>IF(ISNUMBER(G47), $B64 * H47, "")</f>
        <v>-2948.4029484029552</v>
      </c>
      <c r="J47" s="15">
        <v>38.1</v>
      </c>
      <c r="K47" s="32">
        <f t="shared" si="16"/>
        <v>-6.3882063882063911E-2</v>
      </c>
      <c r="L47" s="18">
        <f>IF(ISNUMBER(J47), $B64 * K47, "")</f>
        <v>-6388.2063882063912</v>
      </c>
      <c r="M47" s="31"/>
      <c r="N47" s="32" t="str">
        <f t="shared" si="17"/>
        <v/>
      </c>
      <c r="O47" s="18" t="str">
        <f>IF(ISNUMBER(M47), $B64 * N47, "")</f>
        <v/>
      </c>
      <c r="Q47" s="251"/>
      <c r="R47" s="251"/>
      <c r="S47" s="251"/>
    </row>
    <row r="48" spans="1:19" ht="17.25" customHeight="1" thickBot="1">
      <c r="A48" s="163" t="s">
        <v>171</v>
      </c>
      <c r="B48" s="128">
        <v>3.22</v>
      </c>
      <c r="C48" s="78">
        <v>4.2071197400000003E-2</v>
      </c>
      <c r="D48" s="20">
        <v>3.2</v>
      </c>
      <c r="E48" s="21">
        <f t="shared" si="14"/>
        <v>-6.2111801242236073E-3</v>
      </c>
      <c r="F48" s="22">
        <f>IF(ISNUMBER(D48), $B64 * E48, "")</f>
        <v>-621.11801242236072</v>
      </c>
      <c r="G48" s="30">
        <v>3.14</v>
      </c>
      <c r="H48" s="21">
        <f t="shared" si="15"/>
        <v>-2.4844720496894429E-2</v>
      </c>
      <c r="I48" s="105">
        <f>IF(ISNUMBER(G48), $B64 * H48, "")</f>
        <v>-2484.4720496894429</v>
      </c>
      <c r="J48" s="20">
        <v>3</v>
      </c>
      <c r="K48" s="21">
        <f t="shared" si="16"/>
        <v>-6.8322981366459687E-2</v>
      </c>
      <c r="L48" s="22">
        <f>IF(ISNUMBER(J48), $B64 * K48, "")</f>
        <v>-6832.298136645969</v>
      </c>
      <c r="M48" s="30"/>
      <c r="N48" s="21" t="str">
        <f t="shared" si="17"/>
        <v/>
      </c>
      <c r="O48" s="22" t="str">
        <f>IF(ISNUMBER(M48), $B64 * N48, "")</f>
        <v/>
      </c>
      <c r="Q48" s="251"/>
      <c r="R48" s="251"/>
      <c r="S48" s="251"/>
    </row>
    <row r="49" spans="1:19" ht="17.25" customHeight="1" thickBot="1">
      <c r="A49" s="162" t="s">
        <v>219</v>
      </c>
      <c r="B49" s="129">
        <v>9.0299999999999994</v>
      </c>
      <c r="C49" s="80">
        <v>2.61363636E-2</v>
      </c>
      <c r="D49" s="106">
        <v>8.57</v>
      </c>
      <c r="E49" s="107">
        <f>IF(ISNUMBER(D49), (D49 - $B49) / $B49, "")</f>
        <v>-5.0941306755260145E-2</v>
      </c>
      <c r="F49" s="108">
        <f>IF(ISNUMBER(D49), $B64 * E49, "")</f>
        <v>-5094.1306755260148</v>
      </c>
      <c r="G49" s="109">
        <v>8.35</v>
      </c>
      <c r="H49" s="107">
        <f>IF(ISNUMBER(G49), (G49 - $B49) / $B49, "")</f>
        <v>-7.5304540420819466E-2</v>
      </c>
      <c r="I49" s="110">
        <f>IF(ISNUMBER(G49), $B64 * H49, "")</f>
        <v>-7530.4540420819467</v>
      </c>
      <c r="J49" s="106">
        <v>7.94</v>
      </c>
      <c r="K49" s="107">
        <f>IF(ISNUMBER(J49), (J49 - $B49) / $B49, "")</f>
        <v>-0.12070874861572525</v>
      </c>
      <c r="L49" s="108">
        <f>IF(ISNUMBER(J49), $B64 * K49, "")</f>
        <v>-12070.874861572525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1"/>
      <c r="R49" s="251"/>
      <c r="S49" s="251"/>
    </row>
    <row r="50" spans="1:19" ht="17.25" customHeight="1" thickBot="1">
      <c r="A50" s="162" t="s">
        <v>197</v>
      </c>
      <c r="B50" s="126">
        <v>12.5</v>
      </c>
      <c r="C50" s="77">
        <v>1.6260162599999999E-2</v>
      </c>
      <c r="D50" s="15">
        <v>12.4</v>
      </c>
      <c r="E50" s="32">
        <f t="shared" ref="E50:E53" si="18">IF(ISNUMBER(D50), (D50 - $B50) / $B50, "")</f>
        <v>-7.9999999999999724E-3</v>
      </c>
      <c r="F50" s="18">
        <f>IF(ISNUMBER(D50), $B64 * E50, "")</f>
        <v>-799.99999999999727</v>
      </c>
      <c r="G50" s="31">
        <v>12</v>
      </c>
      <c r="H50" s="32">
        <f t="shared" ref="H50:H53" si="19">IF(ISNUMBER(G50), (G50 - $B50) / $B50, "")</f>
        <v>-0.04</v>
      </c>
      <c r="I50" s="101">
        <f>IF(ISNUMBER(G50), $B64 * H50, "")</f>
        <v>-4000</v>
      </c>
      <c r="J50" s="15">
        <v>11.2</v>
      </c>
      <c r="K50" s="32">
        <f t="shared" ref="K50:K53" si="20">IF(ISNUMBER(J50), (J50 - $B50) / $B50, "")</f>
        <v>-0.10400000000000005</v>
      </c>
      <c r="L50" s="18">
        <f>IF(ISNUMBER(J50), $B64 * K50, "")</f>
        <v>-10400.000000000005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1"/>
      <c r="R50" s="251"/>
      <c r="S50" s="251"/>
    </row>
    <row r="51" spans="1:19" ht="17.25" customHeight="1" thickBot="1">
      <c r="A51" s="162" t="s">
        <v>185</v>
      </c>
      <c r="B51" s="126">
        <v>13.7</v>
      </c>
      <c r="C51" s="77">
        <v>0</v>
      </c>
      <c r="D51" s="15">
        <v>13.4</v>
      </c>
      <c r="E51" s="32">
        <f t="shared" si="18"/>
        <v>-2.1897810218978027E-2</v>
      </c>
      <c r="F51" s="18">
        <f>IF(ISNUMBER(D51), $B64 * E51, "")</f>
        <v>-2189.7810218978025</v>
      </c>
      <c r="G51" s="31">
        <v>13.3</v>
      </c>
      <c r="H51" s="32">
        <f t="shared" si="19"/>
        <v>-2.9197080291970701E-2</v>
      </c>
      <c r="I51" s="101">
        <f>IF(ISNUMBER(G51), $B64 * H51, "")</f>
        <v>-2919.7080291970701</v>
      </c>
      <c r="J51" s="15">
        <v>12.3</v>
      </c>
      <c r="K51" s="32">
        <f t="shared" si="20"/>
        <v>-0.10218978102189771</v>
      </c>
      <c r="L51" s="18">
        <f>IF(ISNUMBER(J51), $B64 * K51, "")</f>
        <v>-10218.978102189771</v>
      </c>
      <c r="M51" s="31"/>
      <c r="N51" s="32" t="str">
        <f t="shared" si="21"/>
        <v/>
      </c>
      <c r="O51" s="18" t="str">
        <f>IF(ISNUMBER(M51), $B64 * N51, "")</f>
        <v/>
      </c>
      <c r="Q51" s="251"/>
      <c r="R51" s="251"/>
      <c r="S51" s="251"/>
    </row>
    <row r="52" spans="1:19" ht="17.25" customHeight="1" thickBot="1">
      <c r="A52" s="162" t="s">
        <v>126</v>
      </c>
      <c r="B52" s="126">
        <v>23.1</v>
      </c>
      <c r="C52" s="77">
        <v>0</v>
      </c>
      <c r="D52" s="15">
        <v>22.8</v>
      </c>
      <c r="E52" s="32">
        <f t="shared" si="18"/>
        <v>-1.2987012987013017E-2</v>
      </c>
      <c r="F52" s="18">
        <f>IF(ISNUMBER(D52), $B64 * E52, "")</f>
        <v>-1298.7012987013018</v>
      </c>
      <c r="G52" s="31">
        <v>22.3</v>
      </c>
      <c r="H52" s="32">
        <f t="shared" si="19"/>
        <v>-3.463203463203466E-2</v>
      </c>
      <c r="I52" s="101">
        <f>IF(ISNUMBER(G52), $B64 * H52, "")</f>
        <v>-3463.2034632034661</v>
      </c>
      <c r="J52" s="15">
        <v>21</v>
      </c>
      <c r="K52" s="32">
        <f t="shared" si="20"/>
        <v>-9.0909090909090967E-2</v>
      </c>
      <c r="L52" s="18">
        <f>IF(ISNUMBER(J52), $B64 * K52, "")</f>
        <v>-9090.9090909090974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263</v>
      </c>
      <c r="B53" s="131">
        <v>21.8</v>
      </c>
      <c r="C53" s="79">
        <v>0</v>
      </c>
      <c r="D53" s="24">
        <v>21.2</v>
      </c>
      <c r="E53" s="25">
        <f t="shared" si="18"/>
        <v>-2.7522935779816578E-2</v>
      </c>
      <c r="F53" s="104">
        <f>IF(ISNUMBER(D53), $B64 * E53, "")</f>
        <v>-2752.2935779816576</v>
      </c>
      <c r="G53" s="102">
        <v>20.7</v>
      </c>
      <c r="H53" s="25">
        <f t="shared" si="19"/>
        <v>-5.045871559633034E-2</v>
      </c>
      <c r="I53" s="103">
        <f>IF(ISNUMBER(G53), $B64 * H53, "")</f>
        <v>-5045.8715596330339</v>
      </c>
      <c r="J53" s="24">
        <v>19.8</v>
      </c>
      <c r="K53" s="25">
        <f t="shared" si="20"/>
        <v>-9.1743119266055037E-2</v>
      </c>
      <c r="L53" s="104">
        <f>IF(ISNUMBER(J53), $B64 * K53, "")</f>
        <v>-9174.3119266055037</v>
      </c>
      <c r="M53" s="102"/>
      <c r="N53" s="25" t="str">
        <f t="shared" si="21"/>
        <v/>
      </c>
      <c r="O53" s="104" t="str">
        <f>IF(ISNUMBER(M53), $B64 * N53, "")</f>
        <v/>
      </c>
      <c r="Q53" s="252"/>
      <c r="R53" s="253"/>
      <c r="S53" s="254"/>
    </row>
    <row r="54" spans="1:19" ht="17.25" customHeight="1">
      <c r="A54" s="161" t="s">
        <v>259</v>
      </c>
      <c r="B54" s="124">
        <v>66.3</v>
      </c>
      <c r="C54" s="76">
        <v>-3.0075188000000001E-3</v>
      </c>
      <c r="D54" s="13">
        <v>65.099999999999994</v>
      </c>
      <c r="E54" s="14">
        <f>IF(ISNUMBER(D54), (D54 - $B54) / $B54, "")</f>
        <v>-1.809954751131226E-2</v>
      </c>
      <c r="F54" s="16">
        <f>IF(ISNUMBER(D54), $B64 * E54, "")</f>
        <v>-1809.954751131226</v>
      </c>
      <c r="G54" s="29">
        <v>63.3</v>
      </c>
      <c r="H54" s="14">
        <f>IF(ISNUMBER(G54), (G54 - $B54) / $B54, "")</f>
        <v>-4.5248868778280542E-2</v>
      </c>
      <c r="I54" s="100">
        <f>IF(ISNUMBER(G54), $B64 * H54, "")</f>
        <v>-4524.8868778280539</v>
      </c>
      <c r="J54" s="13">
        <v>59.6</v>
      </c>
      <c r="K54" s="14">
        <f>IF(ISNUMBER(J54), (J54 - $B54) / $B54, "")</f>
        <v>-0.10105580693815983</v>
      </c>
      <c r="L54" s="16">
        <f>IF(ISNUMBER(J54), $B64 * K54, "")</f>
        <v>-10105.580693815982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5"/>
      <c r="R54" s="256"/>
      <c r="S54" s="257"/>
    </row>
    <row r="55" spans="1:19" ht="17.25" customHeight="1" thickBot="1">
      <c r="A55" s="162" t="s">
        <v>148</v>
      </c>
      <c r="B55" s="126">
        <v>86.4</v>
      </c>
      <c r="C55" s="77">
        <v>-8.0367393999999995E-3</v>
      </c>
      <c r="D55" s="15">
        <v>85.4</v>
      </c>
      <c r="E55" s="32">
        <f t="shared" ref="E55:E58" si="22">IF(ISNUMBER(D55), (D55 - $B55) / $B55, "")</f>
        <v>-1.1574074074074073E-2</v>
      </c>
      <c r="F55" s="18">
        <f>IF(ISNUMBER(D55), $B64 * E55, "")</f>
        <v>-1157.4074074074074</v>
      </c>
      <c r="G55" s="31">
        <v>83.7</v>
      </c>
      <c r="H55" s="32">
        <f t="shared" ref="H55:H58" si="23">IF(ISNUMBER(G55), (G55 - $B55) / $B55, "")</f>
        <v>-3.1250000000000028E-2</v>
      </c>
      <c r="I55" s="101">
        <f>IF(ISNUMBER(G55), $B64 * H55, "")</f>
        <v>-3125.0000000000027</v>
      </c>
      <c r="J55" s="15">
        <v>80.7</v>
      </c>
      <c r="K55" s="32">
        <f t="shared" ref="K55:K58" si="24">IF(ISNUMBER(J55), (J55 - $B55) / $B55, "")</f>
        <v>-6.5972222222222252E-2</v>
      </c>
      <c r="L55" s="18">
        <f>IF(ISNUMBER(J55), $B64 * K55, "")</f>
        <v>-6597.2222222222254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8"/>
      <c r="R55" s="259"/>
      <c r="S55" s="260"/>
    </row>
    <row r="56" spans="1:19" ht="17.25" customHeight="1" thickBot="1">
      <c r="A56" s="162" t="s">
        <v>156</v>
      </c>
      <c r="B56" s="126">
        <v>82</v>
      </c>
      <c r="C56" s="77">
        <v>-8.4643289E-3</v>
      </c>
      <c r="D56" s="15">
        <v>80.7</v>
      </c>
      <c r="E56" s="32">
        <f t="shared" si="22"/>
        <v>-1.5853658536585331E-2</v>
      </c>
      <c r="F56" s="18">
        <f>IF(ISNUMBER(D56), $B64 * E56, "")</f>
        <v>-1585.3658536585331</v>
      </c>
      <c r="G56" s="31">
        <v>79.8</v>
      </c>
      <c r="H56" s="32">
        <f t="shared" si="23"/>
        <v>-2.6829268292682961E-2</v>
      </c>
      <c r="I56" s="101">
        <f>IF(ISNUMBER(G56), $B64 * H56, "")</f>
        <v>-2682.9268292682959</v>
      </c>
      <c r="J56" s="15">
        <v>76.5</v>
      </c>
      <c r="K56" s="32">
        <f t="shared" si="24"/>
        <v>-6.7073170731707321E-2</v>
      </c>
      <c r="L56" s="18">
        <f>IF(ISNUMBER(J56), $B64 * K56, "")</f>
        <v>-6707.3170731707323</v>
      </c>
      <c r="M56" s="31"/>
      <c r="N56" s="32" t="str">
        <f t="shared" si="25"/>
        <v/>
      </c>
      <c r="O56" s="18" t="str">
        <f>IF(ISNUMBER(M56), $B64 * N56, "")</f>
        <v/>
      </c>
      <c r="Q56" s="251"/>
      <c r="R56" s="251"/>
      <c r="S56" s="251"/>
    </row>
    <row r="57" spans="1:19" ht="17.25" customHeight="1" thickBot="1">
      <c r="A57" s="162" t="s">
        <v>65</v>
      </c>
      <c r="B57" s="126">
        <v>29.9</v>
      </c>
      <c r="C57" s="77">
        <v>-9.9337747999999997E-3</v>
      </c>
      <c r="D57" s="15">
        <v>29.1</v>
      </c>
      <c r="E57" s="32">
        <f t="shared" si="22"/>
        <v>-2.675585284280927E-2</v>
      </c>
      <c r="F57" s="18">
        <f>IF(ISNUMBER(D57), $B64 * E57, "")</f>
        <v>-2675.5852842809272</v>
      </c>
      <c r="G57" s="31">
        <v>28.6</v>
      </c>
      <c r="H57" s="32">
        <f t="shared" si="23"/>
        <v>-4.3478260869565126E-2</v>
      </c>
      <c r="I57" s="101">
        <f>IF(ISNUMBER(G57), $B64 * H57, "")</f>
        <v>-4347.8260869565129</v>
      </c>
      <c r="J57" s="15">
        <v>27.2</v>
      </c>
      <c r="K57" s="32">
        <f t="shared" si="24"/>
        <v>-9.0301003344481587E-2</v>
      </c>
      <c r="L57" s="18">
        <f>IF(ISNUMBER(J57), $B64 * K57, "")</f>
        <v>-9030.1003344481578</v>
      </c>
      <c r="M57" s="31"/>
      <c r="N57" s="32" t="str">
        <f t="shared" si="25"/>
        <v/>
      </c>
      <c r="O57" s="18" t="str">
        <f>IF(ISNUMBER(M57), $B64 * N57, "")</f>
        <v/>
      </c>
      <c r="Q57" s="261"/>
      <c r="R57" s="261"/>
      <c r="S57" s="261"/>
    </row>
    <row r="58" spans="1:19" ht="17.25" customHeight="1" thickBot="1">
      <c r="A58" s="163" t="s">
        <v>273</v>
      </c>
      <c r="B58" s="128">
        <v>68.3</v>
      </c>
      <c r="C58" s="78">
        <v>-1.1577423999999999E-2</v>
      </c>
      <c r="D58" s="20">
        <v>66.8</v>
      </c>
      <c r="E58" s="21">
        <f t="shared" si="22"/>
        <v>-2.1961932650073207E-2</v>
      </c>
      <c r="F58" s="22">
        <f>IF(ISNUMBER(D58), $B64 * E58, "")</f>
        <v>-2196.1932650073209</v>
      </c>
      <c r="G58" s="30">
        <v>65.900000000000006</v>
      </c>
      <c r="H58" s="21">
        <f t="shared" si="23"/>
        <v>-3.5139092240117006E-2</v>
      </c>
      <c r="I58" s="105">
        <f>IF(ISNUMBER(G58), $B64 * H58, "")</f>
        <v>-3513.9092240117006</v>
      </c>
      <c r="J58" s="20">
        <v>62</v>
      </c>
      <c r="K58" s="21">
        <f t="shared" si="24"/>
        <v>-9.2240117130307428E-2</v>
      </c>
      <c r="L58" s="22">
        <f>IF(ISNUMBER(J58), $B64 * K58, "")</f>
        <v>-9224.0117130307426</v>
      </c>
      <c r="M58" s="30"/>
      <c r="N58" s="21" t="str">
        <f t="shared" si="25"/>
        <v/>
      </c>
      <c r="O58" s="22" t="str">
        <f>IF(ISNUMBER(M58), $B64 * N58, "")</f>
        <v/>
      </c>
      <c r="Q58" s="261"/>
      <c r="R58" s="261"/>
      <c r="S58" s="261"/>
    </row>
    <row r="59" spans="1:19" ht="17.25" customHeight="1" thickBot="1">
      <c r="A59" s="162" t="s">
        <v>167</v>
      </c>
      <c r="B59" s="129">
        <v>73.599999999999994</v>
      </c>
      <c r="C59" s="80">
        <v>-1.9973368799999999E-2</v>
      </c>
      <c r="D59" s="106">
        <v>70.599999999999994</v>
      </c>
      <c r="E59" s="107">
        <f>IF(ISNUMBER(D59), (D59 - $B59) / $B59, "")</f>
        <v>-4.0760869565217392E-2</v>
      </c>
      <c r="F59" s="108">
        <f>IF(ISNUMBER(D59), $B64 * E59, "")</f>
        <v>-4076.086956521739</v>
      </c>
      <c r="G59" s="109">
        <v>69.2</v>
      </c>
      <c r="H59" s="107">
        <f>IF(ISNUMBER(G59), (G59 - $B59) / $B59, "")</f>
        <v>-5.9782608695652065E-2</v>
      </c>
      <c r="I59" s="110">
        <f>IF(ISNUMBER(G59), $B64 * H59, "")</f>
        <v>-5978.2608695652061</v>
      </c>
      <c r="J59" s="106">
        <v>64.099999999999994</v>
      </c>
      <c r="K59" s="107">
        <f>IF(ISNUMBER(J59), (J59 - $B59) / $B59, "")</f>
        <v>-0.12907608695652176</v>
      </c>
      <c r="L59" s="108">
        <f>IF(ISNUMBER(J59), $B64 * K59, "")</f>
        <v>-12907.608695652176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1"/>
      <c r="R59" s="251"/>
      <c r="S59" s="251"/>
    </row>
    <row r="60" spans="1:19" ht="17.25" customHeight="1" thickBot="1">
      <c r="A60" s="162" t="s">
        <v>277</v>
      </c>
      <c r="B60" s="126">
        <v>53.7</v>
      </c>
      <c r="C60" s="77">
        <v>-2.3636363600000002E-2</v>
      </c>
      <c r="D60" s="15">
        <v>51.3</v>
      </c>
      <c r="E60" s="32">
        <f t="shared" ref="E60:E63" si="26">IF(ISNUMBER(D60), (D60 - $B60) / $B60, "")</f>
        <v>-4.4692737430167703E-2</v>
      </c>
      <c r="F60" s="18">
        <f>IF(ISNUMBER(D60), $B64 * E60, "")</f>
        <v>-4469.2737430167699</v>
      </c>
      <c r="G60" s="31">
        <v>50.3</v>
      </c>
      <c r="H60" s="32">
        <f t="shared" ref="H60:H63" si="27">IF(ISNUMBER(G60), (G60 - $B60) / $B60, "")</f>
        <v>-6.3314711359404197E-2</v>
      </c>
      <c r="I60" s="101">
        <f>IF(ISNUMBER(G60), $B64 * H60, "")</f>
        <v>-6331.47113594042</v>
      </c>
      <c r="J60" s="15">
        <v>48.8</v>
      </c>
      <c r="K60" s="32">
        <f t="shared" ref="K60:K63" si="28">IF(ISNUMBER(J60), (J60 - $B60) / $B60, "")</f>
        <v>-9.1247672253258943E-2</v>
      </c>
      <c r="L60" s="18">
        <f>IF(ISNUMBER(J60), $B64 * K60, "")</f>
        <v>-9124.7672253258952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1"/>
      <c r="R60" s="251"/>
      <c r="S60" s="251"/>
    </row>
    <row r="61" spans="1:19" ht="17.25" customHeight="1" thickBot="1">
      <c r="A61" s="162" t="s">
        <v>225</v>
      </c>
      <c r="B61" s="126">
        <v>7.2</v>
      </c>
      <c r="C61" s="77">
        <v>-2.5710419500000001E-2</v>
      </c>
      <c r="D61" s="15">
        <v>7.27</v>
      </c>
      <c r="E61" s="32">
        <f t="shared" si="26"/>
        <v>9.7222222222221374E-3</v>
      </c>
      <c r="F61" s="18">
        <f>IF(ISNUMBER(D61), $B64 * E61, "")</f>
        <v>972.22222222221376</v>
      </c>
      <c r="G61" s="31">
        <v>7.1</v>
      </c>
      <c r="H61" s="32">
        <f t="shared" si="27"/>
        <v>-1.3888888888888963E-2</v>
      </c>
      <c r="I61" s="101">
        <f>IF(ISNUMBER(G61), $B64 * H61, "")</f>
        <v>-1388.8888888888962</v>
      </c>
      <c r="J61" s="15">
        <v>6.65</v>
      </c>
      <c r="K61" s="32">
        <f t="shared" si="28"/>
        <v>-7.6388888888888867E-2</v>
      </c>
      <c r="L61" s="18">
        <f>IF(ISNUMBER(J61), $B64 * K61, "")</f>
        <v>-7638.8888888888869</v>
      </c>
      <c r="M61" s="31"/>
      <c r="N61" s="32" t="str">
        <f t="shared" si="29"/>
        <v/>
      </c>
      <c r="O61" s="18" t="str">
        <f>IF(ISNUMBER(M61), $B64 * N61, "")</f>
        <v/>
      </c>
      <c r="Q61" s="251"/>
      <c r="R61" s="251"/>
      <c r="S61" s="251"/>
    </row>
    <row r="62" spans="1:19" ht="17.25" customHeight="1">
      <c r="A62" s="162" t="s">
        <v>100</v>
      </c>
      <c r="B62" s="126">
        <v>3.57</v>
      </c>
      <c r="C62" s="77">
        <v>-2.7247956399999999E-2</v>
      </c>
      <c r="D62" s="15">
        <v>3.48</v>
      </c>
      <c r="E62" s="32">
        <f t="shared" si="26"/>
        <v>-2.5210084033613408E-2</v>
      </c>
      <c r="F62" s="18">
        <f>IF(ISNUMBER(D62), $B64 * E62, "")</f>
        <v>-2521.0084033613407</v>
      </c>
      <c r="G62" s="31">
        <v>3.41</v>
      </c>
      <c r="H62" s="32">
        <f t="shared" si="27"/>
        <v>-4.4817927170868264E-2</v>
      </c>
      <c r="I62" s="101">
        <f>IF(ISNUMBER(G62), $B64 * H62, "")</f>
        <v>-4481.7927170868261</v>
      </c>
      <c r="J62" s="15">
        <v>3.23</v>
      </c>
      <c r="K62" s="32">
        <f t="shared" si="28"/>
        <v>-9.5238095238095205E-2</v>
      </c>
      <c r="L62" s="18">
        <f>IF(ISNUMBER(J62), $B64 * K62, "")</f>
        <v>-9523.8095238095211</v>
      </c>
      <c r="M62" s="31"/>
      <c r="N62" s="32" t="str">
        <f t="shared" si="29"/>
        <v/>
      </c>
      <c r="O62" s="18" t="str">
        <f>IF(ISNUMBER(M62), $B64 * N62, "")</f>
        <v/>
      </c>
      <c r="Q62" s="240"/>
      <c r="R62" s="241"/>
      <c r="S62" s="242"/>
    </row>
    <row r="63" spans="1:19" ht="17.25" customHeight="1" thickBot="1">
      <c r="A63" s="130" t="s">
        <v>195</v>
      </c>
      <c r="B63" s="131">
        <v>8.01</v>
      </c>
      <c r="C63" s="79">
        <v>-2.79126214E-2</v>
      </c>
      <c r="D63" s="24">
        <v>7.99</v>
      </c>
      <c r="E63" s="25">
        <f t="shared" si="26"/>
        <v>-2.4968789013732301E-3</v>
      </c>
      <c r="F63" s="104">
        <f>IF(ISNUMBER(D63), $B64 * E63, "")</f>
        <v>-249.687890137323</v>
      </c>
      <c r="G63" s="102">
        <v>7.64</v>
      </c>
      <c r="H63" s="25">
        <f t="shared" si="27"/>
        <v>-4.6192259675405759E-2</v>
      </c>
      <c r="I63" s="103">
        <f>IF(ISNUMBER(G63), $B64 * H63, "")</f>
        <v>-4619.2259675405758</v>
      </c>
      <c r="J63" s="24">
        <v>7.13</v>
      </c>
      <c r="K63" s="25">
        <f t="shared" si="28"/>
        <v>-0.10986267166042446</v>
      </c>
      <c r="L63" s="104">
        <f>IF(ISNUMBER(J63), $B64 * K63, "")</f>
        <v>-10986.267166042446</v>
      </c>
      <c r="M63" s="102"/>
      <c r="N63" s="25" t="str">
        <f t="shared" si="29"/>
        <v/>
      </c>
      <c r="O63" s="104" t="str">
        <f>IF(ISNUMBER(M63), $B64 * N63, "")</f>
        <v/>
      </c>
      <c r="Q63" s="243"/>
      <c r="R63" s="244"/>
      <c r="S63" s="245"/>
    </row>
    <row r="64" spans="1:19" ht="17.25" customHeight="1" thickBot="1">
      <c r="A64" s="132" t="s">
        <v>295</v>
      </c>
      <c r="B64" s="304">
        <f>$B$37</f>
        <v>100000</v>
      </c>
      <c r="C64" s="305"/>
      <c r="D64" s="26" t="s">
        <v>296</v>
      </c>
      <c r="E64" s="27">
        <f>IF(COUNT(E44:E63), SUM(E44:E63) / COUNT(E44:E63), 0)</f>
        <v>-2.1376674221080944E-2</v>
      </c>
      <c r="F64" s="28">
        <f>SUM(F44:F63)</f>
        <v>-42753.34844216187</v>
      </c>
      <c r="G64" s="26" t="s">
        <v>296</v>
      </c>
      <c r="H64" s="27">
        <f>IF(COUNT(H44:H63), SUM(H44:H63) / COUNT(H44:H63), 0)</f>
        <v>-4.1805149131967971E-2</v>
      </c>
      <c r="I64" s="28">
        <f>SUM(I44:I63)</f>
        <v>-83610.298263935925</v>
      </c>
      <c r="J64" s="26" t="s">
        <v>296</v>
      </c>
      <c r="K64" s="27">
        <f>IF(COUNT(K44:K63), SUM(K44:K63) / COUNT(K44:K63), 0)</f>
        <v>-8.9045114922445878E-2</v>
      </c>
      <c r="L64" s="28">
        <f>SUM(L44:L63)</f>
        <v>-178090.22984489176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46"/>
      <c r="R64" s="247"/>
      <c r="S64" s="248"/>
    </row>
    <row r="65" spans="1:19" ht="17.25" customHeight="1"/>
    <row r="66" spans="1:19" ht="17.25" customHeight="1" thickBot="1"/>
    <row r="67" spans="1:19" ht="17.25" thickBot="1">
      <c r="A67" s="262" t="s">
        <v>45</v>
      </c>
      <c r="B67" s="263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4"/>
      <c r="Q67" s="261"/>
      <c r="R67" s="261"/>
      <c r="S67" s="261"/>
    </row>
    <row r="68" spans="1:19" ht="17.25" thickBot="1">
      <c r="A68" s="236" t="s">
        <v>292</v>
      </c>
      <c r="B68" s="262" t="s">
        <v>49</v>
      </c>
      <c r="C68" s="264"/>
      <c r="D68" s="262" t="s">
        <v>58</v>
      </c>
      <c r="E68" s="263"/>
      <c r="F68" s="264"/>
      <c r="G68" s="265">
        <f>_xlfn.IFNA(VLOOKUP(B68, 현재가테이블!$B$2:$D$200, 2, FALSE), "-")</f>
        <v>40538000</v>
      </c>
      <c r="H68" s="266"/>
      <c r="I68" s="267"/>
      <c r="J68" s="262" t="s">
        <v>59</v>
      </c>
      <c r="K68" s="263"/>
      <c r="L68" s="264"/>
      <c r="M68" s="268">
        <f>_xlfn.IFNA(VLOOKUP(B68, 현재가테이블!$B$2:$D$200, 3, FALSE), "-")</f>
        <v>-3.68275993E-2</v>
      </c>
      <c r="N68" s="269"/>
      <c r="O68" s="270"/>
      <c r="Q68" s="261"/>
      <c r="R68" s="261"/>
      <c r="S68" s="261"/>
    </row>
    <row r="69" spans="1:19" ht="17.25" thickBot="1">
      <c r="A69" s="306" t="s">
        <v>55</v>
      </c>
      <c r="B69" s="302" t="str">
        <f>TEXT($G$1, "[$-ko-KR]yyyy-mm-dd(ddd) ") &amp; "오전 00:00"</f>
        <v>2021-06-20(일) 오전 00:00</v>
      </c>
      <c r="C69" s="303"/>
      <c r="D69" s="275" t="str">
        <f>TEXT($G$1, "[$-ko-KR]yyyy-mm-dd(ddd) ") &amp; "오후 14:00"</f>
        <v>2021-06-20(일) 오후 14:00</v>
      </c>
      <c r="E69" s="276"/>
      <c r="F69" s="277"/>
      <c r="G69" s="275" t="str">
        <f>TEXT($G$1, "[$-ko-KR]yyyy-mm-dd(ddd) ") &amp; "오후 19:00"</f>
        <v>2021-06-20(일) 오후 19:00</v>
      </c>
      <c r="H69" s="276"/>
      <c r="I69" s="277"/>
      <c r="J69" s="275" t="str">
        <f>TEXT($G$1, "[$-ko-KR]yyyy-mm-dd(ddd) ") &amp; "오후 21:00"</f>
        <v>2021-06-20(일) 오후 21:00</v>
      </c>
      <c r="K69" s="276"/>
      <c r="L69" s="277"/>
      <c r="M69" s="275" t="str">
        <f>TEXT($G$1+1, "[$-ko-KR]yyyy-mm-dd(ddd) ") &amp; "오전 00:00"</f>
        <v>2021-06-21(월) 오전 00:00</v>
      </c>
      <c r="N69" s="276"/>
      <c r="O69" s="277"/>
      <c r="Q69" s="261"/>
      <c r="R69" s="261"/>
      <c r="S69" s="261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7" t="s">
        <v>58</v>
      </c>
      <c r="H70" s="238" t="s">
        <v>293</v>
      </c>
      <c r="I70" s="23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1"/>
      <c r="R70" s="251"/>
      <c r="S70" s="251"/>
    </row>
    <row r="71" spans="1:19" ht="17.25" thickBot="1">
      <c r="A71" s="161" t="s">
        <v>231</v>
      </c>
      <c r="B71" s="124">
        <v>257</v>
      </c>
      <c r="C71" s="76">
        <v>0.33160621759999998</v>
      </c>
      <c r="D71" s="13">
        <v>314</v>
      </c>
      <c r="E71" s="14">
        <f>IF(ISNUMBER(D71), (D71 - $B71) / $B71, "")</f>
        <v>0.22178988326848248</v>
      </c>
      <c r="F71" s="16">
        <f>IF(ISNUMBER(D71), $B91 * E71, "")</f>
        <v>22178.988326848248</v>
      </c>
      <c r="G71" s="29">
        <v>284</v>
      </c>
      <c r="H71" s="14">
        <f>IF(ISNUMBER(G71), (G71 - $B71) / $B71, "")</f>
        <v>0.10505836575875487</v>
      </c>
      <c r="I71" s="100">
        <f>IF(ISNUMBER(G71), $B91 * H71, "")</f>
        <v>10505.836575875486</v>
      </c>
      <c r="J71" s="13">
        <v>293</v>
      </c>
      <c r="K71" s="14">
        <f>IF(ISNUMBER(J71), (J71 - $B71) / $B71, "")</f>
        <v>0.14007782101167315</v>
      </c>
      <c r="L71" s="16">
        <f>IF(ISNUMBER(J71), $B91 * K71, "")</f>
        <v>14007.782101167315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1"/>
      <c r="R71" s="261"/>
      <c r="S71" s="261"/>
    </row>
    <row r="72" spans="1:19" ht="17.25" thickBot="1">
      <c r="A72" s="162" t="s">
        <v>82</v>
      </c>
      <c r="B72" s="126">
        <v>739</v>
      </c>
      <c r="C72" s="77">
        <v>7.1014492799999995E-2</v>
      </c>
      <c r="D72" s="15">
        <v>744</v>
      </c>
      <c r="E72" s="32">
        <f t="shared" ref="E72:E75" si="30">IF(ISNUMBER(D72), (D72 - $B72) / $B72, "")</f>
        <v>6.7658998646820028E-3</v>
      </c>
      <c r="F72" s="18">
        <f>IF(ISNUMBER(D72), $B91 * E72, "")</f>
        <v>676.58998646820032</v>
      </c>
      <c r="G72" s="31">
        <v>719</v>
      </c>
      <c r="H72" s="32">
        <f t="shared" ref="H72:H75" si="31">IF(ISNUMBER(G72), (G72 - $B72) / $B72, "")</f>
        <v>-2.7063599458728011E-2</v>
      </c>
      <c r="I72" s="101">
        <f>IF(ISNUMBER(G72), $B91 * H72, "")</f>
        <v>-2706.3599458728013</v>
      </c>
      <c r="J72" s="15">
        <v>708</v>
      </c>
      <c r="K72" s="32">
        <f t="shared" ref="K72:K75" si="32">IF(ISNUMBER(J72), (J72 - $B72) / $B72, "")</f>
        <v>-4.1948579161028419E-2</v>
      </c>
      <c r="L72" s="18">
        <f>IF(ISNUMBER(J72), $B91 * K72, "")</f>
        <v>-4194.857916102842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1"/>
      <c r="R72" s="261"/>
      <c r="S72" s="261"/>
    </row>
    <row r="73" spans="1:19" ht="17.25" thickBot="1">
      <c r="A73" s="162" t="s">
        <v>142</v>
      </c>
      <c r="B73" s="126">
        <v>713</v>
      </c>
      <c r="C73" s="77">
        <v>4.8529411799999998E-2</v>
      </c>
      <c r="D73" s="15">
        <v>681</v>
      </c>
      <c r="E73" s="32">
        <f t="shared" si="30"/>
        <v>-4.4880785413744739E-2</v>
      </c>
      <c r="F73" s="18">
        <f>IF(ISNUMBER(D73), $B91 * E73, "")</f>
        <v>-4488.0785413744743</v>
      </c>
      <c r="G73" s="31">
        <v>667</v>
      </c>
      <c r="H73" s="32">
        <f t="shared" si="31"/>
        <v>-6.4516129032258063E-2</v>
      </c>
      <c r="I73" s="101">
        <f>IF(ISNUMBER(G73), $B91 * H73, "")</f>
        <v>-6451.6129032258059</v>
      </c>
      <c r="J73" s="15">
        <v>659</v>
      </c>
      <c r="K73" s="32">
        <f t="shared" si="32"/>
        <v>-7.5736325385694248E-2</v>
      </c>
      <c r="L73" s="18">
        <f>IF(ISNUMBER(J73), $B91 * K73, "")</f>
        <v>-7573.6325385694245</v>
      </c>
      <c r="M73" s="31"/>
      <c r="N73" s="32" t="str">
        <f t="shared" si="33"/>
        <v/>
      </c>
      <c r="O73" s="18" t="str">
        <f>IF(ISNUMBER(M73), $B91 * N73, "")</f>
        <v/>
      </c>
      <c r="Q73" s="251"/>
      <c r="R73" s="251"/>
      <c r="S73" s="251"/>
    </row>
    <row r="74" spans="1:19" ht="17.25" thickBot="1">
      <c r="A74" s="162" t="s">
        <v>120</v>
      </c>
      <c r="B74" s="126">
        <v>130</v>
      </c>
      <c r="C74" s="77">
        <v>0.04</v>
      </c>
      <c r="D74" s="15">
        <v>127</v>
      </c>
      <c r="E74" s="32">
        <f t="shared" si="30"/>
        <v>-2.3076923076923078E-2</v>
      </c>
      <c r="F74" s="18">
        <f>IF(ISNUMBER(D74), $B91 * E74, "")</f>
        <v>-2307.6923076923076</v>
      </c>
      <c r="G74" s="31">
        <v>125</v>
      </c>
      <c r="H74" s="32">
        <f t="shared" si="31"/>
        <v>-3.8461538461538464E-2</v>
      </c>
      <c r="I74" s="101">
        <f>IF(ISNUMBER(G74), $B91 * H74, "")</f>
        <v>-3846.1538461538462</v>
      </c>
      <c r="J74" s="15">
        <v>120</v>
      </c>
      <c r="K74" s="32">
        <f t="shared" si="32"/>
        <v>-7.6923076923076927E-2</v>
      </c>
      <c r="L74" s="18">
        <f>IF(ISNUMBER(J74), $B91 * K74, "")</f>
        <v>-7692.3076923076924</v>
      </c>
      <c r="M74" s="31"/>
      <c r="N74" s="32" t="str">
        <f t="shared" si="33"/>
        <v/>
      </c>
      <c r="O74" s="18" t="str">
        <f>IF(ISNUMBER(M74), $B91 * N74, "")</f>
        <v/>
      </c>
      <c r="Q74" s="251"/>
      <c r="R74" s="251"/>
      <c r="S74" s="251"/>
    </row>
    <row r="75" spans="1:19" ht="17.25" thickBot="1">
      <c r="A75" s="163" t="s">
        <v>112</v>
      </c>
      <c r="B75" s="128">
        <v>116</v>
      </c>
      <c r="C75" s="78">
        <v>2.65486726E-2</v>
      </c>
      <c r="D75" s="20">
        <v>110</v>
      </c>
      <c r="E75" s="21">
        <f t="shared" si="30"/>
        <v>-5.1724137931034482E-2</v>
      </c>
      <c r="F75" s="22">
        <f>IF(ISNUMBER(D75), $B91 * E75, "")</f>
        <v>-5172.4137931034484</v>
      </c>
      <c r="G75" s="30">
        <v>107</v>
      </c>
      <c r="H75" s="21">
        <f t="shared" si="31"/>
        <v>-7.7586206896551727E-2</v>
      </c>
      <c r="I75" s="105">
        <f>IF(ISNUMBER(G75), $B91 * H75, "")</f>
        <v>-7758.620689655173</v>
      </c>
      <c r="J75" s="20">
        <v>98.8</v>
      </c>
      <c r="K75" s="21">
        <f t="shared" si="32"/>
        <v>-0.14827586206896554</v>
      </c>
      <c r="L75" s="22">
        <f>IF(ISNUMBER(J75), $B91 * K75, "")</f>
        <v>-14827.586206896554</v>
      </c>
      <c r="M75" s="30"/>
      <c r="N75" s="21" t="str">
        <f t="shared" si="33"/>
        <v/>
      </c>
      <c r="O75" s="22" t="str">
        <f>IF(ISNUMBER(M75), $B91 * N75, "")</f>
        <v/>
      </c>
      <c r="Q75" s="251"/>
      <c r="R75" s="251"/>
      <c r="S75" s="251"/>
    </row>
    <row r="76" spans="1:19" ht="17.25" thickBot="1">
      <c r="A76" s="162" t="s">
        <v>80</v>
      </c>
      <c r="B76" s="129">
        <v>731</v>
      </c>
      <c r="C76" s="80">
        <v>1.10650069E-2</v>
      </c>
      <c r="D76" s="106">
        <v>710</v>
      </c>
      <c r="E76" s="107">
        <f>IF(ISNUMBER(D76), (D76 - $B76) / $B76, "")</f>
        <v>-2.8727770177838577E-2</v>
      </c>
      <c r="F76" s="108">
        <f>IF(ISNUMBER(D76), $B91 * E76, "")</f>
        <v>-2872.7770177838579</v>
      </c>
      <c r="G76" s="109">
        <v>696</v>
      </c>
      <c r="H76" s="107">
        <f>IF(ISNUMBER(G76), (G76 - $B76) / $B76, "")</f>
        <v>-4.7879616963064295E-2</v>
      </c>
      <c r="I76" s="110">
        <f>IF(ISNUMBER(G76), $B91 * H76, "")</f>
        <v>-4787.9616963064291</v>
      </c>
      <c r="J76" s="106">
        <v>677</v>
      </c>
      <c r="K76" s="107">
        <f>IF(ISNUMBER(J76), (J76 - $B76) / $B76, "")</f>
        <v>-7.3871409028727769E-2</v>
      </c>
      <c r="L76" s="108">
        <f>IF(ISNUMBER(J76), $B91 * K76, "")</f>
        <v>-7387.1409028727767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1"/>
      <c r="R76" s="251"/>
      <c r="S76" s="251"/>
    </row>
    <row r="77" spans="1:19" ht="17.25" thickBot="1">
      <c r="A77" s="162" t="s">
        <v>88</v>
      </c>
      <c r="B77" s="126">
        <v>348</v>
      </c>
      <c r="C77" s="77">
        <v>8.6956522000000008E-3</v>
      </c>
      <c r="D77" s="15">
        <v>348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344</v>
      </c>
      <c r="H77" s="32">
        <f t="shared" ref="H77:H80" si="35">IF(ISNUMBER(G77), (G77 - $B77) / $B77, "")</f>
        <v>-1.1494252873563218E-2</v>
      </c>
      <c r="I77" s="101">
        <f>IF(ISNUMBER(G77), $B91 * H77, "")</f>
        <v>-1149.4252873563219</v>
      </c>
      <c r="J77" s="15">
        <v>328</v>
      </c>
      <c r="K77" s="32">
        <f t="shared" ref="K77:K80" si="36">IF(ISNUMBER(J77), (J77 - $B77) / $B77, "")</f>
        <v>-5.7471264367816091E-2</v>
      </c>
      <c r="L77" s="18">
        <f>IF(ISNUMBER(J77), $B91 * K77, "")</f>
        <v>-5747.1264367816093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1"/>
      <c r="R77" s="251"/>
      <c r="S77" s="251"/>
    </row>
    <row r="78" spans="1:19" ht="17.25" thickBot="1">
      <c r="A78" s="162" t="s">
        <v>132</v>
      </c>
      <c r="B78" s="126">
        <v>119</v>
      </c>
      <c r="C78" s="77">
        <v>8.4745762999999998E-3</v>
      </c>
      <c r="D78" s="15">
        <v>115</v>
      </c>
      <c r="E78" s="32">
        <f t="shared" si="34"/>
        <v>-3.3613445378151259E-2</v>
      </c>
      <c r="F78" s="18">
        <f>IF(ISNUMBER(D78), $B91 * E78, "")</f>
        <v>-3361.3445378151259</v>
      </c>
      <c r="G78" s="31">
        <v>113</v>
      </c>
      <c r="H78" s="32">
        <f t="shared" si="35"/>
        <v>-5.0420168067226892E-2</v>
      </c>
      <c r="I78" s="101">
        <f>IF(ISNUMBER(G78), $B91 * H78, "")</f>
        <v>-5042.0168067226896</v>
      </c>
      <c r="J78" s="15">
        <v>108</v>
      </c>
      <c r="K78" s="32">
        <f t="shared" si="36"/>
        <v>-9.2436974789915971E-2</v>
      </c>
      <c r="L78" s="18">
        <f>IF(ISNUMBER(J78), $B91 * K78, "")</f>
        <v>-9243.6974789915967</v>
      </c>
      <c r="M78" s="31"/>
      <c r="N78" s="32" t="str">
        <f t="shared" si="37"/>
        <v/>
      </c>
      <c r="O78" s="18" t="str">
        <f>IF(ISNUMBER(M78), $B91 * N78, "")</f>
        <v/>
      </c>
      <c r="Q78" s="251"/>
      <c r="R78" s="251"/>
      <c r="S78" s="251"/>
    </row>
    <row r="79" spans="1:19" ht="17.25" thickBot="1">
      <c r="A79" s="162" t="s">
        <v>51</v>
      </c>
      <c r="B79" s="126">
        <v>354</v>
      </c>
      <c r="C79" s="77">
        <v>2.8328612E-3</v>
      </c>
      <c r="D79" s="15">
        <v>347</v>
      </c>
      <c r="E79" s="32">
        <f t="shared" si="34"/>
        <v>-1.977401129943503E-2</v>
      </c>
      <c r="F79" s="18">
        <f>IF(ISNUMBER(D79), $B91 * E79, "")</f>
        <v>-1977.4011299435031</v>
      </c>
      <c r="G79" s="31">
        <v>337</v>
      </c>
      <c r="H79" s="32">
        <f t="shared" si="35"/>
        <v>-4.8022598870056499E-2</v>
      </c>
      <c r="I79" s="101">
        <f>IF(ISNUMBER(G79), $B91 * H79, "")</f>
        <v>-4802.2598870056499</v>
      </c>
      <c r="J79" s="15">
        <v>326</v>
      </c>
      <c r="K79" s="32">
        <f t="shared" si="36"/>
        <v>-7.909604519774012E-2</v>
      </c>
      <c r="L79" s="18">
        <f>IF(ISNUMBER(J79), $B91 * K79, "")</f>
        <v>-7909.6045197740123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106</v>
      </c>
      <c r="B80" s="131">
        <v>967</v>
      </c>
      <c r="C80" s="79">
        <v>-1.0330579000000001E-3</v>
      </c>
      <c r="D80" s="24">
        <v>930</v>
      </c>
      <c r="E80" s="25">
        <f t="shared" si="34"/>
        <v>-3.8262668045501554E-2</v>
      </c>
      <c r="F80" s="104">
        <f>IF(ISNUMBER(D80), $B91 * E80, "")</f>
        <v>-3826.2668045501555</v>
      </c>
      <c r="G80" s="102">
        <v>908</v>
      </c>
      <c r="H80" s="25">
        <f t="shared" si="35"/>
        <v>-6.1013443640124093E-2</v>
      </c>
      <c r="I80" s="103">
        <f>IF(ISNUMBER(G80), $B91 * H80, "")</f>
        <v>-6101.3443640124096</v>
      </c>
      <c r="J80" s="24">
        <v>875</v>
      </c>
      <c r="K80" s="25">
        <f t="shared" si="36"/>
        <v>-9.5139607032057913E-2</v>
      </c>
      <c r="L80" s="104">
        <f>IF(ISNUMBER(J80), $B91 * K80, "")</f>
        <v>-9513.960703205792</v>
      </c>
      <c r="M80" s="102"/>
      <c r="N80" s="25" t="str">
        <f t="shared" si="37"/>
        <v/>
      </c>
      <c r="O80" s="104" t="str">
        <f>IF(ISNUMBER(M80), $B91 * N80, "")</f>
        <v/>
      </c>
      <c r="Q80" s="252"/>
      <c r="R80" s="253"/>
      <c r="S80" s="254"/>
    </row>
    <row r="81" spans="1:19">
      <c r="A81" s="161" t="s">
        <v>61</v>
      </c>
      <c r="B81" s="124">
        <v>764</v>
      </c>
      <c r="C81" s="76">
        <v>-3.9113428999999998E-3</v>
      </c>
      <c r="D81" s="13">
        <v>745</v>
      </c>
      <c r="E81" s="14">
        <f>IF(ISNUMBER(D81), (D81 - $B81) / $B81, "")</f>
        <v>-2.4869109947643978E-2</v>
      </c>
      <c r="F81" s="16">
        <f>IF(ISNUMBER(D81), $B91 * E81, "")</f>
        <v>-2486.9109947643979</v>
      </c>
      <c r="G81" s="29">
        <v>735</v>
      </c>
      <c r="H81" s="14">
        <f>IF(ISNUMBER(G81), (G81 - $B81) / $B81, "")</f>
        <v>-3.7958115183246072E-2</v>
      </c>
      <c r="I81" s="100">
        <f>IF(ISNUMBER(G81), $B91 * H81, "")</f>
        <v>-3795.8115183246073</v>
      </c>
      <c r="J81" s="13">
        <v>705</v>
      </c>
      <c r="K81" s="14">
        <f>IF(ISNUMBER(J81), (J81 - $B81) / $B81, "")</f>
        <v>-7.7225130890052354E-2</v>
      </c>
      <c r="L81" s="16">
        <f>IF(ISNUMBER(J81), $B91 * K81, "")</f>
        <v>-7722.5130890052351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5"/>
      <c r="R81" s="256"/>
      <c r="S81" s="257"/>
    </row>
    <row r="82" spans="1:19" ht="17.25" thickBot="1">
      <c r="A82" s="162" t="s">
        <v>265</v>
      </c>
      <c r="B82" s="126">
        <v>310</v>
      </c>
      <c r="C82" s="77">
        <v>-6.4102563999999997E-3</v>
      </c>
      <c r="D82" s="15">
        <v>306</v>
      </c>
      <c r="E82" s="32">
        <f t="shared" ref="E82:E85" si="38">IF(ISNUMBER(D82), (D82 - $B82) / $B82, "")</f>
        <v>-1.2903225806451613E-2</v>
      </c>
      <c r="F82" s="18">
        <f>IF(ISNUMBER(D82), $B91 * E82, "")</f>
        <v>-1290.3225806451612</v>
      </c>
      <c r="G82" s="31">
        <v>302</v>
      </c>
      <c r="H82" s="32">
        <f t="shared" ref="H82:H85" si="39">IF(ISNUMBER(G82), (G82 - $B82) / $B82, "")</f>
        <v>-2.5806451612903226E-2</v>
      </c>
      <c r="I82" s="101">
        <f>IF(ISNUMBER(G82), $B91 * H82, "")</f>
        <v>-2580.6451612903224</v>
      </c>
      <c r="J82" s="15">
        <v>296</v>
      </c>
      <c r="K82" s="32">
        <f t="shared" ref="K82:K85" si="40">IF(ISNUMBER(J82), (J82 - $B82) / $B82, "")</f>
        <v>-4.5161290322580643E-2</v>
      </c>
      <c r="L82" s="18">
        <f>IF(ISNUMBER(J82), $B91 * K82, "")</f>
        <v>-4516.1290322580644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8"/>
      <c r="R82" s="259"/>
      <c r="S82" s="260"/>
    </row>
    <row r="83" spans="1:19" ht="17.25" thickBot="1">
      <c r="A83" s="162" t="s">
        <v>136</v>
      </c>
      <c r="B83" s="126">
        <v>122</v>
      </c>
      <c r="C83" s="77">
        <v>-8.1300812999999996E-3</v>
      </c>
      <c r="D83" s="15">
        <v>121</v>
      </c>
      <c r="E83" s="32">
        <f t="shared" si="38"/>
        <v>-8.1967213114754103E-3</v>
      </c>
      <c r="F83" s="18">
        <f>IF(ISNUMBER(D83), $B91 * E83, "")</f>
        <v>-819.67213114754099</v>
      </c>
      <c r="G83" s="31">
        <v>120</v>
      </c>
      <c r="H83" s="32">
        <f t="shared" si="39"/>
        <v>-1.6393442622950821E-2</v>
      </c>
      <c r="I83" s="101">
        <f>IF(ISNUMBER(G83), $B91 * H83, "")</f>
        <v>-1639.344262295082</v>
      </c>
      <c r="J83" s="15">
        <v>118</v>
      </c>
      <c r="K83" s="32">
        <f t="shared" si="40"/>
        <v>-3.2786885245901641E-2</v>
      </c>
      <c r="L83" s="18">
        <f>IF(ISNUMBER(J83), $B91 * K83, "")</f>
        <v>-3278.688524590164</v>
      </c>
      <c r="M83" s="31"/>
      <c r="N83" s="32" t="str">
        <f t="shared" si="41"/>
        <v/>
      </c>
      <c r="O83" s="18" t="str">
        <f>IF(ISNUMBER(M83), $B91 * N83, "")</f>
        <v/>
      </c>
      <c r="Q83" s="251"/>
      <c r="R83" s="251"/>
      <c r="S83" s="251"/>
    </row>
    <row r="84" spans="1:19" ht="17.25" thickBot="1">
      <c r="A84" s="162" t="s">
        <v>291</v>
      </c>
      <c r="B84" s="126">
        <v>345</v>
      </c>
      <c r="C84" s="77">
        <v>-8.6206896999999998E-3</v>
      </c>
      <c r="D84" s="15">
        <v>336</v>
      </c>
      <c r="E84" s="32">
        <f t="shared" si="38"/>
        <v>-2.6086956521739129E-2</v>
      </c>
      <c r="F84" s="18">
        <f>IF(ISNUMBER(D84), $B91 * E84, "")</f>
        <v>-2608.695652173913</v>
      </c>
      <c r="G84" s="31">
        <v>332</v>
      </c>
      <c r="H84" s="32">
        <f t="shared" si="39"/>
        <v>-3.7681159420289857E-2</v>
      </c>
      <c r="I84" s="101">
        <f>IF(ISNUMBER(G84), $B91 * H84, "")</f>
        <v>-3768.1159420289855</v>
      </c>
      <c r="J84" s="15">
        <v>314</v>
      </c>
      <c r="K84" s="32">
        <f t="shared" si="40"/>
        <v>-8.9855072463768115E-2</v>
      </c>
      <c r="L84" s="18">
        <f>IF(ISNUMBER(J84), $B91 * K84, "")</f>
        <v>-8985.507246376812</v>
      </c>
      <c r="M84" s="31"/>
      <c r="N84" s="32" t="str">
        <f t="shared" si="41"/>
        <v/>
      </c>
      <c r="O84" s="18" t="str">
        <f>IF(ISNUMBER(M84), $B91 * N84, "")</f>
        <v/>
      </c>
      <c r="Q84" s="261"/>
      <c r="R84" s="261"/>
      <c r="S84" s="261"/>
    </row>
    <row r="85" spans="1:19" ht="17.25" thickBot="1">
      <c r="A85" s="163" t="s">
        <v>173</v>
      </c>
      <c r="B85" s="128">
        <v>105</v>
      </c>
      <c r="C85" s="78">
        <v>-9.4339622999999994E-3</v>
      </c>
      <c r="D85" s="20">
        <v>103</v>
      </c>
      <c r="E85" s="21">
        <f t="shared" si="38"/>
        <v>-1.9047619047619049E-2</v>
      </c>
      <c r="F85" s="22">
        <f>IF(ISNUMBER(D85), $B91 * E85, "")</f>
        <v>-1904.761904761905</v>
      </c>
      <c r="G85" s="30">
        <v>101</v>
      </c>
      <c r="H85" s="21">
        <f t="shared" si="39"/>
        <v>-3.8095238095238099E-2</v>
      </c>
      <c r="I85" s="105">
        <f>IF(ISNUMBER(G85), $B91 * H85, "")</f>
        <v>-3809.5238095238101</v>
      </c>
      <c r="J85" s="20">
        <v>92.3</v>
      </c>
      <c r="K85" s="21">
        <f t="shared" si="40"/>
        <v>-0.12095238095238098</v>
      </c>
      <c r="L85" s="22">
        <f>IF(ISNUMBER(J85), $B91 * K85, "")</f>
        <v>-12095.238095238097</v>
      </c>
      <c r="M85" s="30"/>
      <c r="N85" s="21" t="str">
        <f t="shared" si="41"/>
        <v/>
      </c>
      <c r="O85" s="22" t="str">
        <f>IF(ISNUMBER(M85), $B91 * N85, "")</f>
        <v/>
      </c>
      <c r="Q85" s="261"/>
      <c r="R85" s="261"/>
      <c r="S85" s="261"/>
    </row>
    <row r="86" spans="1:19" ht="17.25" thickBot="1">
      <c r="A86" s="162" t="s">
        <v>175</v>
      </c>
      <c r="B86" s="129">
        <v>978</v>
      </c>
      <c r="C86" s="80">
        <v>-1.01214575E-2</v>
      </c>
      <c r="D86" s="106">
        <v>979</v>
      </c>
      <c r="E86" s="107">
        <f>IF(ISNUMBER(D86), (D86 - $B86) / $B86, "")</f>
        <v>1.0224948875255625E-3</v>
      </c>
      <c r="F86" s="108">
        <f>IF(ISNUMBER(D86), $B91 * E86, "")</f>
        <v>102.24948875255625</v>
      </c>
      <c r="G86" s="109">
        <v>959</v>
      </c>
      <c r="H86" s="107">
        <f>IF(ISNUMBER(G86), (G86 - $B86) / $B86, "")</f>
        <v>-1.9427402862985686E-2</v>
      </c>
      <c r="I86" s="110">
        <f>IF(ISNUMBER(G86), $B91 * H86, "")</f>
        <v>-1942.7402862985687</v>
      </c>
      <c r="J86" s="106">
        <v>903</v>
      </c>
      <c r="K86" s="107">
        <f>IF(ISNUMBER(J86), (J86 - $B86) / $B86, "")</f>
        <v>-7.6687116564417179E-2</v>
      </c>
      <c r="L86" s="108">
        <f>IF(ISNUMBER(J86), $B91 * K86, "")</f>
        <v>-7668.7116564417183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1"/>
      <c r="R86" s="251"/>
      <c r="S86" s="251"/>
    </row>
    <row r="87" spans="1:19" ht="17.25" thickBot="1">
      <c r="A87" s="162" t="s">
        <v>92</v>
      </c>
      <c r="B87" s="126">
        <v>935</v>
      </c>
      <c r="C87" s="77">
        <v>-1.05820106E-2</v>
      </c>
      <c r="D87" s="15">
        <v>892</v>
      </c>
      <c r="E87" s="32">
        <f t="shared" ref="E87:E90" si="42">IF(ISNUMBER(D87), (D87 - $B87) / $B87, "")</f>
        <v>-4.5989304812834225E-2</v>
      </c>
      <c r="F87" s="18">
        <f>IF(ISNUMBER(D87), $B91 * E87, "")</f>
        <v>-4598.9304812834225</v>
      </c>
      <c r="G87" s="31">
        <v>882</v>
      </c>
      <c r="H87" s="32">
        <f t="shared" ref="H87:H90" si="43">IF(ISNUMBER(G87), (G87 - $B87) / $B87, "")</f>
        <v>-5.6684491978609627E-2</v>
      </c>
      <c r="I87" s="101">
        <f>IF(ISNUMBER(G87), $B91 * H87, "")</f>
        <v>-5668.4491978609631</v>
      </c>
      <c r="J87" s="15">
        <v>847</v>
      </c>
      <c r="K87" s="32">
        <f t="shared" ref="K87:K90" si="44">IF(ISNUMBER(J87), (J87 - $B87) / $B87, "")</f>
        <v>-9.4117647058823528E-2</v>
      </c>
      <c r="L87" s="18">
        <f>IF(ISNUMBER(J87), $B91 * K87, "")</f>
        <v>-9411.7647058823532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1"/>
      <c r="R87" s="251"/>
      <c r="S87" s="251"/>
    </row>
    <row r="88" spans="1:19" ht="17.25" thickBot="1">
      <c r="A88" s="162" t="s">
        <v>57</v>
      </c>
      <c r="B88" s="126">
        <v>177</v>
      </c>
      <c r="C88" s="77">
        <v>-1.6666666699999999E-2</v>
      </c>
      <c r="D88" s="15">
        <v>172</v>
      </c>
      <c r="E88" s="32">
        <f t="shared" si="42"/>
        <v>-2.8248587570621469E-2</v>
      </c>
      <c r="F88" s="18">
        <f>IF(ISNUMBER(D88), $B91 * E88, "")</f>
        <v>-2824.8587570621471</v>
      </c>
      <c r="G88" s="31">
        <v>169</v>
      </c>
      <c r="H88" s="32">
        <f t="shared" si="43"/>
        <v>-4.519774011299435E-2</v>
      </c>
      <c r="I88" s="101">
        <f>IF(ISNUMBER(G88), $B91 * H88, "")</f>
        <v>-4519.7740112994352</v>
      </c>
      <c r="J88" s="15">
        <v>162</v>
      </c>
      <c r="K88" s="32">
        <f t="shared" si="44"/>
        <v>-8.4745762711864403E-2</v>
      </c>
      <c r="L88" s="18">
        <f>IF(ISNUMBER(J88), $B91 * K88, "")</f>
        <v>-8474.5762711864409</v>
      </c>
      <c r="M88" s="31"/>
      <c r="N88" s="32" t="str">
        <f t="shared" si="45"/>
        <v/>
      </c>
      <c r="O88" s="18" t="str">
        <f>IF(ISNUMBER(M88), $B91 * N88, "")</f>
        <v/>
      </c>
      <c r="Q88" s="251"/>
      <c r="R88" s="251"/>
      <c r="S88" s="251"/>
    </row>
    <row r="89" spans="1:19">
      <c r="A89" s="162" t="s">
        <v>165</v>
      </c>
      <c r="B89" s="126">
        <v>970</v>
      </c>
      <c r="C89" s="77">
        <v>-2.02020202E-2</v>
      </c>
      <c r="D89" s="15">
        <v>1010</v>
      </c>
      <c r="E89" s="32">
        <f t="shared" si="42"/>
        <v>4.1237113402061855E-2</v>
      </c>
      <c r="F89" s="18">
        <f>IF(ISNUMBER(D89), $B91 * E89, "")</f>
        <v>4123.7113402061859</v>
      </c>
      <c r="G89" s="31">
        <v>996</v>
      </c>
      <c r="H89" s="32">
        <f t="shared" si="43"/>
        <v>2.6804123711340205E-2</v>
      </c>
      <c r="I89" s="101">
        <f>IF(ISNUMBER(G89), $B91 * H89, "")</f>
        <v>2680.4123711340203</v>
      </c>
      <c r="J89" s="15">
        <v>945</v>
      </c>
      <c r="K89" s="32">
        <f t="shared" si="44"/>
        <v>-2.5773195876288658E-2</v>
      </c>
      <c r="L89" s="18">
        <f>IF(ISNUMBER(J89), $B91 * K89, "")</f>
        <v>-2577.319587628866</v>
      </c>
      <c r="M89" s="31"/>
      <c r="N89" s="32" t="str">
        <f t="shared" si="45"/>
        <v/>
      </c>
      <c r="O89" s="18" t="str">
        <f>IF(ISNUMBER(M89), $B91 * N89, "")</f>
        <v/>
      </c>
      <c r="Q89" s="240"/>
      <c r="R89" s="241"/>
      <c r="S89" s="242"/>
    </row>
    <row r="90" spans="1:19" ht="17.25" thickBot="1">
      <c r="A90" s="130" t="s">
        <v>169</v>
      </c>
      <c r="B90" s="131">
        <v>227</v>
      </c>
      <c r="C90" s="79">
        <v>-2.1551724099999999E-2</v>
      </c>
      <c r="D90" s="24">
        <v>227</v>
      </c>
      <c r="E90" s="25">
        <f t="shared" si="42"/>
        <v>0</v>
      </c>
      <c r="F90" s="104">
        <f>IF(ISNUMBER(D90), $B91 * E90, "")</f>
        <v>0</v>
      </c>
      <c r="G90" s="102">
        <v>226</v>
      </c>
      <c r="H90" s="25">
        <f t="shared" si="43"/>
        <v>-4.4052863436123352E-3</v>
      </c>
      <c r="I90" s="103">
        <f>IF(ISNUMBER(G90), $B91 * H90, "")</f>
        <v>-440.52863436123351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/>
      <c r="N90" s="25" t="str">
        <f t="shared" si="45"/>
        <v/>
      </c>
      <c r="O90" s="104" t="str">
        <f>IF(ISNUMBER(M90), $B91 * N90, "")</f>
        <v/>
      </c>
      <c r="Q90" s="243"/>
      <c r="R90" s="244"/>
      <c r="S90" s="245"/>
    </row>
    <row r="91" spans="1:19" ht="17.25" thickBot="1">
      <c r="A91" s="132" t="s">
        <v>295</v>
      </c>
      <c r="B91" s="304">
        <f>$B$37</f>
        <v>100000</v>
      </c>
      <c r="C91" s="305"/>
      <c r="D91" s="26" t="s">
        <v>296</v>
      </c>
      <c r="E91" s="27">
        <f>IF(COUNT(E71:E90), SUM(E71:E90) / COUNT(E71:E90), 0)</f>
        <v>-6.7292937459130838E-3</v>
      </c>
      <c r="F91" s="28">
        <f>SUM(F71:F90)</f>
        <v>-13458.587491826171</v>
      </c>
      <c r="G91" s="26" t="s">
        <v>296</v>
      </c>
      <c r="H91" s="27">
        <f>IF(COUNT(H71:H90), SUM(H71:H90) / COUNT(H71:H90), 0)</f>
        <v>-2.8812219651292315E-2</v>
      </c>
      <c r="I91" s="28">
        <f>SUM(I71:I90)</f>
        <v>-57624.439302584629</v>
      </c>
      <c r="J91" s="26" t="s">
        <v>296</v>
      </c>
      <c r="K91" s="27">
        <f>IF(COUNT(K71:K90), SUM(K71:K90) / COUNT(K71:K90), 0)</f>
        <v>-6.5710255009180624E-2</v>
      </c>
      <c r="L91" s="28">
        <f>SUM(L71:L90)</f>
        <v>-131420.51001836124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46"/>
      <c r="R91" s="247"/>
      <c r="S91" s="248"/>
    </row>
    <row r="93" spans="1:19" ht="17.25" thickBot="1"/>
    <row r="94" spans="1:19" ht="17.25" thickBot="1">
      <c r="A94" s="262" t="s">
        <v>46</v>
      </c>
      <c r="B94" s="263"/>
      <c r="C94" s="263"/>
      <c r="D94" s="263"/>
      <c r="E94" s="263"/>
      <c r="F94" s="263"/>
      <c r="G94" s="263"/>
      <c r="H94" s="263"/>
      <c r="I94" s="263"/>
      <c r="J94" s="263"/>
      <c r="K94" s="263"/>
      <c r="L94" s="263"/>
      <c r="M94" s="263"/>
      <c r="N94" s="263"/>
      <c r="O94" s="264"/>
      <c r="Q94" s="261"/>
      <c r="R94" s="261"/>
      <c r="S94" s="261"/>
    </row>
    <row r="95" spans="1:19" ht="17.25" thickBot="1">
      <c r="A95" s="236" t="s">
        <v>292</v>
      </c>
      <c r="B95" s="262" t="s">
        <v>49</v>
      </c>
      <c r="C95" s="264"/>
      <c r="D95" s="262" t="s">
        <v>58</v>
      </c>
      <c r="E95" s="263"/>
      <c r="F95" s="264"/>
      <c r="G95" s="265">
        <f>_xlfn.IFNA(VLOOKUP(B95, 현재가테이블!$B$2:$D$200, 2, FALSE), "-")</f>
        <v>40538000</v>
      </c>
      <c r="H95" s="266"/>
      <c r="I95" s="267"/>
      <c r="J95" s="262" t="s">
        <v>59</v>
      </c>
      <c r="K95" s="263"/>
      <c r="L95" s="264"/>
      <c r="M95" s="268">
        <f>_xlfn.IFNA(VLOOKUP(B95, 현재가테이블!$B$2:$D$200, 3, FALSE), "-")</f>
        <v>-3.68275993E-2</v>
      </c>
      <c r="N95" s="269"/>
      <c r="O95" s="270"/>
      <c r="Q95" s="261"/>
      <c r="R95" s="261"/>
      <c r="S95" s="261"/>
    </row>
    <row r="96" spans="1:19" ht="17.25" thickBot="1">
      <c r="A96" s="306" t="s">
        <v>55</v>
      </c>
      <c r="B96" s="302" t="str">
        <f>TEXT($G$1, "[$-ko-KR]yyyy-mm-dd(ddd) ") &amp; "오전 00:00"</f>
        <v>2021-06-20(일) 오전 00:00</v>
      </c>
      <c r="C96" s="303"/>
      <c r="D96" s="275" t="str">
        <f>TEXT($G$1, "[$-ko-KR]yyyy-mm-dd(ddd) ") &amp; "오후 14:00"</f>
        <v>2021-06-20(일) 오후 14:00</v>
      </c>
      <c r="E96" s="276"/>
      <c r="F96" s="277"/>
      <c r="G96" s="275" t="str">
        <f>TEXT($G$1, "[$-ko-KR]yyyy-mm-dd(ddd) ") &amp; "오후 19:00"</f>
        <v>2021-06-20(일) 오후 19:00</v>
      </c>
      <c r="H96" s="276"/>
      <c r="I96" s="277"/>
      <c r="J96" s="275" t="str">
        <f>TEXT($G$1, "[$-ko-KR]yyyy-mm-dd(ddd) ") &amp; "오후 21:00"</f>
        <v>2021-06-20(일) 오후 21:00</v>
      </c>
      <c r="K96" s="276"/>
      <c r="L96" s="277"/>
      <c r="M96" s="275" t="str">
        <f>TEXT($G$1+1, "[$-ko-KR]yyyy-mm-dd(ddd) ") &amp; "오전 00:00"</f>
        <v>2021-06-21(월) 오전 00:00</v>
      </c>
      <c r="N96" s="276"/>
      <c r="O96" s="277"/>
      <c r="Q96" s="261"/>
      <c r="R96" s="261"/>
      <c r="S96" s="261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7" t="s">
        <v>58</v>
      </c>
      <c r="H97" s="238" t="s">
        <v>293</v>
      </c>
      <c r="I97" s="23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1"/>
      <c r="R97" s="251"/>
      <c r="S97" s="251"/>
    </row>
    <row r="98" spans="1:19" ht="17.25" thickBot="1">
      <c r="A98" s="161" t="s">
        <v>231</v>
      </c>
      <c r="B98" s="124">
        <v>257</v>
      </c>
      <c r="C98" s="76">
        <v>0.33160621759999998</v>
      </c>
      <c r="D98" s="13">
        <v>314</v>
      </c>
      <c r="E98" s="14">
        <f>IF(ISNUMBER(D98), (D98 - $B98) / $B98, "")</f>
        <v>0.22178988326848248</v>
      </c>
      <c r="F98" s="16">
        <f>IF(ISNUMBER(D98), $B118 * E98, "")</f>
        <v>22178.988326848248</v>
      </c>
      <c r="G98" s="29">
        <v>284</v>
      </c>
      <c r="H98" s="14">
        <f>IF(ISNUMBER(G98), (G98 - $B98) / $B98, "")</f>
        <v>0.10505836575875487</v>
      </c>
      <c r="I98" s="100">
        <f>IF(ISNUMBER(G98), $B118 * H98, "")</f>
        <v>10505.836575875486</v>
      </c>
      <c r="J98" s="13">
        <v>293</v>
      </c>
      <c r="K98" s="14">
        <f>IF(ISNUMBER(J98), (J98 - $B98) / $B98, "")</f>
        <v>0.14007782101167315</v>
      </c>
      <c r="L98" s="16">
        <f>IF(ISNUMBER(J98), $B118 * K98, "")</f>
        <v>14007.782101167315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1"/>
      <c r="R98" s="261"/>
      <c r="S98" s="261"/>
    </row>
    <row r="99" spans="1:19" ht="17.25" thickBot="1">
      <c r="A99" s="162" t="s">
        <v>233</v>
      </c>
      <c r="B99" s="126">
        <v>11.6</v>
      </c>
      <c r="C99" s="77">
        <v>8.4112149499999997E-2</v>
      </c>
      <c r="D99" s="15">
        <v>11.1</v>
      </c>
      <c r="E99" s="32">
        <f t="shared" ref="E99:E102" si="46">IF(ISNUMBER(D99), (D99 - $B99) / $B99, "")</f>
        <v>-4.3103448275862072E-2</v>
      </c>
      <c r="F99" s="18">
        <f>IF(ISNUMBER(D99), $B118 * E99, "")</f>
        <v>-4310.3448275862074</v>
      </c>
      <c r="G99" s="31">
        <v>10.9</v>
      </c>
      <c r="H99" s="32">
        <f t="shared" ref="H99:H102" si="47">IF(ISNUMBER(G99), (G99 - $B99) / $B99, "")</f>
        <v>-6.0344827586206837E-2</v>
      </c>
      <c r="I99" s="101">
        <f>IF(ISNUMBER(G99), $B118 * H99, "")</f>
        <v>-6034.4827586206839</v>
      </c>
      <c r="J99" s="15">
        <v>10.6</v>
      </c>
      <c r="K99" s="32">
        <f t="shared" ref="K99:K102" si="48">IF(ISNUMBER(J99), (J99 - $B99) / $B99, "")</f>
        <v>-8.6206896551724144E-2</v>
      </c>
      <c r="L99" s="18">
        <f>IF(ISNUMBER(J99), $B118 * K99, "")</f>
        <v>-8620.6896551724149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1"/>
      <c r="R99" s="261"/>
      <c r="S99" s="261"/>
    </row>
    <row r="100" spans="1:19" ht="17.25" thickBot="1">
      <c r="A100" s="162" t="s">
        <v>82</v>
      </c>
      <c r="B100" s="126">
        <v>739</v>
      </c>
      <c r="C100" s="77">
        <v>7.1014492799999995E-2</v>
      </c>
      <c r="D100" s="15">
        <v>744</v>
      </c>
      <c r="E100" s="32">
        <f t="shared" si="46"/>
        <v>6.7658998646820028E-3</v>
      </c>
      <c r="F100" s="18">
        <f>IF(ISNUMBER(D100), $B118 * E100, "")</f>
        <v>676.58998646820032</v>
      </c>
      <c r="G100" s="31">
        <v>719</v>
      </c>
      <c r="H100" s="32">
        <f t="shared" si="47"/>
        <v>-2.7063599458728011E-2</v>
      </c>
      <c r="I100" s="101">
        <f>IF(ISNUMBER(G100), $B118 * H100, "")</f>
        <v>-2706.3599458728013</v>
      </c>
      <c r="J100" s="15">
        <v>708</v>
      </c>
      <c r="K100" s="32">
        <f t="shared" si="48"/>
        <v>-4.1948579161028419E-2</v>
      </c>
      <c r="L100" s="18">
        <f>IF(ISNUMBER(J100), $B118 * K100, "")</f>
        <v>-4194.857916102842</v>
      </c>
      <c r="M100" s="31"/>
      <c r="N100" s="32" t="str">
        <f t="shared" si="49"/>
        <v/>
      </c>
      <c r="O100" s="18" t="str">
        <f>IF(ISNUMBER(M100), $B118 * N100, "")</f>
        <v/>
      </c>
      <c r="Q100" s="251"/>
      <c r="R100" s="251"/>
      <c r="S100" s="251"/>
    </row>
    <row r="101" spans="1:19" ht="17.25" thickBot="1">
      <c r="A101" s="162" t="s">
        <v>122</v>
      </c>
      <c r="B101" s="126">
        <v>14.8</v>
      </c>
      <c r="C101" s="77">
        <v>6.4748201399999997E-2</v>
      </c>
      <c r="D101" s="15">
        <v>14.1</v>
      </c>
      <c r="E101" s="32">
        <f t="shared" si="46"/>
        <v>-4.7297297297297369E-2</v>
      </c>
      <c r="F101" s="18">
        <f>IF(ISNUMBER(D101), $B118 * E101, "")</f>
        <v>-4729.7297297297373</v>
      </c>
      <c r="G101" s="31">
        <v>13.9</v>
      </c>
      <c r="H101" s="32">
        <f t="shared" si="47"/>
        <v>-6.0810810810810835E-2</v>
      </c>
      <c r="I101" s="101">
        <f>IF(ISNUMBER(G101), $B118 * H101, "")</f>
        <v>-6081.0810810810835</v>
      </c>
      <c r="J101" s="15">
        <v>13.3</v>
      </c>
      <c r="K101" s="32">
        <f t="shared" si="48"/>
        <v>-0.10135135135135134</v>
      </c>
      <c r="L101" s="18">
        <f>IF(ISNUMBER(J101), $B118 * K101, "")</f>
        <v>-10135.135135135135</v>
      </c>
      <c r="M101" s="31"/>
      <c r="N101" s="32" t="str">
        <f t="shared" si="49"/>
        <v/>
      </c>
      <c r="O101" s="18" t="str">
        <f>IF(ISNUMBER(M101), $B118 * N101, "")</f>
        <v/>
      </c>
      <c r="Q101" s="251"/>
      <c r="R101" s="251"/>
      <c r="S101" s="251"/>
    </row>
    <row r="102" spans="1:19" ht="17.25" thickBot="1">
      <c r="A102" s="163" t="s">
        <v>248</v>
      </c>
      <c r="B102" s="128">
        <v>66.400000000000006</v>
      </c>
      <c r="C102" s="78">
        <v>5.7324840799999999E-2</v>
      </c>
      <c r="D102" s="20">
        <v>66.099999999999994</v>
      </c>
      <c r="E102" s="21">
        <f t="shared" si="46"/>
        <v>-4.5180722891567972E-3</v>
      </c>
      <c r="F102" s="22">
        <f>IF(ISNUMBER(D102), $B118 * E102, "")</f>
        <v>-451.80722891567973</v>
      </c>
      <c r="G102" s="30">
        <v>65</v>
      </c>
      <c r="H102" s="21">
        <f t="shared" si="47"/>
        <v>-2.1084337349397676E-2</v>
      </c>
      <c r="I102" s="105">
        <f>IF(ISNUMBER(G102), $B118 * H102, "")</f>
        <v>-2108.4337349397674</v>
      </c>
      <c r="J102" s="20">
        <v>64.2</v>
      </c>
      <c r="K102" s="21">
        <f t="shared" si="48"/>
        <v>-3.3132530120481965E-2</v>
      </c>
      <c r="L102" s="22">
        <f>IF(ISNUMBER(J102), $B118 * K102, "")</f>
        <v>-3313.2530120481965</v>
      </c>
      <c r="M102" s="30"/>
      <c r="N102" s="21" t="str">
        <f t="shared" si="49"/>
        <v/>
      </c>
      <c r="O102" s="22" t="str">
        <f>IF(ISNUMBER(M102), $B118 * N102, "")</f>
        <v/>
      </c>
      <c r="Q102" s="251"/>
      <c r="R102" s="251"/>
      <c r="S102" s="251"/>
    </row>
    <row r="103" spans="1:19" ht="17.25" thickBot="1">
      <c r="A103" s="162" t="s">
        <v>269</v>
      </c>
      <c r="B103" s="129">
        <v>7295</v>
      </c>
      <c r="C103" s="80">
        <v>5.3429602899999998E-2</v>
      </c>
      <c r="D103" s="106">
        <v>7025</v>
      </c>
      <c r="E103" s="107">
        <f>IF(ISNUMBER(D103), (D103 - $B103) / $B103, "")</f>
        <v>-3.7011651816312545E-2</v>
      </c>
      <c r="F103" s="108">
        <f>IF(ISNUMBER(D103), $B118 * E103, "")</f>
        <v>-3701.1651816312547</v>
      </c>
      <c r="G103" s="109">
        <v>6885</v>
      </c>
      <c r="H103" s="107">
        <f>IF(ISNUMBER(G103), (G103 - $B103) / $B103, "")</f>
        <v>-5.6202878684030157E-2</v>
      </c>
      <c r="I103" s="110">
        <f>IF(ISNUMBER(G103), $B118 * H103, "")</f>
        <v>-5620.2878684030156</v>
      </c>
      <c r="J103" s="106">
        <v>6750</v>
      </c>
      <c r="K103" s="107">
        <f>IF(ISNUMBER(J103), (J103 - $B103) / $B103, "")</f>
        <v>-7.4708704592186426E-2</v>
      </c>
      <c r="L103" s="108">
        <f>IF(ISNUMBER(J103), $B118 * K103, "")</f>
        <v>-7470.8704592186423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1"/>
      <c r="R103" s="251"/>
      <c r="S103" s="251"/>
    </row>
    <row r="104" spans="1:19" ht="17.25" thickBot="1">
      <c r="A104" s="162" t="s">
        <v>246</v>
      </c>
      <c r="B104" s="126">
        <v>40.700000000000003</v>
      </c>
      <c r="C104" s="77">
        <v>5.1679586600000001E-2</v>
      </c>
      <c r="D104" s="15">
        <v>40.4</v>
      </c>
      <c r="E104" s="32">
        <f t="shared" ref="E104:E107" si="50">IF(ISNUMBER(D104), (D104 - $B104) / $B104, "")</f>
        <v>-7.3710073710074753E-3</v>
      </c>
      <c r="F104" s="18">
        <f>IF(ISNUMBER(D104), $B118 * E104, "")</f>
        <v>-737.10073710074755</v>
      </c>
      <c r="G104" s="31">
        <v>39.5</v>
      </c>
      <c r="H104" s="32">
        <f t="shared" ref="H104:H107" si="51">IF(ISNUMBER(G104), (G104 - $B104) / $B104, "")</f>
        <v>-2.9484029484029551E-2</v>
      </c>
      <c r="I104" s="101">
        <f>IF(ISNUMBER(G104), $B118 * H104, "")</f>
        <v>-2948.4029484029552</v>
      </c>
      <c r="J104" s="15">
        <v>38.1</v>
      </c>
      <c r="K104" s="32">
        <f t="shared" ref="K104:K107" si="52">IF(ISNUMBER(J104), (J104 - $B104) / $B104, "")</f>
        <v>-6.3882063882063911E-2</v>
      </c>
      <c r="L104" s="18">
        <f>IF(ISNUMBER(J104), $B118 * K104, "")</f>
        <v>-6388.2063882063912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1"/>
      <c r="R104" s="251"/>
      <c r="S104" s="251"/>
    </row>
    <row r="105" spans="1:19" ht="17.25" thickBot="1">
      <c r="A105" s="162" t="s">
        <v>142</v>
      </c>
      <c r="B105" s="126">
        <v>713</v>
      </c>
      <c r="C105" s="77">
        <v>4.8529411799999998E-2</v>
      </c>
      <c r="D105" s="15">
        <v>681</v>
      </c>
      <c r="E105" s="32">
        <f t="shared" si="50"/>
        <v>-4.4880785413744739E-2</v>
      </c>
      <c r="F105" s="18">
        <f>IF(ISNUMBER(D105), $B118 * E105, "")</f>
        <v>-4488.0785413744743</v>
      </c>
      <c r="G105" s="31">
        <v>667</v>
      </c>
      <c r="H105" s="32">
        <f t="shared" si="51"/>
        <v>-6.4516129032258063E-2</v>
      </c>
      <c r="I105" s="101">
        <f>IF(ISNUMBER(G105), $B118 * H105, "")</f>
        <v>-6451.6129032258059</v>
      </c>
      <c r="J105" s="15">
        <v>659</v>
      </c>
      <c r="K105" s="32">
        <f t="shared" si="52"/>
        <v>-7.5736325385694248E-2</v>
      </c>
      <c r="L105" s="18">
        <f>IF(ISNUMBER(J105), $B118 * K105, "")</f>
        <v>-7573.6325385694245</v>
      </c>
      <c r="M105" s="31"/>
      <c r="N105" s="32" t="str">
        <f t="shared" si="53"/>
        <v/>
      </c>
      <c r="O105" s="18" t="str">
        <f>IF(ISNUMBER(M105), $B118 * N105, "")</f>
        <v/>
      </c>
      <c r="Q105" s="251"/>
      <c r="R105" s="251"/>
      <c r="S105" s="251"/>
    </row>
    <row r="106" spans="1:19" ht="17.25" thickBot="1">
      <c r="A106" s="162" t="s">
        <v>150</v>
      </c>
      <c r="B106" s="126">
        <v>2560</v>
      </c>
      <c r="C106" s="77">
        <v>4.4897959199999997E-2</v>
      </c>
      <c r="D106" s="15">
        <v>2515</v>
      </c>
      <c r="E106" s="32">
        <f t="shared" si="50"/>
        <v>-1.7578125E-2</v>
      </c>
      <c r="F106" s="18">
        <f>IF(ISNUMBER(D106), $B118 * E106, "")</f>
        <v>-1757.8125</v>
      </c>
      <c r="G106" s="31">
        <v>2455</v>
      </c>
      <c r="H106" s="32">
        <f t="shared" si="51"/>
        <v>-4.1015625E-2</v>
      </c>
      <c r="I106" s="101">
        <f>IF(ISNUMBER(G106), $B118 * H106, "")</f>
        <v>-4101.5625</v>
      </c>
      <c r="J106" s="15">
        <v>2375</v>
      </c>
      <c r="K106" s="32">
        <f t="shared" si="52"/>
        <v>-7.2265625E-2</v>
      </c>
      <c r="L106" s="18">
        <f>IF(ISNUMBER(J106), $B118 * K106, "")</f>
        <v>-7226.5625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171</v>
      </c>
      <c r="B107" s="131">
        <v>3.22</v>
      </c>
      <c r="C107" s="79">
        <v>4.2071197400000003E-2</v>
      </c>
      <c r="D107" s="24">
        <v>3.2</v>
      </c>
      <c r="E107" s="25">
        <f t="shared" si="50"/>
        <v>-6.2111801242236073E-3</v>
      </c>
      <c r="F107" s="104">
        <f>IF(ISNUMBER(D107), $B118 * E107, "")</f>
        <v>-621.11801242236072</v>
      </c>
      <c r="G107" s="102">
        <v>3.14</v>
      </c>
      <c r="H107" s="25">
        <f t="shared" si="51"/>
        <v>-2.4844720496894429E-2</v>
      </c>
      <c r="I107" s="103">
        <f>IF(ISNUMBER(G107), $B118 * H107, "")</f>
        <v>-2484.4720496894429</v>
      </c>
      <c r="J107" s="24">
        <v>3</v>
      </c>
      <c r="K107" s="25">
        <f t="shared" si="52"/>
        <v>-6.8322981366459687E-2</v>
      </c>
      <c r="L107" s="104">
        <f>IF(ISNUMBER(J107), $B118 * K107, "")</f>
        <v>-6832.298136645969</v>
      </c>
      <c r="M107" s="102"/>
      <c r="N107" s="25" t="str">
        <f t="shared" si="53"/>
        <v/>
      </c>
      <c r="O107" s="104" t="str">
        <f>IF(ISNUMBER(M107), $B118 * N107, "")</f>
        <v/>
      </c>
      <c r="Q107" s="252"/>
      <c r="R107" s="253"/>
      <c r="S107" s="254"/>
    </row>
    <row r="108" spans="1:19">
      <c r="A108" s="161" t="s">
        <v>120</v>
      </c>
      <c r="B108" s="124">
        <v>130</v>
      </c>
      <c r="C108" s="76">
        <v>0.04</v>
      </c>
      <c r="D108" s="13">
        <v>127</v>
      </c>
      <c r="E108" s="14">
        <f>IF(ISNUMBER(D108), (D108 - $B108) / $B108, "")</f>
        <v>-2.3076923076923078E-2</v>
      </c>
      <c r="F108" s="16">
        <f>IF(ISNUMBER(D108), $B118 * E108, "")</f>
        <v>-2307.6923076923076</v>
      </c>
      <c r="G108" s="29">
        <v>125</v>
      </c>
      <c r="H108" s="14">
        <f>IF(ISNUMBER(G108), (G108 - $B108) / $B108, "")</f>
        <v>-3.8461538461538464E-2</v>
      </c>
      <c r="I108" s="100">
        <f>IF(ISNUMBER(G108), $B118 * H108, "")</f>
        <v>-3846.1538461538462</v>
      </c>
      <c r="J108" s="13">
        <v>120</v>
      </c>
      <c r="K108" s="14">
        <f>IF(ISNUMBER(J108), (J108 - $B108) / $B108, "")</f>
        <v>-7.6923076923076927E-2</v>
      </c>
      <c r="L108" s="16">
        <f>IF(ISNUMBER(J108), $B118 * K108, "")</f>
        <v>-7692.3076923076924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5"/>
      <c r="R108" s="256"/>
      <c r="S108" s="257"/>
    </row>
    <row r="109" spans="1:19" ht="17.25" thickBot="1">
      <c r="A109" s="162" t="s">
        <v>118</v>
      </c>
      <c r="B109" s="126">
        <v>4595</v>
      </c>
      <c r="C109" s="77">
        <v>3.0269058299999999E-2</v>
      </c>
      <c r="D109" s="15">
        <v>4660</v>
      </c>
      <c r="E109" s="32">
        <f t="shared" ref="E109:E112" si="54">IF(ISNUMBER(D109), (D109 - $B109) / $B109, "")</f>
        <v>1.4145810663764961E-2</v>
      </c>
      <c r="F109" s="18">
        <f>IF(ISNUMBER(D109), $B118 * E109, "")</f>
        <v>1414.5810663764962</v>
      </c>
      <c r="G109" s="31">
        <v>4430</v>
      </c>
      <c r="H109" s="32">
        <f t="shared" ref="H109:H112" si="55">IF(ISNUMBER(G109), (G109 - $B109) / $B109, "")</f>
        <v>-3.5908596300326445E-2</v>
      </c>
      <c r="I109" s="101">
        <f>IF(ISNUMBER(G109), $B118 * H109, "")</f>
        <v>-3590.8596300326444</v>
      </c>
      <c r="J109" s="15">
        <v>4305</v>
      </c>
      <c r="K109" s="32">
        <f t="shared" ref="K109:K112" si="56">IF(ISNUMBER(J109), (J109 - $B109) / $B109, "")</f>
        <v>-6.3112078346028291E-2</v>
      </c>
      <c r="L109" s="18">
        <f>IF(ISNUMBER(J109), $B118 * K109, "")</f>
        <v>-6311.2078346028293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8"/>
      <c r="R109" s="259"/>
      <c r="S109" s="260"/>
    </row>
    <row r="110" spans="1:19" ht="17.25" thickBot="1">
      <c r="A110" s="162" t="s">
        <v>124</v>
      </c>
      <c r="B110" s="126">
        <v>2260</v>
      </c>
      <c r="C110" s="77">
        <v>2.7272727300000001E-2</v>
      </c>
      <c r="D110" s="15">
        <v>2215</v>
      </c>
      <c r="E110" s="32">
        <f t="shared" si="54"/>
        <v>-1.9911504424778761E-2</v>
      </c>
      <c r="F110" s="18">
        <f>IF(ISNUMBER(D110), $B118 * E110, "")</f>
        <v>-1991.1504424778761</v>
      </c>
      <c r="G110" s="31">
        <v>2130</v>
      </c>
      <c r="H110" s="32">
        <f t="shared" si="55"/>
        <v>-5.7522123893805309E-2</v>
      </c>
      <c r="I110" s="101">
        <f>IF(ISNUMBER(G110), $B118 * H110, "")</f>
        <v>-5752.212389380531</v>
      </c>
      <c r="J110" s="15">
        <v>2015</v>
      </c>
      <c r="K110" s="32">
        <f t="shared" si="56"/>
        <v>-0.1084070796460177</v>
      </c>
      <c r="L110" s="18">
        <f>IF(ISNUMBER(J110), $B118 * K110, "")</f>
        <v>-10840.70796460177</v>
      </c>
      <c r="M110" s="31"/>
      <c r="N110" s="32" t="str">
        <f t="shared" si="57"/>
        <v/>
      </c>
      <c r="O110" s="18" t="str">
        <f>IF(ISNUMBER(M110), $B118 * N110, "")</f>
        <v/>
      </c>
      <c r="Q110" s="251"/>
      <c r="R110" s="251"/>
      <c r="S110" s="251"/>
    </row>
    <row r="111" spans="1:19" ht="17.25" thickBot="1">
      <c r="A111" s="162" t="s">
        <v>112</v>
      </c>
      <c r="B111" s="126">
        <v>116</v>
      </c>
      <c r="C111" s="77">
        <v>2.65486726E-2</v>
      </c>
      <c r="D111" s="15">
        <v>110</v>
      </c>
      <c r="E111" s="32">
        <f t="shared" si="54"/>
        <v>-5.1724137931034482E-2</v>
      </c>
      <c r="F111" s="18">
        <f>IF(ISNUMBER(D111), $B118 * E111, "")</f>
        <v>-5172.4137931034484</v>
      </c>
      <c r="G111" s="31">
        <v>107</v>
      </c>
      <c r="H111" s="32">
        <f t="shared" si="55"/>
        <v>-7.7586206896551727E-2</v>
      </c>
      <c r="I111" s="101">
        <f>IF(ISNUMBER(G111), $B118 * H111, "")</f>
        <v>-7758.620689655173</v>
      </c>
      <c r="J111" s="15">
        <v>98.8</v>
      </c>
      <c r="K111" s="32">
        <f t="shared" si="56"/>
        <v>-0.14827586206896554</v>
      </c>
      <c r="L111" s="18">
        <f>IF(ISNUMBER(J111), $B118 * K111, "")</f>
        <v>-14827.586206896554</v>
      </c>
      <c r="M111" s="31"/>
      <c r="N111" s="32" t="str">
        <f t="shared" si="57"/>
        <v/>
      </c>
      <c r="O111" s="18" t="str">
        <f>IF(ISNUMBER(M111), $B118 * N111, "")</f>
        <v/>
      </c>
      <c r="Q111" s="261"/>
      <c r="R111" s="261"/>
      <c r="S111" s="261"/>
    </row>
    <row r="112" spans="1:19" ht="17.25" thickBot="1">
      <c r="A112" s="163" t="s">
        <v>219</v>
      </c>
      <c r="B112" s="128">
        <v>9.0299999999999994</v>
      </c>
      <c r="C112" s="78">
        <v>2.61363636E-2</v>
      </c>
      <c r="D112" s="20">
        <v>8.57</v>
      </c>
      <c r="E112" s="21">
        <f t="shared" si="54"/>
        <v>-5.0941306755260145E-2</v>
      </c>
      <c r="F112" s="22">
        <f>IF(ISNUMBER(D112), $B118 * E112, "")</f>
        <v>-5094.1306755260148</v>
      </c>
      <c r="G112" s="30">
        <v>8.35</v>
      </c>
      <c r="H112" s="21">
        <f t="shared" si="55"/>
        <v>-7.5304540420819466E-2</v>
      </c>
      <c r="I112" s="105">
        <f>IF(ISNUMBER(G112), $B118 * H112, "")</f>
        <v>-7530.4540420819467</v>
      </c>
      <c r="J112" s="20">
        <v>7.94</v>
      </c>
      <c r="K112" s="21">
        <f t="shared" si="56"/>
        <v>-0.12070874861572525</v>
      </c>
      <c r="L112" s="22">
        <f>IF(ISNUMBER(J112), $B118 * K112, "")</f>
        <v>-12070.874861572525</v>
      </c>
      <c r="M112" s="30"/>
      <c r="N112" s="21" t="str">
        <f t="shared" si="57"/>
        <v/>
      </c>
      <c r="O112" s="22" t="str">
        <f>IF(ISNUMBER(M112), $B118 * N112, "")</f>
        <v/>
      </c>
      <c r="Q112" s="261"/>
      <c r="R112" s="261"/>
      <c r="S112" s="261"/>
    </row>
    <row r="113" spans="1:19" ht="17.25" thickBot="1">
      <c r="A113" s="162" t="s">
        <v>197</v>
      </c>
      <c r="B113" s="129">
        <v>12.5</v>
      </c>
      <c r="C113" s="80">
        <v>1.6260162599999999E-2</v>
      </c>
      <c r="D113" s="106">
        <v>12.4</v>
      </c>
      <c r="E113" s="107">
        <f>IF(ISNUMBER(D113), (D113 - $B113) / $B113, "")</f>
        <v>-7.9999999999999724E-3</v>
      </c>
      <c r="F113" s="108">
        <f>IF(ISNUMBER(D113), $B118 * E113, "")</f>
        <v>-799.99999999999727</v>
      </c>
      <c r="G113" s="109">
        <v>12</v>
      </c>
      <c r="H113" s="107">
        <f>IF(ISNUMBER(G113), (G113 - $B113) / $B113, "")</f>
        <v>-0.04</v>
      </c>
      <c r="I113" s="110">
        <f>IF(ISNUMBER(G113), $B118 * H113, "")</f>
        <v>-4000</v>
      </c>
      <c r="J113" s="106">
        <v>11.2</v>
      </c>
      <c r="K113" s="107">
        <f>IF(ISNUMBER(J113), (J113 - $B113) / $B113, "")</f>
        <v>-0.10400000000000005</v>
      </c>
      <c r="L113" s="108">
        <f>IF(ISNUMBER(J113), $B118 * K113, "")</f>
        <v>-10400.000000000005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1"/>
      <c r="R113" s="251"/>
      <c r="S113" s="251"/>
    </row>
    <row r="114" spans="1:19" ht="17.25" thickBot="1">
      <c r="A114" s="162" t="s">
        <v>80</v>
      </c>
      <c r="B114" s="126">
        <v>731</v>
      </c>
      <c r="C114" s="77">
        <v>1.10650069E-2</v>
      </c>
      <c r="D114" s="15">
        <v>710</v>
      </c>
      <c r="E114" s="32">
        <f t="shared" ref="E114:E117" si="58">IF(ISNUMBER(D114), (D114 - $B114) / $B114, "")</f>
        <v>-2.8727770177838577E-2</v>
      </c>
      <c r="F114" s="18">
        <f>IF(ISNUMBER(D114), $B118 * E114, "")</f>
        <v>-2872.7770177838579</v>
      </c>
      <c r="G114" s="31">
        <v>696</v>
      </c>
      <c r="H114" s="32">
        <f t="shared" ref="H114:H117" si="59">IF(ISNUMBER(G114), (G114 - $B114) / $B114, "")</f>
        <v>-4.7879616963064295E-2</v>
      </c>
      <c r="I114" s="101">
        <f>IF(ISNUMBER(G114), $B118 * H114, "")</f>
        <v>-4787.9616963064291</v>
      </c>
      <c r="J114" s="15">
        <v>677</v>
      </c>
      <c r="K114" s="32">
        <f t="shared" ref="K114:K117" si="60">IF(ISNUMBER(J114), (J114 - $B114) / $B114, "")</f>
        <v>-7.3871409028727769E-2</v>
      </c>
      <c r="L114" s="18">
        <f>IF(ISNUMBER(J114), $B118 * K114, "")</f>
        <v>-7387.1409028727767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1"/>
      <c r="R114" s="251"/>
      <c r="S114" s="251"/>
    </row>
    <row r="115" spans="1:19" ht="17.25" thickBot="1">
      <c r="A115" s="162" t="s">
        <v>78</v>
      </c>
      <c r="B115" s="126">
        <v>674800</v>
      </c>
      <c r="C115" s="77">
        <v>9.8772822999999999E-3</v>
      </c>
      <c r="D115" s="15">
        <v>658200</v>
      </c>
      <c r="E115" s="32">
        <f t="shared" si="58"/>
        <v>-2.4599881446354475E-2</v>
      </c>
      <c r="F115" s="18">
        <f>IF(ISNUMBER(D115), $B118 * E115, "")</f>
        <v>-2459.9881446354475</v>
      </c>
      <c r="G115" s="31">
        <v>649600</v>
      </c>
      <c r="H115" s="32">
        <f t="shared" si="59"/>
        <v>-3.7344398340248962E-2</v>
      </c>
      <c r="I115" s="101">
        <f>IF(ISNUMBER(G115), $B118 * H115, "")</f>
        <v>-3734.4398340248963</v>
      </c>
      <c r="J115" s="15">
        <v>624100</v>
      </c>
      <c r="K115" s="32">
        <f t="shared" si="60"/>
        <v>-7.5133372851215172E-2</v>
      </c>
      <c r="L115" s="18">
        <f>IF(ISNUMBER(J115), $B118 * K115, "")</f>
        <v>-7513.3372851215172</v>
      </c>
      <c r="M115" s="31"/>
      <c r="N115" s="32" t="str">
        <f t="shared" si="61"/>
        <v/>
      </c>
      <c r="O115" s="18" t="str">
        <f>IF(ISNUMBER(M115), $B118 * N115, "")</f>
        <v/>
      </c>
      <c r="Q115" s="251"/>
      <c r="R115" s="251"/>
      <c r="S115" s="251"/>
    </row>
    <row r="116" spans="1:19">
      <c r="A116" s="162" t="s">
        <v>221</v>
      </c>
      <c r="B116" s="126">
        <v>1035</v>
      </c>
      <c r="C116" s="77">
        <v>9.7560975999999994E-3</v>
      </c>
      <c r="D116" s="15">
        <v>1000</v>
      </c>
      <c r="E116" s="32">
        <f t="shared" si="58"/>
        <v>-3.3816425120772944E-2</v>
      </c>
      <c r="F116" s="18">
        <f>IF(ISNUMBER(D116), $B118 * E116, "")</f>
        <v>-3381.6425120772942</v>
      </c>
      <c r="G116" s="31">
        <v>993</v>
      </c>
      <c r="H116" s="32">
        <f t="shared" si="59"/>
        <v>-4.0579710144927533E-2</v>
      </c>
      <c r="I116" s="101">
        <f>IF(ISNUMBER(G116), $B118 * H116, "")</f>
        <v>-4057.9710144927535</v>
      </c>
      <c r="J116" s="15">
        <v>898</v>
      </c>
      <c r="K116" s="32">
        <f t="shared" si="60"/>
        <v>-0.13236714975845409</v>
      </c>
      <c r="L116" s="18">
        <f>IF(ISNUMBER(J116), $B118 * K116, "")</f>
        <v>-13236.714975845409</v>
      </c>
      <c r="M116" s="31"/>
      <c r="N116" s="32" t="str">
        <f t="shared" si="61"/>
        <v/>
      </c>
      <c r="O116" s="18" t="str">
        <f>IF(ISNUMBER(M116), $B118 * N116, "")</f>
        <v/>
      </c>
      <c r="Q116" s="240"/>
      <c r="R116" s="241"/>
      <c r="S116" s="242"/>
    </row>
    <row r="117" spans="1:19" ht="17.25" thickBot="1">
      <c r="A117" s="130" t="s">
        <v>88</v>
      </c>
      <c r="B117" s="131">
        <v>348</v>
      </c>
      <c r="C117" s="79">
        <v>8.6956522000000008E-3</v>
      </c>
      <c r="D117" s="24">
        <v>348</v>
      </c>
      <c r="E117" s="25">
        <f t="shared" si="58"/>
        <v>0</v>
      </c>
      <c r="F117" s="104">
        <f>IF(ISNUMBER(D117), $B118 * E117, "")</f>
        <v>0</v>
      </c>
      <c r="G117" s="102">
        <v>344</v>
      </c>
      <c r="H117" s="25">
        <f t="shared" si="59"/>
        <v>-1.1494252873563218E-2</v>
      </c>
      <c r="I117" s="103">
        <f>IF(ISNUMBER(G117), $B118 * H117, "")</f>
        <v>-1149.4252873563219</v>
      </c>
      <c r="J117" s="24">
        <v>328</v>
      </c>
      <c r="K117" s="25">
        <f t="shared" si="60"/>
        <v>-5.7471264367816091E-2</v>
      </c>
      <c r="L117" s="104">
        <f>IF(ISNUMBER(J117), $B118 * K117, "")</f>
        <v>-5747.1264367816093</v>
      </c>
      <c r="M117" s="102"/>
      <c r="N117" s="25" t="str">
        <f t="shared" si="61"/>
        <v/>
      </c>
      <c r="O117" s="104" t="str">
        <f>IF(ISNUMBER(M117), $B118 * N117, "")</f>
        <v/>
      </c>
      <c r="Q117" s="243"/>
      <c r="R117" s="244"/>
      <c r="S117" s="245"/>
    </row>
    <row r="118" spans="1:19" ht="17.25" thickBot="1">
      <c r="A118" s="132" t="s">
        <v>295</v>
      </c>
      <c r="B118" s="304">
        <f>$B$37</f>
        <v>100000</v>
      </c>
      <c r="C118" s="305"/>
      <c r="D118" s="26" t="s">
        <v>296</v>
      </c>
      <c r="E118" s="27">
        <f>IF(COUNT(E98:E117), SUM(E98:E117) / COUNT(E98:E117), 0)</f>
        <v>-1.0303396136181881E-2</v>
      </c>
      <c r="F118" s="28">
        <f>SUM(F98:F117)</f>
        <v>-20606.79227236376</v>
      </c>
      <c r="G118" s="26" t="s">
        <v>296</v>
      </c>
      <c r="H118" s="27">
        <f>IF(COUNT(H98:H117), SUM(H98:H117) / COUNT(H98:H117), 0)</f>
        <v>-3.7119478821922305E-2</v>
      </c>
      <c r="I118" s="28">
        <f>SUM(I98:I117)</f>
        <v>-74238.957643844624</v>
      </c>
      <c r="J118" s="26" t="s">
        <v>296</v>
      </c>
      <c r="K118" s="27">
        <f>IF(COUNT(K98:K117), SUM(K98:K117) / COUNT(K98:K117), 0)</f>
        <v>-7.1887363900267204E-2</v>
      </c>
      <c r="L118" s="28">
        <f>SUM(L98:L117)</f>
        <v>-143774.7278005344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46"/>
      <c r="R118" s="247"/>
      <c r="S118" s="248"/>
    </row>
    <row r="120" spans="1:19" ht="17.25" thickBot="1"/>
    <row r="121" spans="1:19" ht="17.25" thickBot="1">
      <c r="A121" s="262" t="s">
        <v>283</v>
      </c>
      <c r="B121" s="263"/>
      <c r="C121" s="263"/>
      <c r="D121" s="263"/>
      <c r="E121" s="263"/>
      <c r="F121" s="263"/>
      <c r="G121" s="263"/>
      <c r="H121" s="263"/>
      <c r="I121" s="263"/>
      <c r="J121" s="263"/>
      <c r="K121" s="263"/>
      <c r="L121" s="263"/>
      <c r="M121" s="263"/>
      <c r="N121" s="263"/>
      <c r="O121" s="264"/>
      <c r="Q121" s="261"/>
      <c r="R121" s="261"/>
      <c r="S121" s="261"/>
    </row>
    <row r="122" spans="1:19" ht="17.25" thickBot="1">
      <c r="A122" s="236" t="s">
        <v>292</v>
      </c>
      <c r="B122" s="262" t="s">
        <v>49</v>
      </c>
      <c r="C122" s="264"/>
      <c r="D122" s="262" t="s">
        <v>58</v>
      </c>
      <c r="E122" s="263"/>
      <c r="F122" s="264"/>
      <c r="G122" s="265">
        <f>_xlfn.IFNA(VLOOKUP(B122, 현재가테이블!$B$2:$D$200, 2, FALSE), "-")</f>
        <v>40538000</v>
      </c>
      <c r="H122" s="266"/>
      <c r="I122" s="267"/>
      <c r="J122" s="262" t="s">
        <v>59</v>
      </c>
      <c r="K122" s="263"/>
      <c r="L122" s="264"/>
      <c r="M122" s="268">
        <f>_xlfn.IFNA(VLOOKUP(B122, 현재가테이블!$B$2:$D$200, 3, FALSE), "-")</f>
        <v>-3.68275993E-2</v>
      </c>
      <c r="N122" s="269"/>
      <c r="O122" s="270"/>
      <c r="Q122" s="261"/>
      <c r="R122" s="261"/>
      <c r="S122" s="261"/>
    </row>
    <row r="123" spans="1:19" ht="17.25" thickBot="1">
      <c r="A123" s="306" t="s">
        <v>55</v>
      </c>
      <c r="B123" s="302" t="str">
        <f>TEXT($G$1, "[$-ko-KR]yyyy-mm-dd(ddd) ") &amp; "오전 00:00"</f>
        <v>2021-06-20(일) 오전 00:00</v>
      </c>
      <c r="C123" s="303"/>
      <c r="D123" s="275" t="str">
        <f>TEXT($G$1, "[$-ko-KR]yyyy-mm-dd(ddd) ") &amp; "오후 14:00"</f>
        <v>2021-06-20(일) 오후 14:00</v>
      </c>
      <c r="E123" s="276"/>
      <c r="F123" s="277"/>
      <c r="G123" s="275" t="str">
        <f>TEXT($G$1, "[$-ko-KR]yyyy-mm-dd(ddd) ") &amp; "오후 19:00"</f>
        <v>2021-06-20(일) 오후 19:00</v>
      </c>
      <c r="H123" s="276"/>
      <c r="I123" s="277"/>
      <c r="J123" s="275" t="str">
        <f>TEXT($G$1, "[$-ko-KR]yyyy-mm-dd(ddd) ") &amp; "오후 21:00"</f>
        <v>2021-06-20(일) 오후 21:00</v>
      </c>
      <c r="K123" s="276"/>
      <c r="L123" s="277"/>
      <c r="M123" s="275" t="str">
        <f>TEXT($G$1+1, "[$-ko-KR]yyyy-mm-dd(ddd) ") &amp; "오전 00:00"</f>
        <v>2021-06-21(월) 오전 00:00</v>
      </c>
      <c r="N123" s="276"/>
      <c r="O123" s="277"/>
      <c r="Q123" s="261"/>
      <c r="R123" s="261"/>
      <c r="S123" s="261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7" t="s">
        <v>58</v>
      </c>
      <c r="H124" s="238" t="s">
        <v>293</v>
      </c>
      <c r="I124" s="23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1"/>
      <c r="R124" s="251"/>
      <c r="S124" s="251"/>
    </row>
    <row r="125" spans="1:19" ht="17.25" thickBot="1">
      <c r="A125" s="161" t="s">
        <v>273</v>
      </c>
      <c r="B125" s="124">
        <v>68.3</v>
      </c>
      <c r="C125" s="76">
        <v>-1.1577423999999999E-2</v>
      </c>
      <c r="D125" s="13">
        <v>66.8</v>
      </c>
      <c r="E125" s="14">
        <f>IF(ISNUMBER(D125), (D125 - $B125) / $B125, "")</f>
        <v>-2.1961932650073207E-2</v>
      </c>
      <c r="F125" s="16">
        <f>IF(ISNUMBER(D125), $B145 * E125, "")</f>
        <v>-2196.1932650073209</v>
      </c>
      <c r="G125" s="29">
        <v>65.900000000000006</v>
      </c>
      <c r="H125" s="14">
        <f>IF(ISNUMBER(G125), (G125 - $B125) / $B125, "")</f>
        <v>-3.5139092240117006E-2</v>
      </c>
      <c r="I125" s="100">
        <f>IF(ISNUMBER(G125), $B145 * H125, "")</f>
        <v>-3513.9092240117006</v>
      </c>
      <c r="J125" s="13">
        <v>62</v>
      </c>
      <c r="K125" s="14">
        <f>IF(ISNUMBER(J125), (J125 - $B125) / $B125, "")</f>
        <v>-9.2240117130307428E-2</v>
      </c>
      <c r="L125" s="16">
        <f>IF(ISNUMBER(J125), $B145 * K125, "")</f>
        <v>-9224.0117130307426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1"/>
      <c r="R125" s="261"/>
      <c r="S125" s="261"/>
    </row>
    <row r="126" spans="1:19" ht="17.25" thickBot="1">
      <c r="A126" s="162" t="s">
        <v>167</v>
      </c>
      <c r="B126" s="126">
        <v>73.599999999999994</v>
      </c>
      <c r="C126" s="77">
        <v>-1.9973368799999999E-2</v>
      </c>
      <c r="D126" s="15">
        <v>70.599999999999994</v>
      </c>
      <c r="E126" s="32">
        <f t="shared" ref="E126:E129" si="62">IF(ISNUMBER(D126), (D126 - $B126) / $B126, "")</f>
        <v>-4.0760869565217392E-2</v>
      </c>
      <c r="F126" s="18">
        <f>IF(ISNUMBER(D126), $B145 * E126, "")</f>
        <v>-4076.086956521739</v>
      </c>
      <c r="G126" s="31">
        <v>69.2</v>
      </c>
      <c r="H126" s="32">
        <f t="shared" ref="H126:H129" si="63">IF(ISNUMBER(G126), (G126 - $B126) / $B126, "")</f>
        <v>-5.9782608695652065E-2</v>
      </c>
      <c r="I126" s="101">
        <f>IF(ISNUMBER(G126), $B145 * H126, "")</f>
        <v>-5978.2608695652061</v>
      </c>
      <c r="J126" s="15">
        <v>64.099999999999994</v>
      </c>
      <c r="K126" s="32">
        <f t="shared" ref="K126:K129" si="64">IF(ISNUMBER(J126), (J126 - $B126) / $B126, "")</f>
        <v>-0.12907608695652176</v>
      </c>
      <c r="L126" s="18">
        <f>IF(ISNUMBER(J126), $B145 * K126, "")</f>
        <v>-12907.608695652176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1"/>
      <c r="R126" s="261"/>
      <c r="S126" s="261"/>
    </row>
    <row r="127" spans="1:19" ht="17.25" thickBot="1">
      <c r="A127" s="162" t="s">
        <v>277</v>
      </c>
      <c r="B127" s="126">
        <v>53.7</v>
      </c>
      <c r="C127" s="77">
        <v>-2.3636363600000002E-2</v>
      </c>
      <c r="D127" s="15">
        <v>51.3</v>
      </c>
      <c r="E127" s="32">
        <f t="shared" si="62"/>
        <v>-4.4692737430167703E-2</v>
      </c>
      <c r="F127" s="18">
        <f>IF(ISNUMBER(D127), $B145 * E127, "")</f>
        <v>-4469.2737430167699</v>
      </c>
      <c r="G127" s="31">
        <v>50.3</v>
      </c>
      <c r="H127" s="32">
        <f t="shared" si="63"/>
        <v>-6.3314711359404197E-2</v>
      </c>
      <c r="I127" s="101">
        <f>IF(ISNUMBER(G127), $B145 * H127, "")</f>
        <v>-6331.47113594042</v>
      </c>
      <c r="J127" s="15">
        <v>48.8</v>
      </c>
      <c r="K127" s="32">
        <f t="shared" si="64"/>
        <v>-9.1247672253258943E-2</v>
      </c>
      <c r="L127" s="18">
        <f>IF(ISNUMBER(J127), $B145 * K127, "")</f>
        <v>-9124.7672253258952</v>
      </c>
      <c r="M127" s="31"/>
      <c r="N127" s="32" t="str">
        <f t="shared" si="65"/>
        <v/>
      </c>
      <c r="O127" s="18" t="str">
        <f>IF(ISNUMBER(M127), $B145 * N127, "")</f>
        <v/>
      </c>
      <c r="Q127" s="251"/>
      <c r="R127" s="251"/>
      <c r="S127" s="251"/>
    </row>
    <row r="128" spans="1:19" ht="17.25" thickBot="1">
      <c r="A128" s="162" t="s">
        <v>225</v>
      </c>
      <c r="B128" s="126">
        <v>7.2</v>
      </c>
      <c r="C128" s="77">
        <v>-2.5710419500000001E-2</v>
      </c>
      <c r="D128" s="15">
        <v>7.27</v>
      </c>
      <c r="E128" s="32">
        <f t="shared" si="62"/>
        <v>9.7222222222221374E-3</v>
      </c>
      <c r="F128" s="18">
        <f>IF(ISNUMBER(D128), $B145 * E128, "")</f>
        <v>972.22222222221376</v>
      </c>
      <c r="G128" s="31">
        <v>7.1</v>
      </c>
      <c r="H128" s="32">
        <f t="shared" si="63"/>
        <v>-1.3888888888888963E-2</v>
      </c>
      <c r="I128" s="101">
        <f>IF(ISNUMBER(G128), $B145 * H128, "")</f>
        <v>-1388.8888888888962</v>
      </c>
      <c r="J128" s="15">
        <v>6.65</v>
      </c>
      <c r="K128" s="32">
        <f t="shared" si="64"/>
        <v>-7.6388888888888867E-2</v>
      </c>
      <c r="L128" s="18">
        <f>IF(ISNUMBER(J128), $B145 * K128, "")</f>
        <v>-7638.8888888888869</v>
      </c>
      <c r="M128" s="31"/>
      <c r="N128" s="32" t="str">
        <f t="shared" si="65"/>
        <v/>
      </c>
      <c r="O128" s="18" t="str">
        <f>IF(ISNUMBER(M128), $B145 * N128, "")</f>
        <v/>
      </c>
      <c r="Q128" s="251"/>
      <c r="R128" s="251"/>
      <c r="S128" s="251"/>
    </row>
    <row r="129" spans="1:19" ht="17.25" thickBot="1">
      <c r="A129" s="163" t="s">
        <v>100</v>
      </c>
      <c r="B129" s="128">
        <v>3.57</v>
      </c>
      <c r="C129" s="78">
        <v>-2.7247956399999999E-2</v>
      </c>
      <c r="D129" s="20">
        <v>3.48</v>
      </c>
      <c r="E129" s="21">
        <f t="shared" si="62"/>
        <v>-2.5210084033613408E-2</v>
      </c>
      <c r="F129" s="22">
        <f>IF(ISNUMBER(D129), $B145 * E129, "")</f>
        <v>-2521.0084033613407</v>
      </c>
      <c r="G129" s="30">
        <v>3.41</v>
      </c>
      <c r="H129" s="21">
        <f t="shared" si="63"/>
        <v>-4.4817927170868264E-2</v>
      </c>
      <c r="I129" s="105">
        <f>IF(ISNUMBER(G129), $B145 * H129, "")</f>
        <v>-4481.7927170868261</v>
      </c>
      <c r="J129" s="20">
        <v>3.23</v>
      </c>
      <c r="K129" s="21">
        <f t="shared" si="64"/>
        <v>-9.5238095238095205E-2</v>
      </c>
      <c r="L129" s="22">
        <f>IF(ISNUMBER(J129), $B145 * K129, "")</f>
        <v>-9523.8095238095211</v>
      </c>
      <c r="M129" s="30"/>
      <c r="N129" s="21" t="str">
        <f t="shared" si="65"/>
        <v/>
      </c>
      <c r="O129" s="22" t="str">
        <f>IF(ISNUMBER(M129), $B145 * N129, "")</f>
        <v/>
      </c>
      <c r="Q129" s="251"/>
      <c r="R129" s="251"/>
      <c r="S129" s="251"/>
    </row>
    <row r="130" spans="1:19" ht="17.25" thickBot="1">
      <c r="A130" s="162" t="s">
        <v>195</v>
      </c>
      <c r="B130" s="129">
        <v>8.01</v>
      </c>
      <c r="C130" s="80">
        <v>-2.79126214E-2</v>
      </c>
      <c r="D130" s="106">
        <v>7.99</v>
      </c>
      <c r="E130" s="107">
        <f>IF(ISNUMBER(D130), (D130 - $B130) / $B130, "")</f>
        <v>-2.4968789013732301E-3</v>
      </c>
      <c r="F130" s="108">
        <f>IF(ISNUMBER(D130), $B145 * E130, "")</f>
        <v>-249.687890137323</v>
      </c>
      <c r="G130" s="109">
        <v>7.64</v>
      </c>
      <c r="H130" s="107">
        <f>IF(ISNUMBER(G130), (G130 - $B130) / $B130, "")</f>
        <v>-4.6192259675405759E-2</v>
      </c>
      <c r="I130" s="110">
        <f>IF(ISNUMBER(G130), $B145 * H130, "")</f>
        <v>-4619.2259675405758</v>
      </c>
      <c r="J130" s="106">
        <v>7.13</v>
      </c>
      <c r="K130" s="107">
        <f>IF(ISNUMBER(J130), (J130 - $B130) / $B130, "")</f>
        <v>-0.10986267166042446</v>
      </c>
      <c r="L130" s="108">
        <f>IF(ISNUMBER(J130), $B145 * K130, "")</f>
        <v>-10986.267166042446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1"/>
      <c r="R130" s="251"/>
      <c r="S130" s="251"/>
    </row>
    <row r="131" spans="1:19" ht="17.25" thickBot="1">
      <c r="A131" s="162" t="s">
        <v>134</v>
      </c>
      <c r="B131" s="126">
        <v>67.2</v>
      </c>
      <c r="C131" s="77">
        <v>-2.89017341E-2</v>
      </c>
      <c r="D131" s="15">
        <v>65.5</v>
      </c>
      <c r="E131" s="32">
        <f t="shared" ref="E131:E134" si="66">IF(ISNUMBER(D131), (D131 - $B131) / $B131, "")</f>
        <v>-2.529761904761909E-2</v>
      </c>
      <c r="F131" s="18">
        <f>IF(ISNUMBER(D131), $B145 * E131, "")</f>
        <v>-2529.7619047619091</v>
      </c>
      <c r="G131" s="31">
        <v>65</v>
      </c>
      <c r="H131" s="32">
        <f t="shared" ref="H131:H134" si="67">IF(ISNUMBER(G131), (G131 - $B131) / $B131, "")</f>
        <v>-3.2738095238095281E-2</v>
      </c>
      <c r="I131" s="101">
        <f>IF(ISNUMBER(G131), $B145 * H131, "")</f>
        <v>-3273.8095238095279</v>
      </c>
      <c r="J131" s="15">
        <v>60.7</v>
      </c>
      <c r="K131" s="32">
        <f t="shared" ref="K131:K134" si="68">IF(ISNUMBER(J131), (J131 - $B131) / $B131, "")</f>
        <v>-9.6726190476190466E-2</v>
      </c>
      <c r="L131" s="18">
        <f>IF(ISNUMBER(J131), $B145 * K131, "")</f>
        <v>-9672.6190476190459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1"/>
      <c r="R131" s="251"/>
      <c r="S131" s="251"/>
    </row>
    <row r="132" spans="1:19" ht="17.25" thickBot="1">
      <c r="A132" s="162" t="s">
        <v>212</v>
      </c>
      <c r="B132" s="126">
        <v>8.35</v>
      </c>
      <c r="C132" s="77">
        <v>-3.1322505799999997E-2</v>
      </c>
      <c r="D132" s="15">
        <v>8.65</v>
      </c>
      <c r="E132" s="32">
        <f t="shared" si="66"/>
        <v>3.5928143712574939E-2</v>
      </c>
      <c r="F132" s="18">
        <f>IF(ISNUMBER(D132), $B145 * E132, "")</f>
        <v>3592.8143712574938</v>
      </c>
      <c r="G132" s="31">
        <v>8.26</v>
      </c>
      <c r="H132" s="32">
        <f t="shared" si="67"/>
        <v>-1.0778443113772438E-2</v>
      </c>
      <c r="I132" s="101">
        <f>IF(ISNUMBER(G132), $B145 * H132, "")</f>
        <v>-1077.8443113772439</v>
      </c>
      <c r="J132" s="15">
        <v>7.69</v>
      </c>
      <c r="K132" s="32">
        <f t="shared" si="68"/>
        <v>-7.904191616766458E-2</v>
      </c>
      <c r="L132" s="18">
        <f>IF(ISNUMBER(J132), $B145 * K132, "")</f>
        <v>-7904.1916167664576</v>
      </c>
      <c r="M132" s="31"/>
      <c r="N132" s="32" t="str">
        <f t="shared" si="69"/>
        <v/>
      </c>
      <c r="O132" s="18" t="str">
        <f>IF(ISNUMBER(M132), $B145 * N132, "")</f>
        <v/>
      </c>
      <c r="Q132" s="251"/>
      <c r="R132" s="251"/>
      <c r="S132" s="251"/>
    </row>
    <row r="133" spans="1:19" ht="17.25" thickBot="1">
      <c r="A133" s="162" t="s">
        <v>229</v>
      </c>
      <c r="B133" s="126">
        <v>84.5</v>
      </c>
      <c r="C133" s="77">
        <v>-3.3180778000000001E-2</v>
      </c>
      <c r="D133" s="15">
        <v>92.3</v>
      </c>
      <c r="E133" s="32">
        <f t="shared" si="66"/>
        <v>9.2307692307692271E-2</v>
      </c>
      <c r="F133" s="18">
        <f>IF(ISNUMBER(D133), $B145 * E133, "")</f>
        <v>9230.7692307692269</v>
      </c>
      <c r="G133" s="31">
        <v>85.6</v>
      </c>
      <c r="H133" s="32">
        <f t="shared" si="67"/>
        <v>1.3017751479289873E-2</v>
      </c>
      <c r="I133" s="101">
        <f>IF(ISNUMBER(G133), $B145 * H133, "")</f>
        <v>1301.7751479289873</v>
      </c>
      <c r="J133" s="15">
        <v>81.400000000000006</v>
      </c>
      <c r="K133" s="32">
        <f t="shared" si="68"/>
        <v>-3.6686390532544313E-2</v>
      </c>
      <c r="L133" s="18">
        <f>IF(ISNUMBER(J133), $B145 * K133, "")</f>
        <v>-3668.6390532544315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72</v>
      </c>
      <c r="B134" s="131">
        <v>16.8</v>
      </c>
      <c r="C134" s="79">
        <v>-3.4482758600000003E-2</v>
      </c>
      <c r="D134" s="24">
        <v>16.600000000000001</v>
      </c>
      <c r="E134" s="25">
        <f t="shared" si="66"/>
        <v>-1.1904761904761862E-2</v>
      </c>
      <c r="F134" s="104">
        <f>IF(ISNUMBER(D134), $B145 * E134, "")</f>
        <v>-1190.4761904761863</v>
      </c>
      <c r="G134" s="102">
        <v>16.2</v>
      </c>
      <c r="H134" s="25">
        <f t="shared" si="67"/>
        <v>-3.5714285714285796E-2</v>
      </c>
      <c r="I134" s="103">
        <f>IF(ISNUMBER(G134), $B145 * H134, "")</f>
        <v>-3571.4285714285797</v>
      </c>
      <c r="J134" s="24">
        <v>14.9</v>
      </c>
      <c r="K134" s="25">
        <f t="shared" si="68"/>
        <v>-0.11309523809523811</v>
      </c>
      <c r="L134" s="104">
        <f>IF(ISNUMBER(J134), $B145 * K134, "")</f>
        <v>-11309.523809523811</v>
      </c>
      <c r="M134" s="102"/>
      <c r="N134" s="25" t="str">
        <f t="shared" si="69"/>
        <v/>
      </c>
      <c r="O134" s="104" t="str">
        <f>IF(ISNUMBER(M134), $B145 * N134, "")</f>
        <v/>
      </c>
      <c r="Q134" s="252"/>
      <c r="R134" s="253"/>
      <c r="S134" s="254"/>
    </row>
    <row r="135" spans="1:19">
      <c r="A135" s="161" t="s">
        <v>208</v>
      </c>
      <c r="B135" s="124">
        <v>75.3</v>
      </c>
      <c r="C135" s="76">
        <v>-3.46153846E-2</v>
      </c>
      <c r="D135" s="13">
        <v>89</v>
      </c>
      <c r="E135" s="14">
        <f>IF(ISNUMBER(D135), (D135 - $B135) / $B135, "")</f>
        <v>0.18193891102257639</v>
      </c>
      <c r="F135" s="16">
        <f>IF(ISNUMBER(D135), $B145 * E135, "")</f>
        <v>18193.891102257639</v>
      </c>
      <c r="G135" s="29">
        <v>80.8</v>
      </c>
      <c r="H135" s="14">
        <f>IF(ISNUMBER(G135), (G135 - $B135) / $B135, "")</f>
        <v>7.3041168658698544E-2</v>
      </c>
      <c r="I135" s="100">
        <f>IF(ISNUMBER(G135), $B145 * H135, "")</f>
        <v>7304.1168658698543</v>
      </c>
      <c r="J135" s="13">
        <v>75.5</v>
      </c>
      <c r="K135" s="14">
        <f>IF(ISNUMBER(J135), (J135 - $B135) / $B135, "")</f>
        <v>2.6560424966799849E-3</v>
      </c>
      <c r="L135" s="16">
        <f>IF(ISNUMBER(J135), $B145 * K135, "")</f>
        <v>265.60424966799849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5"/>
      <c r="R135" s="256"/>
      <c r="S135" s="257"/>
    </row>
    <row r="136" spans="1:19" ht="17.25" thickBot="1">
      <c r="A136" s="162" t="s">
        <v>154</v>
      </c>
      <c r="B136" s="126">
        <v>7.86</v>
      </c>
      <c r="C136" s="77">
        <v>-3.5582822100000001E-2</v>
      </c>
      <c r="D136" s="15">
        <v>8.01</v>
      </c>
      <c r="E136" s="32">
        <f t="shared" ref="E136:E139" si="70">IF(ISNUMBER(D136), (D136 - $B136) / $B136, "")</f>
        <v>1.9083969465648786E-2</v>
      </c>
      <c r="F136" s="18">
        <f>IF(ISNUMBER(D136), $B145 * E136, "")</f>
        <v>1908.3969465648786</v>
      </c>
      <c r="G136" s="31">
        <v>7.83</v>
      </c>
      <c r="H136" s="32">
        <f t="shared" ref="H136:H139" si="71">IF(ISNUMBER(G136), (G136 - $B136) / $B136, "")</f>
        <v>-3.8167938931298025E-3</v>
      </c>
      <c r="I136" s="101">
        <f>IF(ISNUMBER(G136), $B145 * H136, "")</f>
        <v>-381.67938931298028</v>
      </c>
      <c r="J136" s="15">
        <v>7.14</v>
      </c>
      <c r="K136" s="32">
        <f t="shared" ref="K136:K139" si="72">IF(ISNUMBER(J136), (J136 - $B136) / $B136, "")</f>
        <v>-9.1603053435114587E-2</v>
      </c>
      <c r="L136" s="18">
        <f>IF(ISNUMBER(J136), $B145 * K136, "")</f>
        <v>-9160.305343511458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8"/>
      <c r="R136" s="259"/>
      <c r="S136" s="260"/>
    </row>
    <row r="137" spans="1:19" ht="17.25" thickBot="1">
      <c r="A137" s="162" t="s">
        <v>236</v>
      </c>
      <c r="B137" s="126">
        <v>74</v>
      </c>
      <c r="C137" s="77">
        <v>-3.7711313400000002E-2</v>
      </c>
      <c r="D137" s="15">
        <v>93.4</v>
      </c>
      <c r="E137" s="32">
        <f t="shared" si="70"/>
        <v>0.26216216216216226</v>
      </c>
      <c r="F137" s="18">
        <f>IF(ISNUMBER(D137), $B145 * E137, "")</f>
        <v>26216.216216216228</v>
      </c>
      <c r="G137" s="31">
        <v>87.4</v>
      </c>
      <c r="H137" s="32">
        <f t="shared" si="71"/>
        <v>0.18108108108108115</v>
      </c>
      <c r="I137" s="101">
        <f>IF(ISNUMBER(G137), $B145 * H137, "")</f>
        <v>18108.108108108114</v>
      </c>
      <c r="J137" s="15">
        <v>86.8</v>
      </c>
      <c r="K137" s="32">
        <f t="shared" si="72"/>
        <v>0.17297297297297293</v>
      </c>
      <c r="L137" s="18">
        <f>IF(ISNUMBER(J137), $B145 * K137, "")</f>
        <v>17297.297297297293</v>
      </c>
      <c r="M137" s="31"/>
      <c r="N137" s="32" t="str">
        <f t="shared" si="73"/>
        <v/>
      </c>
      <c r="O137" s="18" t="str">
        <f>IF(ISNUMBER(M137), $B145 * N137, "")</f>
        <v/>
      </c>
      <c r="Q137" s="251"/>
      <c r="R137" s="251"/>
      <c r="S137" s="251"/>
    </row>
    <row r="138" spans="1:19" ht="17.25" thickBot="1">
      <c r="A138" s="162" t="s">
        <v>227</v>
      </c>
      <c r="B138" s="126">
        <v>78.7</v>
      </c>
      <c r="C138" s="77">
        <v>-4.0243902400000003E-2</v>
      </c>
      <c r="D138" s="15">
        <v>81.599999999999994</v>
      </c>
      <c r="E138" s="32">
        <f t="shared" si="70"/>
        <v>3.6848792884370922E-2</v>
      </c>
      <c r="F138" s="18">
        <f>IF(ISNUMBER(D138), $B145 * E138, "")</f>
        <v>3684.8792884370923</v>
      </c>
      <c r="G138" s="31">
        <v>79.900000000000006</v>
      </c>
      <c r="H138" s="32">
        <f t="shared" si="71"/>
        <v>1.5247776365946668E-2</v>
      </c>
      <c r="I138" s="101">
        <f>IF(ISNUMBER(G138), $B145 * H138, "")</f>
        <v>1524.7776365946668</v>
      </c>
      <c r="J138" s="15">
        <v>71.099999999999994</v>
      </c>
      <c r="K138" s="32">
        <f t="shared" si="72"/>
        <v>-9.6569250317662114E-2</v>
      </c>
      <c r="L138" s="18">
        <f>IF(ISNUMBER(J138), $B145 * K138, "")</f>
        <v>-9656.9250317662118</v>
      </c>
      <c r="M138" s="31"/>
      <c r="N138" s="32" t="str">
        <f t="shared" si="73"/>
        <v/>
      </c>
      <c r="O138" s="18" t="str">
        <f>IF(ISNUMBER(M138), $B145 * N138, "")</f>
        <v/>
      </c>
      <c r="Q138" s="261"/>
      <c r="R138" s="261"/>
      <c r="S138" s="261"/>
    </row>
    <row r="139" spans="1:19" ht="17.25" thickBot="1">
      <c r="A139" s="163" t="s">
        <v>152</v>
      </c>
      <c r="B139" s="128">
        <v>16.2</v>
      </c>
      <c r="C139" s="78">
        <v>-4.1420118300000003E-2</v>
      </c>
      <c r="D139" s="20">
        <v>15.9</v>
      </c>
      <c r="E139" s="21">
        <f t="shared" si="70"/>
        <v>-1.8518518518518455E-2</v>
      </c>
      <c r="F139" s="22">
        <f>IF(ISNUMBER(D139), $B145 * E139, "")</f>
        <v>-1851.8518518518456</v>
      </c>
      <c r="G139" s="30">
        <v>15.3</v>
      </c>
      <c r="H139" s="21">
        <f t="shared" si="71"/>
        <v>-5.5555555555555469E-2</v>
      </c>
      <c r="I139" s="105">
        <f>IF(ISNUMBER(G139), $B145 * H139, "")</f>
        <v>-5555.5555555555466</v>
      </c>
      <c r="J139" s="20">
        <v>14.6</v>
      </c>
      <c r="K139" s="21">
        <f t="shared" si="72"/>
        <v>-9.8765432098765413E-2</v>
      </c>
      <c r="L139" s="22">
        <f>IF(ISNUMBER(J139), $B145 * K139, "")</f>
        <v>-9876.5432098765414</v>
      </c>
      <c r="M139" s="30"/>
      <c r="N139" s="21" t="str">
        <f t="shared" si="73"/>
        <v/>
      </c>
      <c r="O139" s="22" t="str">
        <f>IF(ISNUMBER(M139), $B145 * N139, "")</f>
        <v/>
      </c>
      <c r="Q139" s="261"/>
      <c r="R139" s="261"/>
      <c r="S139" s="261"/>
    </row>
    <row r="140" spans="1:19" ht="17.25" thickBot="1">
      <c r="A140" s="162" t="s">
        <v>217</v>
      </c>
      <c r="B140" s="129">
        <v>9.51</v>
      </c>
      <c r="C140" s="80">
        <v>-4.8048048000000003E-2</v>
      </c>
      <c r="D140" s="106">
        <v>9.31</v>
      </c>
      <c r="E140" s="107">
        <f>IF(ISNUMBER(D140), (D140 - $B140) / $B140, "")</f>
        <v>-2.1030494216614015E-2</v>
      </c>
      <c r="F140" s="108">
        <f>IF(ISNUMBER(D140), $B145 * E140, "")</f>
        <v>-2103.0494216614015</v>
      </c>
      <c r="G140" s="109">
        <v>9.17</v>
      </c>
      <c r="H140" s="107">
        <f>IF(ISNUMBER(G140), (G140 - $B140) / $B140, "")</f>
        <v>-3.575184016824394E-2</v>
      </c>
      <c r="I140" s="110">
        <f>IF(ISNUMBER(G140), $B145 * H140, "")</f>
        <v>-3575.1840168243939</v>
      </c>
      <c r="J140" s="106">
        <v>8.65</v>
      </c>
      <c r="K140" s="107">
        <f>IF(ISNUMBER(J140), (J140 - $B140) / $B140, "")</f>
        <v>-9.0431125131440526E-2</v>
      </c>
      <c r="L140" s="108">
        <f>IF(ISNUMBER(J140), $B145 * K140, "")</f>
        <v>-9043.1125131440531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1"/>
      <c r="R140" s="251"/>
      <c r="S140" s="251"/>
    </row>
    <row r="141" spans="1:19" ht="17.25" thickBot="1">
      <c r="A141" s="162" t="s">
        <v>255</v>
      </c>
      <c r="B141" s="126">
        <v>47.3</v>
      </c>
      <c r="C141" s="77">
        <v>-5.0200803199999998E-2</v>
      </c>
      <c r="D141" s="15">
        <v>46.3</v>
      </c>
      <c r="E141" s="32">
        <f t="shared" ref="E141:E144" si="74">IF(ISNUMBER(D141), (D141 - $B141) / $B141, "")</f>
        <v>-2.1141649048625793E-2</v>
      </c>
      <c r="F141" s="18">
        <f>IF(ISNUMBER(D141), $B145 * E141, "")</f>
        <v>-2114.1649048625791</v>
      </c>
      <c r="G141" s="31">
        <v>46</v>
      </c>
      <c r="H141" s="32">
        <f t="shared" ref="H141:H144" si="75">IF(ISNUMBER(G141), (G141 - $B141) / $B141, "")</f>
        <v>-2.7484143763213471E-2</v>
      </c>
      <c r="I141" s="101">
        <f>IF(ISNUMBER(G141), $B145 * H141, "")</f>
        <v>-2748.4143763213469</v>
      </c>
      <c r="J141" s="15">
        <v>41</v>
      </c>
      <c r="K141" s="32">
        <f t="shared" ref="K141:K144" si="76">IF(ISNUMBER(J141), (J141 - $B141) / $B141, "")</f>
        <v>-0.13319238900634245</v>
      </c>
      <c r="L141" s="18">
        <f>IF(ISNUMBER(J141), $B145 * K141, "")</f>
        <v>-13319.238900634246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1"/>
      <c r="R141" s="251"/>
      <c r="S141" s="251"/>
    </row>
    <row r="142" spans="1:19" ht="17.25" thickBot="1">
      <c r="A142" s="162" t="s">
        <v>210</v>
      </c>
      <c r="B142" s="126">
        <v>46.2</v>
      </c>
      <c r="C142" s="77">
        <v>-5.9063136500000002E-2</v>
      </c>
      <c r="D142" s="15">
        <v>46.3</v>
      </c>
      <c r="E142" s="32">
        <f t="shared" si="74"/>
        <v>2.1645021645020413E-3</v>
      </c>
      <c r="F142" s="18">
        <f>IF(ISNUMBER(D142), $B145 * E142, "")</f>
        <v>216.45021645020412</v>
      </c>
      <c r="G142" s="31">
        <v>49.1</v>
      </c>
      <c r="H142" s="32">
        <f t="shared" si="75"/>
        <v>6.2770562770562741E-2</v>
      </c>
      <c r="I142" s="101">
        <f>IF(ISNUMBER(G142), $B145 * H142, "")</f>
        <v>6277.0562770562738</v>
      </c>
      <c r="J142" s="15">
        <v>43.7</v>
      </c>
      <c r="K142" s="32">
        <f t="shared" si="76"/>
        <v>-5.4112554112554112E-2</v>
      </c>
      <c r="L142" s="18">
        <f>IF(ISNUMBER(J142), $B145 * K142, "")</f>
        <v>-5411.2554112554108</v>
      </c>
      <c r="M142" s="31"/>
      <c r="N142" s="32" t="str">
        <f t="shared" si="77"/>
        <v/>
      </c>
      <c r="O142" s="18" t="str">
        <f>IF(ISNUMBER(M142), $B145 * N142, "")</f>
        <v/>
      </c>
      <c r="Q142" s="251"/>
      <c r="R142" s="251"/>
      <c r="S142" s="251"/>
    </row>
    <row r="143" spans="1:19">
      <c r="A143" s="162" t="s">
        <v>261</v>
      </c>
      <c r="B143" s="126">
        <v>47.6</v>
      </c>
      <c r="C143" s="77">
        <v>-6.4833005900000004E-2</v>
      </c>
      <c r="D143" s="15">
        <v>46.4</v>
      </c>
      <c r="E143" s="32">
        <f t="shared" si="74"/>
        <v>-2.5210084033613505E-2</v>
      </c>
      <c r="F143" s="18">
        <f>IF(ISNUMBER(D143), $B145 * E143, "")</f>
        <v>-2521.0084033613507</v>
      </c>
      <c r="G143" s="31">
        <v>45.5</v>
      </c>
      <c r="H143" s="32">
        <f t="shared" si="75"/>
        <v>-4.411764705882356E-2</v>
      </c>
      <c r="I143" s="101">
        <f>IF(ISNUMBER(G143), $B145 * H143, "")</f>
        <v>-4411.7647058823559</v>
      </c>
      <c r="J143" s="15">
        <v>43.2</v>
      </c>
      <c r="K143" s="32">
        <f t="shared" si="76"/>
        <v>-9.2436974789915929E-2</v>
      </c>
      <c r="L143" s="18">
        <f>IF(ISNUMBER(J143), $B145 * K143, "")</f>
        <v>-9243.697478991593</v>
      </c>
      <c r="M143" s="31"/>
      <c r="N143" s="32" t="str">
        <f t="shared" si="77"/>
        <v/>
      </c>
      <c r="O143" s="18" t="str">
        <f>IF(ISNUMBER(M143), $B145 * N143, "")</f>
        <v/>
      </c>
      <c r="Q143" s="240"/>
      <c r="R143" s="241"/>
      <c r="S143" s="242"/>
    </row>
    <row r="144" spans="1:19" ht="17.25" thickBot="1">
      <c r="A144" s="130" t="s">
        <v>201</v>
      </c>
      <c r="B144" s="131">
        <v>70</v>
      </c>
      <c r="C144" s="79">
        <v>-7.2847682100000005E-2</v>
      </c>
      <c r="D144" s="24">
        <v>69.400000000000006</v>
      </c>
      <c r="E144" s="25">
        <f t="shared" si="74"/>
        <v>-8.5714285714284903E-3</v>
      </c>
      <c r="F144" s="104">
        <f>IF(ISNUMBER(D144), $B145 * E144, "")</f>
        <v>-857.14285714284904</v>
      </c>
      <c r="G144" s="102">
        <v>68.900000000000006</v>
      </c>
      <c r="H144" s="25">
        <f t="shared" si="75"/>
        <v>-1.5714285714285632E-2</v>
      </c>
      <c r="I144" s="103">
        <f>IF(ISNUMBER(G144), $B145 * H144, "")</f>
        <v>-1571.4285714285631</v>
      </c>
      <c r="J144" s="24">
        <v>61.1</v>
      </c>
      <c r="K144" s="25">
        <f t="shared" si="76"/>
        <v>-0.12714285714285711</v>
      </c>
      <c r="L144" s="104">
        <f>IF(ISNUMBER(J144), $B145 * K144, "")</f>
        <v>-12714.285714285712</v>
      </c>
      <c r="M144" s="102"/>
      <c r="N144" s="25" t="str">
        <f t="shared" si="77"/>
        <v/>
      </c>
      <c r="O144" s="104" t="str">
        <f>IF(ISNUMBER(M144), $B145 * N144, "")</f>
        <v/>
      </c>
      <c r="Q144" s="243"/>
      <c r="R144" s="244"/>
      <c r="S144" s="245"/>
    </row>
    <row r="145" spans="1:19" ht="17.25" thickBot="1">
      <c r="A145" s="132" t="s">
        <v>295</v>
      </c>
      <c r="B145" s="304">
        <f>$B$37</f>
        <v>100000</v>
      </c>
      <c r="C145" s="305"/>
      <c r="D145" s="26" t="s">
        <v>296</v>
      </c>
      <c r="E145" s="27">
        <f>IF(COUNT(E125:E144), SUM(E125:E144) / COUNT(E125:E144), 0)</f>
        <v>1.8667966901006177E-2</v>
      </c>
      <c r="F145" s="28">
        <f>SUM(F125:F144)</f>
        <v>37335.933802012361</v>
      </c>
      <c r="G145" s="26" t="s">
        <v>296</v>
      </c>
      <c r="H145" s="27">
        <f>IF(COUNT(H125:H144), SUM(H125:H144) / COUNT(H125:H144), 0)</f>
        <v>-8.9824118947081366E-3</v>
      </c>
      <c r="I145" s="28">
        <f>SUM(I125:I144)</f>
        <v>-17964.823789416274</v>
      </c>
      <c r="J145" s="26" t="s">
        <v>296</v>
      </c>
      <c r="K145" s="27">
        <f>IF(COUNT(K125:K144), SUM(K125:K144) / COUNT(K125:K144), 0)</f>
        <v>-7.6411394398206656E-2</v>
      </c>
      <c r="L145" s="28">
        <f>SUM(L125:L144)</f>
        <v>-152822.78879641331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46"/>
      <c r="R145" s="247"/>
      <c r="S145" s="248"/>
    </row>
    <row r="147" spans="1:19" ht="17.25" thickBot="1"/>
    <row r="148" spans="1:19" ht="17.25" thickBot="1">
      <c r="A148" s="262" t="s">
        <v>284</v>
      </c>
      <c r="B148" s="263"/>
      <c r="C148" s="263"/>
      <c r="D148" s="263"/>
      <c r="E148" s="263"/>
      <c r="F148" s="263"/>
      <c r="G148" s="263"/>
      <c r="H148" s="263"/>
      <c r="I148" s="263"/>
      <c r="J148" s="263"/>
      <c r="K148" s="263"/>
      <c r="L148" s="263"/>
      <c r="M148" s="263"/>
      <c r="N148" s="263"/>
      <c r="O148" s="264"/>
      <c r="Q148" s="261"/>
      <c r="R148" s="261"/>
      <c r="S148" s="261"/>
    </row>
    <row r="149" spans="1:19" ht="17.25" thickBot="1">
      <c r="A149" s="236" t="s">
        <v>292</v>
      </c>
      <c r="B149" s="262" t="s">
        <v>49</v>
      </c>
      <c r="C149" s="264"/>
      <c r="D149" s="262" t="s">
        <v>58</v>
      </c>
      <c r="E149" s="263"/>
      <c r="F149" s="264"/>
      <c r="G149" s="265">
        <f>_xlfn.IFNA(VLOOKUP(B149, 현재가테이블!$B$2:$D$200, 2, FALSE), "-")</f>
        <v>40538000</v>
      </c>
      <c r="H149" s="266"/>
      <c r="I149" s="267"/>
      <c r="J149" s="262" t="s">
        <v>59</v>
      </c>
      <c r="K149" s="263"/>
      <c r="L149" s="264"/>
      <c r="M149" s="268">
        <f>_xlfn.IFNA(VLOOKUP(B149, 현재가테이블!$B$2:$D$200, 3, FALSE), "-")</f>
        <v>-3.68275993E-2</v>
      </c>
      <c r="N149" s="269"/>
      <c r="O149" s="270"/>
      <c r="Q149" s="261"/>
      <c r="R149" s="261"/>
      <c r="S149" s="261"/>
    </row>
    <row r="150" spans="1:19" ht="17.25" thickBot="1">
      <c r="A150" s="306" t="s">
        <v>55</v>
      </c>
      <c r="B150" s="302" t="str">
        <f>TEXT($G$1, "[$-ko-KR]yyyy-mm-dd(ddd) ") &amp; "오전 00:00"</f>
        <v>2021-06-20(일) 오전 00:00</v>
      </c>
      <c r="C150" s="303"/>
      <c r="D150" s="275" t="str">
        <f>TEXT($G$1, "[$-ko-KR]yyyy-mm-dd(ddd) ") &amp; "오후 14:00"</f>
        <v>2021-06-20(일) 오후 14:00</v>
      </c>
      <c r="E150" s="276"/>
      <c r="F150" s="277"/>
      <c r="G150" s="275" t="str">
        <f>TEXT($G$1, "[$-ko-KR]yyyy-mm-dd(ddd) ") &amp; "오후 19:00"</f>
        <v>2021-06-20(일) 오후 19:00</v>
      </c>
      <c r="H150" s="276"/>
      <c r="I150" s="277"/>
      <c r="J150" s="275" t="str">
        <f>TEXT($G$1, "[$-ko-KR]yyyy-mm-dd(ddd) ") &amp; "오후 21:00"</f>
        <v>2021-06-20(일) 오후 21:00</v>
      </c>
      <c r="K150" s="276"/>
      <c r="L150" s="277"/>
      <c r="M150" s="275" t="str">
        <f>TEXT($G$1+1, "[$-ko-KR]yyyy-mm-dd(ddd) ") &amp; "오전 00:00"</f>
        <v>2021-06-21(월) 오전 00:00</v>
      </c>
      <c r="N150" s="276"/>
      <c r="O150" s="277"/>
      <c r="Q150" s="261"/>
      <c r="R150" s="261"/>
      <c r="S150" s="261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7" t="s">
        <v>58</v>
      </c>
      <c r="H151" s="238" t="s">
        <v>293</v>
      </c>
      <c r="I151" s="23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1"/>
      <c r="R151" s="251"/>
      <c r="S151" s="251"/>
    </row>
    <row r="152" spans="1:19" ht="17.25" thickBot="1">
      <c r="A152" s="161" t="s">
        <v>173</v>
      </c>
      <c r="B152" s="124">
        <v>105</v>
      </c>
      <c r="C152" s="76">
        <v>-9.4339622999999994E-3</v>
      </c>
      <c r="D152" s="13">
        <v>103</v>
      </c>
      <c r="E152" s="14">
        <f>IF(ISNUMBER(D152), (D152 - $B152) / $B152, "")</f>
        <v>-1.9047619047619049E-2</v>
      </c>
      <c r="F152" s="16">
        <f>IF(ISNUMBER(D152), $B172 * E152, "")</f>
        <v>-1904.761904761905</v>
      </c>
      <c r="G152" s="29">
        <v>101</v>
      </c>
      <c r="H152" s="14">
        <f>IF(ISNUMBER(G152), (G152 - $B152) / $B152, "")</f>
        <v>-3.8095238095238099E-2</v>
      </c>
      <c r="I152" s="100">
        <f>IF(ISNUMBER(G152), $B172 * H152, "")</f>
        <v>-3809.5238095238101</v>
      </c>
      <c r="J152" s="13">
        <v>92.3</v>
      </c>
      <c r="K152" s="14">
        <f>IF(ISNUMBER(J152), (J152 - $B152) / $B152, "")</f>
        <v>-0.12095238095238098</v>
      </c>
      <c r="L152" s="16">
        <f>IF(ISNUMBER(J152), $B172 * K152, "")</f>
        <v>-12095.238095238097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1"/>
      <c r="R152" s="261"/>
      <c r="S152" s="261"/>
    </row>
    <row r="153" spans="1:19" ht="17.25" thickBot="1">
      <c r="A153" s="162" t="s">
        <v>175</v>
      </c>
      <c r="B153" s="126">
        <v>978</v>
      </c>
      <c r="C153" s="77">
        <v>-1.01214575E-2</v>
      </c>
      <c r="D153" s="15">
        <v>979</v>
      </c>
      <c r="E153" s="32">
        <f t="shared" ref="E153:E156" si="78">IF(ISNUMBER(D153), (D153 - $B153) / $B153, "")</f>
        <v>1.0224948875255625E-3</v>
      </c>
      <c r="F153" s="18">
        <f>IF(ISNUMBER(D153), $B172 * E153, "")</f>
        <v>102.24948875255625</v>
      </c>
      <c r="G153" s="31">
        <v>959</v>
      </c>
      <c r="H153" s="32">
        <f t="shared" ref="H153:H156" si="79">IF(ISNUMBER(G153), (G153 - $B153) / $B153, "")</f>
        <v>-1.9427402862985686E-2</v>
      </c>
      <c r="I153" s="101">
        <f>IF(ISNUMBER(G153), $B172 * H153, "")</f>
        <v>-1942.7402862985687</v>
      </c>
      <c r="J153" s="15">
        <v>903</v>
      </c>
      <c r="K153" s="32">
        <f t="shared" ref="K153:K156" si="80">IF(ISNUMBER(J153), (J153 - $B153) / $B153, "")</f>
        <v>-7.6687116564417179E-2</v>
      </c>
      <c r="L153" s="18">
        <f>IF(ISNUMBER(J153), $B172 * K153, "")</f>
        <v>-7668.7116564417183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1"/>
      <c r="R153" s="261"/>
      <c r="S153" s="261"/>
    </row>
    <row r="154" spans="1:19" ht="17.25" thickBot="1">
      <c r="A154" s="162" t="s">
        <v>92</v>
      </c>
      <c r="B154" s="126">
        <v>935</v>
      </c>
      <c r="C154" s="77">
        <v>-1.05820106E-2</v>
      </c>
      <c r="D154" s="15">
        <v>892</v>
      </c>
      <c r="E154" s="32">
        <f t="shared" si="78"/>
        <v>-4.5989304812834225E-2</v>
      </c>
      <c r="F154" s="18">
        <f>IF(ISNUMBER(D154), $B172 * E154, "")</f>
        <v>-4598.9304812834225</v>
      </c>
      <c r="G154" s="31">
        <v>882</v>
      </c>
      <c r="H154" s="32">
        <f t="shared" si="79"/>
        <v>-5.6684491978609627E-2</v>
      </c>
      <c r="I154" s="101">
        <f>IF(ISNUMBER(G154), $B172 * H154, "")</f>
        <v>-5668.4491978609631</v>
      </c>
      <c r="J154" s="15">
        <v>847</v>
      </c>
      <c r="K154" s="32">
        <f t="shared" si="80"/>
        <v>-9.4117647058823528E-2</v>
      </c>
      <c r="L154" s="18">
        <f>IF(ISNUMBER(J154), $B172 * K154, "")</f>
        <v>-9411.7647058823532</v>
      </c>
      <c r="M154" s="31"/>
      <c r="N154" s="32" t="str">
        <f t="shared" si="81"/>
        <v/>
      </c>
      <c r="O154" s="18" t="str">
        <f>IF(ISNUMBER(M154), $B172 * N154, "")</f>
        <v/>
      </c>
      <c r="Q154" s="251"/>
      <c r="R154" s="251"/>
      <c r="S154" s="251"/>
    </row>
    <row r="155" spans="1:19" ht="17.25" thickBot="1">
      <c r="A155" s="162" t="s">
        <v>57</v>
      </c>
      <c r="B155" s="126">
        <v>177</v>
      </c>
      <c r="C155" s="77">
        <v>-1.6666666699999999E-2</v>
      </c>
      <c r="D155" s="15">
        <v>172</v>
      </c>
      <c r="E155" s="32">
        <f t="shared" si="78"/>
        <v>-2.8248587570621469E-2</v>
      </c>
      <c r="F155" s="18">
        <f>IF(ISNUMBER(D155), $B172 * E155, "")</f>
        <v>-2824.8587570621471</v>
      </c>
      <c r="G155" s="31">
        <v>169</v>
      </c>
      <c r="H155" s="32">
        <f t="shared" si="79"/>
        <v>-4.519774011299435E-2</v>
      </c>
      <c r="I155" s="101">
        <f>IF(ISNUMBER(G155), $B172 * H155, "")</f>
        <v>-4519.7740112994352</v>
      </c>
      <c r="J155" s="15">
        <v>162</v>
      </c>
      <c r="K155" s="32">
        <f t="shared" si="80"/>
        <v>-8.4745762711864403E-2</v>
      </c>
      <c r="L155" s="18">
        <f>IF(ISNUMBER(J155), $B172 * K155, "")</f>
        <v>-8474.5762711864409</v>
      </c>
      <c r="M155" s="31"/>
      <c r="N155" s="32" t="str">
        <f t="shared" si="81"/>
        <v/>
      </c>
      <c r="O155" s="18" t="str">
        <f>IF(ISNUMBER(M155), $B172 * N155, "")</f>
        <v/>
      </c>
      <c r="Q155" s="251"/>
      <c r="R155" s="251"/>
      <c r="S155" s="251"/>
    </row>
    <row r="156" spans="1:19" ht="17.25" thickBot="1">
      <c r="A156" s="163" t="s">
        <v>165</v>
      </c>
      <c r="B156" s="128">
        <v>970</v>
      </c>
      <c r="C156" s="78">
        <v>-2.02020202E-2</v>
      </c>
      <c r="D156" s="20">
        <v>1010</v>
      </c>
      <c r="E156" s="21">
        <f t="shared" si="78"/>
        <v>4.1237113402061855E-2</v>
      </c>
      <c r="F156" s="22">
        <f>IF(ISNUMBER(D156), $B172 * E156, "")</f>
        <v>4123.7113402061859</v>
      </c>
      <c r="G156" s="30">
        <v>996</v>
      </c>
      <c r="H156" s="21">
        <f t="shared" si="79"/>
        <v>2.6804123711340205E-2</v>
      </c>
      <c r="I156" s="105">
        <f>IF(ISNUMBER(G156), $B172 * H156, "")</f>
        <v>2680.4123711340203</v>
      </c>
      <c r="J156" s="20">
        <v>945</v>
      </c>
      <c r="K156" s="21">
        <f t="shared" si="80"/>
        <v>-2.5773195876288658E-2</v>
      </c>
      <c r="L156" s="22">
        <f>IF(ISNUMBER(J156), $B172 * K156, "")</f>
        <v>-2577.319587628866</v>
      </c>
      <c r="M156" s="30"/>
      <c r="N156" s="21" t="str">
        <f t="shared" si="81"/>
        <v/>
      </c>
      <c r="O156" s="22" t="str">
        <f>IF(ISNUMBER(M156), $B172 * N156, "")</f>
        <v/>
      </c>
      <c r="Q156" s="251"/>
      <c r="R156" s="251"/>
      <c r="S156" s="251"/>
    </row>
    <row r="157" spans="1:19" ht="17.25" thickBot="1">
      <c r="A157" s="162" t="s">
        <v>169</v>
      </c>
      <c r="B157" s="129">
        <v>227</v>
      </c>
      <c r="C157" s="80">
        <v>-2.1551724099999999E-2</v>
      </c>
      <c r="D157" s="106">
        <v>227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226</v>
      </c>
      <c r="H157" s="107">
        <f>IF(ISNUMBER(G157), (G157 - $B157) / $B157, "")</f>
        <v>-4.4052863436123352E-3</v>
      </c>
      <c r="I157" s="110">
        <f>IF(ISNUMBER(G157), $B172 * H157, "")</f>
        <v>-440.52863436123351</v>
      </c>
      <c r="J157" s="106">
        <v>212</v>
      </c>
      <c r="K157" s="107">
        <f>IF(ISNUMBER(J157), (J157 - $B157) / $B157, "")</f>
        <v>-6.6079295154185022E-2</v>
      </c>
      <c r="L157" s="108">
        <f>IF(ISNUMBER(J157), $B172 * K157, "")</f>
        <v>-6607.929515418502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1"/>
      <c r="R157" s="251"/>
      <c r="S157" s="251"/>
    </row>
    <row r="158" spans="1:19" ht="17.25" thickBot="1">
      <c r="A158" s="162" t="s">
        <v>251</v>
      </c>
      <c r="B158" s="126">
        <v>130</v>
      </c>
      <c r="C158" s="77">
        <v>-2.2556390999999999E-2</v>
      </c>
      <c r="D158" s="15">
        <v>129</v>
      </c>
      <c r="E158" s="32">
        <f t="shared" ref="E158:E161" si="82">IF(ISNUMBER(D158), (D158 - $B158) / $B158, "")</f>
        <v>-7.6923076923076927E-3</v>
      </c>
      <c r="F158" s="18">
        <f>IF(ISNUMBER(D158), $B172 * E158, "")</f>
        <v>-769.23076923076928</v>
      </c>
      <c r="G158" s="31">
        <v>129</v>
      </c>
      <c r="H158" s="32">
        <f t="shared" ref="H158:H161" si="83">IF(ISNUMBER(G158), (G158 - $B158) / $B158, "")</f>
        <v>-7.6923076923076927E-3</v>
      </c>
      <c r="I158" s="101">
        <f>IF(ISNUMBER(G158), $B172 * H158, "")</f>
        <v>-769.23076923076928</v>
      </c>
      <c r="J158" s="15">
        <v>125</v>
      </c>
      <c r="K158" s="32">
        <f t="shared" ref="K158:K161" si="84">IF(ISNUMBER(J158), (J158 - $B158) / $B158, "")</f>
        <v>-3.8461538461538464E-2</v>
      </c>
      <c r="L158" s="18">
        <f>IF(ISNUMBER(J158), $B172 * K158, "")</f>
        <v>-3846.1538461538462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1"/>
      <c r="R158" s="251"/>
      <c r="S158" s="251"/>
    </row>
    <row r="159" spans="1:19" ht="17.25" thickBot="1">
      <c r="A159" s="162" t="s">
        <v>116</v>
      </c>
      <c r="B159" s="126">
        <v>296</v>
      </c>
      <c r="C159" s="77">
        <v>-2.6315789499999999E-2</v>
      </c>
      <c r="D159" s="15">
        <v>292</v>
      </c>
      <c r="E159" s="32">
        <f t="shared" si="82"/>
        <v>-1.3513513513513514E-2</v>
      </c>
      <c r="F159" s="18">
        <f>IF(ISNUMBER(D159), $B172 * E159, "")</f>
        <v>-1351.3513513513515</v>
      </c>
      <c r="G159" s="31">
        <v>284</v>
      </c>
      <c r="H159" s="32">
        <f t="shared" si="83"/>
        <v>-4.0540540540540543E-2</v>
      </c>
      <c r="I159" s="101">
        <f>IF(ISNUMBER(G159), $B172 * H159, "")</f>
        <v>-4054.0540540540542</v>
      </c>
      <c r="J159" s="15">
        <v>268</v>
      </c>
      <c r="K159" s="32">
        <f t="shared" si="84"/>
        <v>-9.45945945945946E-2</v>
      </c>
      <c r="L159" s="18">
        <f>IF(ISNUMBER(J159), $B172 * K159, "")</f>
        <v>-9459.45945945946</v>
      </c>
      <c r="M159" s="31"/>
      <c r="N159" s="32" t="str">
        <f t="shared" si="85"/>
        <v/>
      </c>
      <c r="O159" s="18" t="str">
        <f>IF(ISNUMBER(M159), $B172 * N159, "")</f>
        <v/>
      </c>
      <c r="Q159" s="251"/>
      <c r="R159" s="251"/>
      <c r="S159" s="251"/>
    </row>
    <row r="160" spans="1:19" ht="17.25" thickBot="1">
      <c r="A160" s="162" t="s">
        <v>279</v>
      </c>
      <c r="B160" s="126">
        <v>184</v>
      </c>
      <c r="C160" s="77">
        <v>-2.6455026499999999E-2</v>
      </c>
      <c r="D160" s="15">
        <v>180</v>
      </c>
      <c r="E160" s="32">
        <f t="shared" si="82"/>
        <v>-2.1739130434782608E-2</v>
      </c>
      <c r="F160" s="18">
        <f>IF(ISNUMBER(D160), $B172 * E160, "")</f>
        <v>-2173.913043478261</v>
      </c>
      <c r="G160" s="31">
        <v>178</v>
      </c>
      <c r="H160" s="32">
        <f t="shared" si="83"/>
        <v>-3.2608695652173912E-2</v>
      </c>
      <c r="I160" s="101">
        <f>IF(ISNUMBER(G160), $B172 * H160, "")</f>
        <v>-3260.869565217391</v>
      </c>
      <c r="J160" s="15">
        <v>166</v>
      </c>
      <c r="K160" s="32">
        <f t="shared" si="84"/>
        <v>-9.7826086956521743E-2</v>
      </c>
      <c r="L160" s="18">
        <f>IF(ISNUMBER(J160), $B172 * K160, "")</f>
        <v>-9782.608695652174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191</v>
      </c>
      <c r="B161" s="131">
        <v>881</v>
      </c>
      <c r="C161" s="79">
        <v>-2.6519337E-2</v>
      </c>
      <c r="D161" s="24">
        <v>864</v>
      </c>
      <c r="E161" s="25">
        <f t="shared" si="82"/>
        <v>-1.9296254256526674E-2</v>
      </c>
      <c r="F161" s="104">
        <f>IF(ISNUMBER(D161), $B172 * E161, "")</f>
        <v>-1929.6254256526674</v>
      </c>
      <c r="G161" s="102">
        <v>855</v>
      </c>
      <c r="H161" s="25">
        <f t="shared" si="83"/>
        <v>-2.9511918274687854E-2</v>
      </c>
      <c r="I161" s="103">
        <f>IF(ISNUMBER(G161), $B172 * H161, "")</f>
        <v>-2951.1918274687855</v>
      </c>
      <c r="J161" s="24">
        <v>797</v>
      </c>
      <c r="K161" s="25">
        <f t="shared" si="84"/>
        <v>-9.5346197502837682E-2</v>
      </c>
      <c r="L161" s="104">
        <f>IF(ISNUMBER(J161), $B172 * K161, "")</f>
        <v>-9534.6197502837676</v>
      </c>
      <c r="M161" s="102"/>
      <c r="N161" s="25" t="str">
        <f t="shared" si="85"/>
        <v/>
      </c>
      <c r="O161" s="104" t="str">
        <f>IF(ISNUMBER(M161), $B172 * N161, "")</f>
        <v/>
      </c>
      <c r="Q161" s="252"/>
      <c r="R161" s="253"/>
      <c r="S161" s="254"/>
    </row>
    <row r="162" spans="1:19">
      <c r="A162" s="161" t="s">
        <v>242</v>
      </c>
      <c r="B162" s="124">
        <v>221</v>
      </c>
      <c r="C162" s="76">
        <v>-3.07017544E-2</v>
      </c>
      <c r="D162" s="13">
        <v>233</v>
      </c>
      <c r="E162" s="14">
        <f>IF(ISNUMBER(D162), (D162 - $B162) / $B162, "")</f>
        <v>5.4298642533936653E-2</v>
      </c>
      <c r="F162" s="16">
        <f>IF(ISNUMBER(D162), $B172 * E162, "")</f>
        <v>5429.8642533936654</v>
      </c>
      <c r="G162" s="29">
        <v>223</v>
      </c>
      <c r="H162" s="14">
        <f>IF(ISNUMBER(G162), (G162 - $B162) / $B162, "")</f>
        <v>9.0497737556561094E-3</v>
      </c>
      <c r="I162" s="100">
        <f>IF(ISNUMBER(G162), $B172 * H162, "")</f>
        <v>904.97737556561094</v>
      </c>
      <c r="J162" s="13">
        <v>208</v>
      </c>
      <c r="K162" s="14">
        <f>IF(ISNUMBER(J162), (J162 - $B162) / $B162, "")</f>
        <v>-5.8823529411764705E-2</v>
      </c>
      <c r="L162" s="16">
        <f>IF(ISNUMBER(J162), $B172 * K162, "")</f>
        <v>-5882.3529411764703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5"/>
      <c r="R162" s="256"/>
      <c r="S162" s="257"/>
    </row>
    <row r="163" spans="1:19" ht="17.25" thickBot="1">
      <c r="A163" s="162" t="s">
        <v>128</v>
      </c>
      <c r="B163" s="126">
        <v>269</v>
      </c>
      <c r="C163" s="77">
        <v>-3.2374100699999998E-2</v>
      </c>
      <c r="D163" s="15">
        <v>269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263</v>
      </c>
      <c r="H163" s="32">
        <f t="shared" ref="H163:H166" si="87">IF(ISNUMBER(G163), (G163 - $B163) / $B163, "")</f>
        <v>-2.2304832713754646E-2</v>
      </c>
      <c r="I163" s="101">
        <f>IF(ISNUMBER(G163), $B172 * H163, "")</f>
        <v>-2230.4832713754645</v>
      </c>
      <c r="J163" s="15">
        <v>250</v>
      </c>
      <c r="K163" s="32">
        <f t="shared" ref="K163:K166" si="88">IF(ISNUMBER(J163), (J163 - $B163) / $B163, "")</f>
        <v>-7.0631970260223054E-2</v>
      </c>
      <c r="L163" s="18">
        <f>IF(ISNUMBER(J163), $B172 * K163, "")</f>
        <v>-7063.1970260223052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8"/>
      <c r="R163" s="259"/>
      <c r="S163" s="260"/>
    </row>
    <row r="164" spans="1:19" ht="17.25" thickBot="1">
      <c r="A164" s="162" t="s">
        <v>181</v>
      </c>
      <c r="B164" s="126">
        <v>205</v>
      </c>
      <c r="C164" s="77">
        <v>-3.3018867899999998E-2</v>
      </c>
      <c r="D164" s="15">
        <v>195</v>
      </c>
      <c r="E164" s="32">
        <f t="shared" si="86"/>
        <v>-4.878048780487805E-2</v>
      </c>
      <c r="F164" s="18">
        <f>IF(ISNUMBER(D164), $B172 * E164, "")</f>
        <v>-4878.0487804878048</v>
      </c>
      <c r="G164" s="31">
        <v>192</v>
      </c>
      <c r="H164" s="32">
        <f t="shared" si="87"/>
        <v>-6.3414634146341464E-2</v>
      </c>
      <c r="I164" s="101">
        <f>IF(ISNUMBER(G164), $B172 * H164, "")</f>
        <v>-6341.4634146341468</v>
      </c>
      <c r="J164" s="15">
        <v>183</v>
      </c>
      <c r="K164" s="32">
        <f t="shared" si="88"/>
        <v>-0.10731707317073171</v>
      </c>
      <c r="L164" s="18">
        <f>IF(ISNUMBER(J164), $B172 * K164, "")</f>
        <v>-10731.707317073171</v>
      </c>
      <c r="M164" s="31"/>
      <c r="N164" s="32" t="str">
        <f t="shared" si="89"/>
        <v/>
      </c>
      <c r="O164" s="18" t="str">
        <f>IF(ISNUMBER(M164), $B172 * N164, "")</f>
        <v/>
      </c>
      <c r="Q164" s="251"/>
      <c r="R164" s="251"/>
      <c r="S164" s="251"/>
    </row>
    <row r="165" spans="1:19" ht="17.25" thickBot="1">
      <c r="A165" s="162" t="s">
        <v>275</v>
      </c>
      <c r="B165" s="126">
        <v>701</v>
      </c>
      <c r="C165" s="77">
        <v>-4.2349726800000001E-2</v>
      </c>
      <c r="D165" s="15">
        <v>689</v>
      </c>
      <c r="E165" s="32">
        <f t="shared" si="86"/>
        <v>-1.7118402282453638E-2</v>
      </c>
      <c r="F165" s="18">
        <f>IF(ISNUMBER(D165), $B172 * E165, "")</f>
        <v>-1711.8402282453637</v>
      </c>
      <c r="G165" s="31">
        <v>679</v>
      </c>
      <c r="H165" s="32">
        <f t="shared" si="87"/>
        <v>-3.1383737517831668E-2</v>
      </c>
      <c r="I165" s="101">
        <f>IF(ISNUMBER(G165), $B172 * H165, "")</f>
        <v>-3138.3737517831669</v>
      </c>
      <c r="J165" s="15">
        <v>625</v>
      </c>
      <c r="K165" s="32">
        <f t="shared" si="88"/>
        <v>-0.10841654778887304</v>
      </c>
      <c r="L165" s="18">
        <f>IF(ISNUMBER(J165), $B172 * K165, "")</f>
        <v>-10841.654778887303</v>
      </c>
      <c r="M165" s="31"/>
      <c r="N165" s="32" t="str">
        <f t="shared" si="89"/>
        <v/>
      </c>
      <c r="O165" s="18" t="str">
        <f>IF(ISNUMBER(M165), $B172 * N165, "")</f>
        <v/>
      </c>
      <c r="Q165" s="261"/>
      <c r="R165" s="261"/>
      <c r="S165" s="261"/>
    </row>
    <row r="166" spans="1:19" ht="17.25" thickBot="1">
      <c r="A166" s="163" t="s">
        <v>214</v>
      </c>
      <c r="B166" s="128">
        <v>226</v>
      </c>
      <c r="C166" s="78">
        <v>-4.23728814E-2</v>
      </c>
      <c r="D166" s="20">
        <v>238</v>
      </c>
      <c r="E166" s="21">
        <f t="shared" si="86"/>
        <v>5.3097345132743362E-2</v>
      </c>
      <c r="F166" s="22">
        <f>IF(ISNUMBER(D166), $B172 * E166, "")</f>
        <v>5309.7345132743358</v>
      </c>
      <c r="G166" s="30">
        <v>234</v>
      </c>
      <c r="H166" s="21">
        <f t="shared" si="87"/>
        <v>3.5398230088495575E-2</v>
      </c>
      <c r="I166" s="105">
        <f>IF(ISNUMBER(G166), $B172 * H166, "")</f>
        <v>3539.8230088495575</v>
      </c>
      <c r="J166" s="20">
        <v>229</v>
      </c>
      <c r="K166" s="21">
        <f t="shared" si="88"/>
        <v>1.3274336283185841E-2</v>
      </c>
      <c r="L166" s="22">
        <f>IF(ISNUMBER(J166), $B172 * K166, "")</f>
        <v>1327.4336283185839</v>
      </c>
      <c r="M166" s="30"/>
      <c r="N166" s="21" t="str">
        <f t="shared" si="89"/>
        <v/>
      </c>
      <c r="O166" s="22" t="str">
        <f>IF(ISNUMBER(M166), $B172 * N166, "")</f>
        <v/>
      </c>
      <c r="Q166" s="261"/>
      <c r="R166" s="261"/>
      <c r="S166" s="261"/>
    </row>
    <row r="167" spans="1:19" ht="17.25" thickBot="1">
      <c r="A167" s="162" t="s">
        <v>253</v>
      </c>
      <c r="B167" s="129">
        <v>359</v>
      </c>
      <c r="C167" s="80">
        <v>-4.2666666700000001E-2</v>
      </c>
      <c r="D167" s="106">
        <v>352</v>
      </c>
      <c r="E167" s="107">
        <f>IF(ISNUMBER(D167), (D167 - $B167) / $B167, "")</f>
        <v>-1.9498607242339833E-2</v>
      </c>
      <c r="F167" s="108">
        <f>IF(ISNUMBER(D167), $B172 * E167, "")</f>
        <v>-1949.8607242339833</v>
      </c>
      <c r="G167" s="109">
        <v>342</v>
      </c>
      <c r="H167" s="107">
        <f>IF(ISNUMBER(G167), (G167 - $B167) / $B167, "")</f>
        <v>-4.7353760445682451E-2</v>
      </c>
      <c r="I167" s="110">
        <f>IF(ISNUMBER(G167), $B172 * H167, "")</f>
        <v>-4735.3760445682447</v>
      </c>
      <c r="J167" s="106">
        <v>326</v>
      </c>
      <c r="K167" s="107">
        <f>IF(ISNUMBER(J167), (J167 - $B167) / $B167, "")</f>
        <v>-9.1922005571030641E-2</v>
      </c>
      <c r="L167" s="108">
        <f>IF(ISNUMBER(J167), $B172 * K167, "")</f>
        <v>-9192.2005571030641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1"/>
      <c r="R167" s="251"/>
      <c r="S167" s="251"/>
    </row>
    <row r="168" spans="1:19" ht="17.25" thickBot="1">
      <c r="A168" s="162" t="s">
        <v>257</v>
      </c>
      <c r="B168" s="126">
        <v>414</v>
      </c>
      <c r="C168" s="77">
        <v>-4.3879907599999997E-2</v>
      </c>
      <c r="D168" s="15">
        <v>396</v>
      </c>
      <c r="E168" s="32">
        <f t="shared" ref="E168:E171" si="90">IF(ISNUMBER(D168), (D168 - $B168) / $B168, "")</f>
        <v>-4.3478260869565216E-2</v>
      </c>
      <c r="F168" s="18">
        <f>IF(ISNUMBER(D168), $B172 * E168, "")</f>
        <v>-4347.826086956522</v>
      </c>
      <c r="G168" s="31">
        <v>391</v>
      </c>
      <c r="H168" s="32">
        <f t="shared" ref="H168:H171" si="91">IF(ISNUMBER(G168), (G168 - $B168) / $B168, "")</f>
        <v>-5.5555555555555552E-2</v>
      </c>
      <c r="I168" s="101">
        <f>IF(ISNUMBER(G168), $B172 * H168, "")</f>
        <v>-5555.5555555555557</v>
      </c>
      <c r="J168" s="15">
        <v>376</v>
      </c>
      <c r="K168" s="32">
        <f t="shared" ref="K168:K171" si="92">IF(ISNUMBER(J168), (J168 - $B168) / $B168, "")</f>
        <v>-9.1787439613526575E-2</v>
      </c>
      <c r="L168" s="18">
        <f>IF(ISNUMBER(J168), $B172 * K168, "")</f>
        <v>-9178.7439613526567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1"/>
      <c r="R168" s="251"/>
      <c r="S168" s="251"/>
    </row>
    <row r="169" spans="1:19" ht="17.25" thickBot="1">
      <c r="A169" s="162" t="s">
        <v>54</v>
      </c>
      <c r="B169" s="126">
        <v>235</v>
      </c>
      <c r="C169" s="77">
        <v>-4.4715447200000001E-2</v>
      </c>
      <c r="D169" s="15">
        <v>228</v>
      </c>
      <c r="E169" s="32">
        <f t="shared" si="90"/>
        <v>-2.9787234042553193E-2</v>
      </c>
      <c r="F169" s="18">
        <f>IF(ISNUMBER(D169), $B172 * E169, "")</f>
        <v>-2978.7234042553191</v>
      </c>
      <c r="G169" s="31">
        <v>224</v>
      </c>
      <c r="H169" s="32">
        <f t="shared" si="91"/>
        <v>-4.6808510638297871E-2</v>
      </c>
      <c r="I169" s="101">
        <f>IF(ISNUMBER(G169), $B172 * H169, "")</f>
        <v>-4680.8510638297867</v>
      </c>
      <c r="J169" s="15">
        <v>218</v>
      </c>
      <c r="K169" s="32">
        <f t="shared" si="92"/>
        <v>-7.2340425531914887E-2</v>
      </c>
      <c r="L169" s="18">
        <f>IF(ISNUMBER(J169), $B172 * K169, "")</f>
        <v>-7234.0425531914889</v>
      </c>
      <c r="M169" s="31"/>
      <c r="N169" s="32" t="str">
        <f t="shared" si="93"/>
        <v/>
      </c>
      <c r="O169" s="18" t="str">
        <f>IF(ISNUMBER(M169), $B172 * N169, "")</f>
        <v/>
      </c>
      <c r="Q169" s="251"/>
      <c r="R169" s="251"/>
      <c r="S169" s="251"/>
    </row>
    <row r="170" spans="1:19">
      <c r="A170" s="162" t="s">
        <v>223</v>
      </c>
      <c r="B170" s="126">
        <v>184</v>
      </c>
      <c r="C170" s="77">
        <v>-4.6632124400000002E-2</v>
      </c>
      <c r="D170" s="15">
        <v>184</v>
      </c>
      <c r="E170" s="32">
        <f t="shared" si="90"/>
        <v>0</v>
      </c>
      <c r="F170" s="18">
        <f>IF(ISNUMBER(D170), $B172 * E170, "")</f>
        <v>0</v>
      </c>
      <c r="G170" s="31">
        <v>179</v>
      </c>
      <c r="H170" s="32">
        <f t="shared" si="91"/>
        <v>-2.717391304347826E-2</v>
      </c>
      <c r="I170" s="101">
        <f>IF(ISNUMBER(G170), $B172 * H170, "")</f>
        <v>-2717.391304347826</v>
      </c>
      <c r="J170" s="15">
        <v>166</v>
      </c>
      <c r="K170" s="32">
        <f t="shared" si="92"/>
        <v>-9.7826086956521743E-2</v>
      </c>
      <c r="L170" s="18">
        <f>IF(ISNUMBER(J170), $B172 * K170, "")</f>
        <v>-9782.608695652174</v>
      </c>
      <c r="M170" s="31"/>
      <c r="N170" s="32" t="str">
        <f t="shared" si="93"/>
        <v/>
      </c>
      <c r="O170" s="18" t="str">
        <f>IF(ISNUMBER(M170), $B172 * N170, "")</f>
        <v/>
      </c>
      <c r="Q170" s="240"/>
      <c r="R170" s="241"/>
      <c r="S170" s="242"/>
    </row>
    <row r="171" spans="1:19" ht="17.25" thickBot="1">
      <c r="A171" s="130" t="s">
        <v>199</v>
      </c>
      <c r="B171" s="131">
        <v>170</v>
      </c>
      <c r="C171" s="79">
        <v>-6.07734807E-2</v>
      </c>
      <c r="D171" s="24">
        <v>158</v>
      </c>
      <c r="E171" s="25">
        <f t="shared" si="90"/>
        <v>-7.0588235294117646E-2</v>
      </c>
      <c r="F171" s="104">
        <f>IF(ISNUMBER(D171), $B172 * E171, "")</f>
        <v>-7058.8235294117649</v>
      </c>
      <c r="G171" s="102">
        <v>153</v>
      </c>
      <c r="H171" s="25">
        <f t="shared" si="91"/>
        <v>-0.1</v>
      </c>
      <c r="I171" s="103">
        <f>IF(ISNUMBER(G171), $B172 * H171, "")</f>
        <v>-10000</v>
      </c>
      <c r="J171" s="24">
        <v>144</v>
      </c>
      <c r="K171" s="25">
        <f t="shared" si="92"/>
        <v>-0.15294117647058825</v>
      </c>
      <c r="L171" s="104">
        <f>IF(ISNUMBER(J171), $B172 * K171, "")</f>
        <v>-15294.117647058825</v>
      </c>
      <c r="M171" s="102"/>
      <c r="N171" s="25" t="str">
        <f t="shared" si="93"/>
        <v/>
      </c>
      <c r="O171" s="104" t="str">
        <f>IF(ISNUMBER(M171), $B172 * N171, "")</f>
        <v/>
      </c>
      <c r="Q171" s="243"/>
      <c r="R171" s="244"/>
      <c r="S171" s="245"/>
    </row>
    <row r="172" spans="1:19" ht="17.25" thickBot="1">
      <c r="A172" s="132" t="s">
        <v>295</v>
      </c>
      <c r="B172" s="304">
        <f>$B$37</f>
        <v>100000</v>
      </c>
      <c r="C172" s="305"/>
      <c r="D172" s="26" t="s">
        <v>296</v>
      </c>
      <c r="E172" s="27">
        <f>IF(COUNT(E152:E171), SUM(E152:E171) / COUNT(E152:E171), 0)</f>
        <v>-1.1756117445392268E-2</v>
      </c>
      <c r="F172" s="28">
        <f>SUM(F152:F171)</f>
        <v>-23512.234890784541</v>
      </c>
      <c r="G172" s="26" t="s">
        <v>296</v>
      </c>
      <c r="H172" s="27">
        <f>IF(COUNT(H152:H171), SUM(H152:H171) / COUNT(H152:H171), 0)</f>
        <v>-2.984532190293001E-2</v>
      </c>
      <c r="I172" s="28">
        <f>SUM(I152:I171)</f>
        <v>-59690.643805860018</v>
      </c>
      <c r="J172" s="26" t="s">
        <v>296</v>
      </c>
      <c r="K172" s="27">
        <f>IF(COUNT(K152:K171), SUM(K152:K171) / COUNT(K152:K171), 0)</f>
        <v>-8.1665786716272046E-2</v>
      </c>
      <c r="L172" s="28">
        <f>SUM(L152:L171)</f>
        <v>-163331.57343254407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46"/>
      <c r="R172" s="247"/>
      <c r="S172" s="248"/>
    </row>
    <row r="174" spans="1:19" ht="17.25" thickBot="1"/>
    <row r="175" spans="1:19" ht="17.25" thickBot="1">
      <c r="A175" s="262" t="s">
        <v>280</v>
      </c>
      <c r="B175" s="263"/>
      <c r="C175" s="263"/>
      <c r="D175" s="263"/>
      <c r="E175" s="263"/>
      <c r="F175" s="263"/>
      <c r="G175" s="263"/>
      <c r="H175" s="263"/>
      <c r="I175" s="263"/>
      <c r="J175" s="263"/>
      <c r="K175" s="263"/>
      <c r="L175" s="263"/>
      <c r="M175" s="263"/>
      <c r="N175" s="263"/>
      <c r="O175" s="264"/>
      <c r="Q175" s="261"/>
      <c r="R175" s="261"/>
      <c r="S175" s="261"/>
    </row>
    <row r="176" spans="1:19" ht="17.25" thickBot="1">
      <c r="A176" s="236" t="s">
        <v>292</v>
      </c>
      <c r="B176" s="262" t="s">
        <v>49</v>
      </c>
      <c r="C176" s="264"/>
      <c r="D176" s="262" t="s">
        <v>58</v>
      </c>
      <c r="E176" s="263"/>
      <c r="F176" s="264"/>
      <c r="G176" s="265">
        <f>_xlfn.IFNA(VLOOKUP(B176, 현재가테이블!$B$2:$D$200, 2, FALSE), "-")</f>
        <v>40538000</v>
      </c>
      <c r="H176" s="266"/>
      <c r="I176" s="267"/>
      <c r="J176" s="262" t="s">
        <v>59</v>
      </c>
      <c r="K176" s="263"/>
      <c r="L176" s="264"/>
      <c r="M176" s="268">
        <f>_xlfn.IFNA(VLOOKUP(B176, 현재가테이블!$B$2:$D$200, 3, FALSE), "-")</f>
        <v>-3.68275993E-2</v>
      </c>
      <c r="N176" s="269"/>
      <c r="O176" s="270"/>
      <c r="Q176" s="261"/>
      <c r="R176" s="261"/>
      <c r="S176" s="261"/>
    </row>
    <row r="177" spans="1:19" ht="17.25" thickBot="1">
      <c r="A177" s="306" t="s">
        <v>55</v>
      </c>
      <c r="B177" s="302" t="str">
        <f>TEXT($G$1, "[$-ko-KR]yyyy-mm-dd(ddd) ") &amp; "오전 00:00"</f>
        <v>2021-06-20(일) 오전 00:00</v>
      </c>
      <c r="C177" s="303"/>
      <c r="D177" s="275" t="str">
        <f>TEXT($G$1, "[$-ko-KR]yyyy-mm-dd(ddd) ") &amp; "오후 14:00"</f>
        <v>2021-06-20(일) 오후 14:00</v>
      </c>
      <c r="E177" s="276"/>
      <c r="F177" s="277"/>
      <c r="G177" s="275" t="str">
        <f>TEXT($G$1, "[$-ko-KR]yyyy-mm-dd(ddd) ") &amp; "오후 19:00"</f>
        <v>2021-06-20(일) 오후 19:00</v>
      </c>
      <c r="H177" s="276"/>
      <c r="I177" s="277"/>
      <c r="J177" s="275" t="str">
        <f>TEXT($G$1, "[$-ko-KR]yyyy-mm-dd(ddd) ") &amp; "오후 21:00"</f>
        <v>2021-06-20(일) 오후 21:00</v>
      </c>
      <c r="K177" s="276"/>
      <c r="L177" s="277"/>
      <c r="M177" s="275" t="str">
        <f>TEXT($G$1+1, "[$-ko-KR]yyyy-mm-dd(ddd) ") &amp; "오전 00:00"</f>
        <v>2021-06-21(월) 오전 00:00</v>
      </c>
      <c r="N177" s="276"/>
      <c r="O177" s="277"/>
      <c r="Q177" s="261"/>
      <c r="R177" s="261"/>
      <c r="S177" s="261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7" t="s">
        <v>58</v>
      </c>
      <c r="H178" s="238" t="s">
        <v>293</v>
      </c>
      <c r="I178" s="23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1"/>
      <c r="R178" s="251"/>
      <c r="S178" s="251"/>
    </row>
    <row r="179" spans="1:19" ht="17.25" thickBot="1">
      <c r="A179" s="161" t="s">
        <v>154</v>
      </c>
      <c r="B179" s="124">
        <v>7.86</v>
      </c>
      <c r="C179" s="76">
        <v>-3.5582822100000001E-2</v>
      </c>
      <c r="D179" s="13">
        <v>8.01</v>
      </c>
      <c r="E179" s="14">
        <f>IF(ISNUMBER(D179), (D179 - $B179) / $B179, "")</f>
        <v>1.9083969465648786E-2</v>
      </c>
      <c r="F179" s="16">
        <f>IF(ISNUMBER(D179), $B199 * E179, "")</f>
        <v>1908.3969465648786</v>
      </c>
      <c r="G179" s="29">
        <v>7.83</v>
      </c>
      <c r="H179" s="14">
        <f>IF(ISNUMBER(G179), (G179 - $B179) / $B179, "")</f>
        <v>-3.8167938931298025E-3</v>
      </c>
      <c r="I179" s="100">
        <f>IF(ISNUMBER(G179), $B199 * H179, "")</f>
        <v>-381.67938931298028</v>
      </c>
      <c r="J179" s="13">
        <v>7.14</v>
      </c>
      <c r="K179" s="14">
        <f>IF(ISNUMBER(J179), (J179 - $B179) / $B179, "")</f>
        <v>-9.1603053435114587E-2</v>
      </c>
      <c r="L179" s="16">
        <f>IF(ISNUMBER(J179), $B199 * K179, "")</f>
        <v>-9160.305343511458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1"/>
      <c r="R179" s="261"/>
      <c r="S179" s="261"/>
    </row>
    <row r="180" spans="1:19" ht="17.25" thickBot="1">
      <c r="A180" s="162" t="s">
        <v>189</v>
      </c>
      <c r="B180" s="126">
        <v>51940</v>
      </c>
      <c r="C180" s="77">
        <v>-3.6184820899999998E-2</v>
      </c>
      <c r="D180" s="15">
        <v>51090</v>
      </c>
      <c r="E180" s="32">
        <f t="shared" ref="E180:E183" si="94">IF(ISNUMBER(D180), (D180 - $B180) / $B180, "")</f>
        <v>-1.6365036580670005E-2</v>
      </c>
      <c r="F180" s="18">
        <f>IF(ISNUMBER(D180), $B199 * E180, "")</f>
        <v>-1636.5036580670005</v>
      </c>
      <c r="G180" s="31">
        <v>50740</v>
      </c>
      <c r="H180" s="32">
        <f t="shared" ref="H180:H183" si="95">IF(ISNUMBER(G180), (G180 - $B180) / $B180, "")</f>
        <v>-2.3103581055063535E-2</v>
      </c>
      <c r="I180" s="101">
        <f>IF(ISNUMBER(G180), $B199 * H180, "")</f>
        <v>-2310.3581055063537</v>
      </c>
      <c r="J180" s="15">
        <v>49660</v>
      </c>
      <c r="K180" s="32">
        <f t="shared" ref="K180:K183" si="96">IF(ISNUMBER(J180), (J180 - $B180) / $B180, "")</f>
        <v>-4.3896804004620718E-2</v>
      </c>
      <c r="L180" s="18">
        <f>IF(ISNUMBER(J180), $B199 * K180, "")</f>
        <v>-4389.6804004620717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1"/>
      <c r="R180" s="261"/>
      <c r="S180" s="261"/>
    </row>
    <row r="181" spans="1:19" ht="17.25" thickBot="1">
      <c r="A181" s="162" t="s">
        <v>67</v>
      </c>
      <c r="B181" s="126">
        <v>3115</v>
      </c>
      <c r="C181" s="77">
        <v>-3.7094281299999997E-2</v>
      </c>
      <c r="D181" s="15">
        <v>3060</v>
      </c>
      <c r="E181" s="32">
        <f t="shared" si="94"/>
        <v>-1.7656500802568219E-2</v>
      </c>
      <c r="F181" s="18">
        <f>IF(ISNUMBER(D181), $B199 * E181, "")</f>
        <v>-1765.6500802568219</v>
      </c>
      <c r="G181" s="31">
        <v>3010</v>
      </c>
      <c r="H181" s="32">
        <f t="shared" si="95"/>
        <v>-3.3707865168539325E-2</v>
      </c>
      <c r="I181" s="101">
        <f>IF(ISNUMBER(G181), $B199 * H181, "")</f>
        <v>-3370.7865168539324</v>
      </c>
      <c r="J181" s="15">
        <v>2750</v>
      </c>
      <c r="K181" s="32">
        <f t="shared" si="96"/>
        <v>-0.11717495987158909</v>
      </c>
      <c r="L181" s="18">
        <f>IF(ISNUMBER(J181), $B199 * K181, "")</f>
        <v>-11717.495987158909</v>
      </c>
      <c r="M181" s="31"/>
      <c r="N181" s="32" t="str">
        <f t="shared" si="97"/>
        <v/>
      </c>
      <c r="O181" s="18" t="str">
        <f>IF(ISNUMBER(M181), $B199 * N181, "")</f>
        <v/>
      </c>
      <c r="Q181" s="251"/>
      <c r="R181" s="251"/>
      <c r="S181" s="251"/>
    </row>
    <row r="182" spans="1:19" ht="17.25" thickBot="1">
      <c r="A182" s="162" t="s">
        <v>236</v>
      </c>
      <c r="B182" s="126">
        <v>74</v>
      </c>
      <c r="C182" s="77">
        <v>-3.7711313400000002E-2</v>
      </c>
      <c r="D182" s="15">
        <v>93.4</v>
      </c>
      <c r="E182" s="32">
        <f t="shared" si="94"/>
        <v>0.26216216216216226</v>
      </c>
      <c r="F182" s="18">
        <f>IF(ISNUMBER(D182), $B199 * E182, "")</f>
        <v>26216.216216216228</v>
      </c>
      <c r="G182" s="31">
        <v>87.4</v>
      </c>
      <c r="H182" s="32">
        <f t="shared" si="95"/>
        <v>0.18108108108108115</v>
      </c>
      <c r="I182" s="101">
        <f>IF(ISNUMBER(G182), $B199 * H182, "")</f>
        <v>18108.108108108114</v>
      </c>
      <c r="J182" s="15">
        <v>86.8</v>
      </c>
      <c r="K182" s="32">
        <f t="shared" si="96"/>
        <v>0.17297297297297293</v>
      </c>
      <c r="L182" s="18">
        <f>IF(ISNUMBER(J182), $B199 * K182, "")</f>
        <v>17297.297297297293</v>
      </c>
      <c r="M182" s="31"/>
      <c r="N182" s="32" t="str">
        <f t="shared" si="97"/>
        <v/>
      </c>
      <c r="O182" s="18" t="str">
        <f>IF(ISNUMBER(M182), $B199 * N182, "")</f>
        <v/>
      </c>
      <c r="Q182" s="251"/>
      <c r="R182" s="251"/>
      <c r="S182" s="251"/>
    </row>
    <row r="183" spans="1:19" ht="17.25" thickBot="1">
      <c r="A183" s="163" t="s">
        <v>227</v>
      </c>
      <c r="B183" s="128">
        <v>78.7</v>
      </c>
      <c r="C183" s="78">
        <v>-4.0243902400000003E-2</v>
      </c>
      <c r="D183" s="20">
        <v>81.599999999999994</v>
      </c>
      <c r="E183" s="21">
        <f t="shared" si="94"/>
        <v>3.6848792884370922E-2</v>
      </c>
      <c r="F183" s="22">
        <f>IF(ISNUMBER(D183), $B199 * E183, "")</f>
        <v>3684.8792884370923</v>
      </c>
      <c r="G183" s="30">
        <v>79.900000000000006</v>
      </c>
      <c r="H183" s="21">
        <f t="shared" si="95"/>
        <v>1.5247776365946668E-2</v>
      </c>
      <c r="I183" s="105">
        <f>IF(ISNUMBER(G183), $B199 * H183, "")</f>
        <v>1524.7776365946668</v>
      </c>
      <c r="J183" s="20">
        <v>71.099999999999994</v>
      </c>
      <c r="K183" s="21">
        <f t="shared" si="96"/>
        <v>-9.6569250317662114E-2</v>
      </c>
      <c r="L183" s="22">
        <f>IF(ISNUMBER(J183), $B199 * K183, "")</f>
        <v>-9656.9250317662118</v>
      </c>
      <c r="M183" s="30"/>
      <c r="N183" s="21" t="str">
        <f t="shared" si="97"/>
        <v/>
      </c>
      <c r="O183" s="22" t="str">
        <f>IF(ISNUMBER(M183), $B199 * N183, "")</f>
        <v/>
      </c>
      <c r="Q183" s="251"/>
      <c r="R183" s="251"/>
      <c r="S183" s="251"/>
    </row>
    <row r="184" spans="1:19" ht="17.25" thickBot="1">
      <c r="A184" s="162" t="s">
        <v>152</v>
      </c>
      <c r="B184" s="129">
        <v>16.2</v>
      </c>
      <c r="C184" s="80">
        <v>-4.1420118300000003E-2</v>
      </c>
      <c r="D184" s="106">
        <v>15.9</v>
      </c>
      <c r="E184" s="107">
        <f>IF(ISNUMBER(D184), (D184 - $B184) / $B184, "")</f>
        <v>-1.8518518518518455E-2</v>
      </c>
      <c r="F184" s="108">
        <f>IF(ISNUMBER(D184), $B199 * E184, "")</f>
        <v>-1851.8518518518456</v>
      </c>
      <c r="G184" s="109">
        <v>15.3</v>
      </c>
      <c r="H184" s="107">
        <f>IF(ISNUMBER(G184), (G184 - $B184) / $B184, "")</f>
        <v>-5.5555555555555469E-2</v>
      </c>
      <c r="I184" s="110">
        <f>IF(ISNUMBER(G184), $B199 * H184, "")</f>
        <v>-5555.5555555555466</v>
      </c>
      <c r="J184" s="106">
        <v>14.6</v>
      </c>
      <c r="K184" s="107">
        <f>IF(ISNUMBER(J184), (J184 - $B184) / $B184, "")</f>
        <v>-9.8765432098765413E-2</v>
      </c>
      <c r="L184" s="108">
        <f>IF(ISNUMBER(J184), $B199 * K184, "")</f>
        <v>-9876.5432098765414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1"/>
      <c r="R184" s="251"/>
      <c r="S184" s="251"/>
    </row>
    <row r="185" spans="1:19" ht="17.25" thickBot="1">
      <c r="A185" s="162" t="s">
        <v>275</v>
      </c>
      <c r="B185" s="126">
        <v>701</v>
      </c>
      <c r="C185" s="77">
        <v>-4.2349726800000001E-2</v>
      </c>
      <c r="D185" s="15">
        <v>689</v>
      </c>
      <c r="E185" s="32">
        <f t="shared" ref="E185:E188" si="98">IF(ISNUMBER(D185), (D185 - $B185) / $B185, "")</f>
        <v>-1.7118402282453638E-2</v>
      </c>
      <c r="F185" s="18">
        <f>IF(ISNUMBER(D185), $B199 * E185, "")</f>
        <v>-1711.8402282453637</v>
      </c>
      <c r="G185" s="31">
        <v>679</v>
      </c>
      <c r="H185" s="32">
        <f t="shared" ref="H185:H188" si="99">IF(ISNUMBER(G185), (G185 - $B185) / $B185, "")</f>
        <v>-3.1383737517831668E-2</v>
      </c>
      <c r="I185" s="101">
        <f>IF(ISNUMBER(G185), $B199 * H185, "")</f>
        <v>-3138.3737517831669</v>
      </c>
      <c r="J185" s="15">
        <v>625</v>
      </c>
      <c r="K185" s="32">
        <f t="shared" ref="K185:K188" si="100">IF(ISNUMBER(J185), (J185 - $B185) / $B185, "")</f>
        <v>-0.10841654778887304</v>
      </c>
      <c r="L185" s="18">
        <f>IF(ISNUMBER(J185), $B199 * K185, "")</f>
        <v>-10841.654778887303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1"/>
      <c r="R185" s="251"/>
      <c r="S185" s="251"/>
    </row>
    <row r="186" spans="1:19" ht="17.25" thickBot="1">
      <c r="A186" s="162" t="s">
        <v>214</v>
      </c>
      <c r="B186" s="126">
        <v>226</v>
      </c>
      <c r="C186" s="77">
        <v>-4.23728814E-2</v>
      </c>
      <c r="D186" s="15">
        <v>238</v>
      </c>
      <c r="E186" s="32">
        <f t="shared" si="98"/>
        <v>5.3097345132743362E-2</v>
      </c>
      <c r="F186" s="18">
        <f>IF(ISNUMBER(D186), $B199 * E186, "")</f>
        <v>5309.7345132743358</v>
      </c>
      <c r="G186" s="31">
        <v>234</v>
      </c>
      <c r="H186" s="32">
        <f t="shared" si="99"/>
        <v>3.5398230088495575E-2</v>
      </c>
      <c r="I186" s="101">
        <f>IF(ISNUMBER(G186), $B199 * H186, "")</f>
        <v>3539.8230088495575</v>
      </c>
      <c r="J186" s="15">
        <v>229</v>
      </c>
      <c r="K186" s="32">
        <f t="shared" si="100"/>
        <v>1.3274336283185841E-2</v>
      </c>
      <c r="L186" s="18">
        <f>IF(ISNUMBER(J186), $B199 * K186, "")</f>
        <v>1327.4336283185839</v>
      </c>
      <c r="M186" s="31"/>
      <c r="N186" s="32" t="str">
        <f t="shared" si="101"/>
        <v/>
      </c>
      <c r="O186" s="18" t="str">
        <f>IF(ISNUMBER(M186), $B199 * N186, "")</f>
        <v/>
      </c>
      <c r="Q186" s="251"/>
      <c r="R186" s="251"/>
      <c r="S186" s="251"/>
    </row>
    <row r="187" spans="1:19" ht="17.25" thickBot="1">
      <c r="A187" s="162" t="s">
        <v>253</v>
      </c>
      <c r="B187" s="126">
        <v>359</v>
      </c>
      <c r="C187" s="77">
        <v>-4.2666666700000001E-2</v>
      </c>
      <c r="D187" s="15">
        <v>352</v>
      </c>
      <c r="E187" s="32">
        <f t="shared" si="98"/>
        <v>-1.9498607242339833E-2</v>
      </c>
      <c r="F187" s="18">
        <f>IF(ISNUMBER(D187), $B199 * E187, "")</f>
        <v>-1949.8607242339833</v>
      </c>
      <c r="G187" s="31">
        <v>342</v>
      </c>
      <c r="H187" s="32">
        <f t="shared" si="99"/>
        <v>-4.7353760445682451E-2</v>
      </c>
      <c r="I187" s="101">
        <f>IF(ISNUMBER(G187), $B199 * H187, "")</f>
        <v>-4735.3760445682447</v>
      </c>
      <c r="J187" s="15">
        <v>326</v>
      </c>
      <c r="K187" s="32">
        <f t="shared" si="100"/>
        <v>-9.1922005571030641E-2</v>
      </c>
      <c r="L187" s="18">
        <f>IF(ISNUMBER(J187), $B199 * K187, "")</f>
        <v>-9192.2005571030641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257</v>
      </c>
      <c r="B188" s="131">
        <v>414</v>
      </c>
      <c r="C188" s="79">
        <v>-4.3879907599999997E-2</v>
      </c>
      <c r="D188" s="24">
        <v>396</v>
      </c>
      <c r="E188" s="25">
        <f t="shared" si="98"/>
        <v>-4.3478260869565216E-2</v>
      </c>
      <c r="F188" s="104">
        <f>IF(ISNUMBER(D188), $B199 * E188, "")</f>
        <v>-4347.826086956522</v>
      </c>
      <c r="G188" s="102">
        <v>391</v>
      </c>
      <c r="H188" s="25">
        <f t="shared" si="99"/>
        <v>-5.5555555555555552E-2</v>
      </c>
      <c r="I188" s="103">
        <f>IF(ISNUMBER(G188), $B199 * H188, "")</f>
        <v>-5555.5555555555557</v>
      </c>
      <c r="J188" s="24">
        <v>376</v>
      </c>
      <c r="K188" s="25">
        <f t="shared" si="100"/>
        <v>-9.1787439613526575E-2</v>
      </c>
      <c r="L188" s="104">
        <f>IF(ISNUMBER(J188), $B199 * K188, "")</f>
        <v>-9178.7439613526567</v>
      </c>
      <c r="M188" s="102"/>
      <c r="N188" s="25" t="str">
        <f t="shared" si="101"/>
        <v/>
      </c>
      <c r="O188" s="104" t="str">
        <f>IF(ISNUMBER(M188), $B199 * N188, "")</f>
        <v/>
      </c>
      <c r="Q188" s="252"/>
      <c r="R188" s="253"/>
      <c r="S188" s="254"/>
    </row>
    <row r="189" spans="1:19">
      <c r="A189" s="161" t="s">
        <v>54</v>
      </c>
      <c r="B189" s="124">
        <v>235</v>
      </c>
      <c r="C189" s="76">
        <v>-4.4715447200000001E-2</v>
      </c>
      <c r="D189" s="13">
        <v>228</v>
      </c>
      <c r="E189" s="14">
        <f>IF(ISNUMBER(D189), (D189 - $B189) / $B189, "")</f>
        <v>-2.9787234042553193E-2</v>
      </c>
      <c r="F189" s="16">
        <f>IF(ISNUMBER(D189), $B199 * E189, "")</f>
        <v>-2978.7234042553191</v>
      </c>
      <c r="G189" s="29">
        <v>224</v>
      </c>
      <c r="H189" s="14">
        <f>IF(ISNUMBER(G189), (G189 - $B189) / $B189, "")</f>
        <v>-4.6808510638297871E-2</v>
      </c>
      <c r="I189" s="100">
        <f>IF(ISNUMBER(G189), $B199 * H189, "")</f>
        <v>-4680.8510638297867</v>
      </c>
      <c r="J189" s="13">
        <v>218</v>
      </c>
      <c r="K189" s="14">
        <f>IF(ISNUMBER(J189), (J189 - $B189) / $B189, "")</f>
        <v>-7.2340425531914887E-2</v>
      </c>
      <c r="L189" s="16">
        <f>IF(ISNUMBER(J189), $B199 * K189, "")</f>
        <v>-7234.0425531914889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5"/>
      <c r="R189" s="256"/>
      <c r="S189" s="257"/>
    </row>
    <row r="190" spans="1:19" ht="17.25" thickBot="1">
      <c r="A190" s="162" t="s">
        <v>223</v>
      </c>
      <c r="B190" s="126">
        <v>184</v>
      </c>
      <c r="C190" s="77">
        <v>-4.6632124400000002E-2</v>
      </c>
      <c r="D190" s="15">
        <v>184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179</v>
      </c>
      <c r="H190" s="32">
        <f t="shared" ref="H190:H193" si="103">IF(ISNUMBER(G190), (G190 - $B190) / $B190, "")</f>
        <v>-2.717391304347826E-2</v>
      </c>
      <c r="I190" s="101">
        <f>IF(ISNUMBER(G190), $B199 * H190, "")</f>
        <v>-2717.391304347826</v>
      </c>
      <c r="J190" s="15">
        <v>166</v>
      </c>
      <c r="K190" s="32">
        <f t="shared" ref="K190:K193" si="104">IF(ISNUMBER(J190), (J190 - $B190) / $B190, "")</f>
        <v>-9.7826086956521743E-2</v>
      </c>
      <c r="L190" s="18">
        <f>IF(ISNUMBER(J190), $B199 * K190, "")</f>
        <v>-9782.608695652174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8"/>
      <c r="R190" s="259"/>
      <c r="S190" s="260"/>
    </row>
    <row r="191" spans="1:19" ht="17.25" thickBot="1">
      <c r="A191" s="162" t="s">
        <v>193</v>
      </c>
      <c r="B191" s="126">
        <v>5680</v>
      </c>
      <c r="C191" s="77">
        <v>-4.6979865799999999E-2</v>
      </c>
      <c r="D191" s="15">
        <v>5520</v>
      </c>
      <c r="E191" s="32">
        <f t="shared" si="102"/>
        <v>-2.8169014084507043E-2</v>
      </c>
      <c r="F191" s="18">
        <f>IF(ISNUMBER(D191), $B199 * E191, "")</f>
        <v>-2816.9014084507044</v>
      </c>
      <c r="G191" s="31">
        <v>5405</v>
      </c>
      <c r="H191" s="32">
        <f t="shared" si="103"/>
        <v>-4.8415492957746477E-2</v>
      </c>
      <c r="I191" s="101">
        <f>IF(ISNUMBER(G191), $B199 * H191, "")</f>
        <v>-4841.5492957746474</v>
      </c>
      <c r="J191" s="15">
        <v>5025</v>
      </c>
      <c r="K191" s="32">
        <f t="shared" si="104"/>
        <v>-0.1153169014084507</v>
      </c>
      <c r="L191" s="18">
        <f>IF(ISNUMBER(J191), $B199 * K191, "")</f>
        <v>-11531.69014084507</v>
      </c>
      <c r="M191" s="31"/>
      <c r="N191" s="32" t="str">
        <f t="shared" si="105"/>
        <v/>
      </c>
      <c r="O191" s="18" t="str">
        <f>IF(ISNUMBER(M191), $B199 * N191, "")</f>
        <v/>
      </c>
      <c r="Q191" s="251"/>
      <c r="R191" s="251"/>
      <c r="S191" s="251"/>
    </row>
    <row r="192" spans="1:19" ht="17.25" thickBot="1">
      <c r="A192" s="162" t="s">
        <v>217</v>
      </c>
      <c r="B192" s="126">
        <v>9.51</v>
      </c>
      <c r="C192" s="77">
        <v>-4.8048048000000003E-2</v>
      </c>
      <c r="D192" s="15">
        <v>9.31</v>
      </c>
      <c r="E192" s="32">
        <f t="shared" si="102"/>
        <v>-2.1030494216614015E-2</v>
      </c>
      <c r="F192" s="18">
        <f>IF(ISNUMBER(D192), $B199 * E192, "")</f>
        <v>-2103.0494216614015</v>
      </c>
      <c r="G192" s="31">
        <v>9.17</v>
      </c>
      <c r="H192" s="32">
        <f t="shared" si="103"/>
        <v>-3.575184016824394E-2</v>
      </c>
      <c r="I192" s="101">
        <f>IF(ISNUMBER(G192), $B199 * H192, "")</f>
        <v>-3575.1840168243939</v>
      </c>
      <c r="J192" s="15">
        <v>8.65</v>
      </c>
      <c r="K192" s="32">
        <f t="shared" si="104"/>
        <v>-9.0431125131440526E-2</v>
      </c>
      <c r="L192" s="18">
        <f>IF(ISNUMBER(J192), $B199 * K192, "")</f>
        <v>-9043.1125131440531</v>
      </c>
      <c r="M192" s="31"/>
      <c r="N192" s="32" t="str">
        <f t="shared" si="105"/>
        <v/>
      </c>
      <c r="O192" s="18" t="str">
        <f>IF(ISNUMBER(M192), $B199 * N192, "")</f>
        <v/>
      </c>
      <c r="Q192" s="261"/>
      <c r="R192" s="261"/>
      <c r="S192" s="261"/>
    </row>
    <row r="193" spans="1:19" ht="17.25" thickBot="1">
      <c r="A193" s="163" t="s">
        <v>255</v>
      </c>
      <c r="B193" s="128">
        <v>47.3</v>
      </c>
      <c r="C193" s="78">
        <v>-5.0200803199999998E-2</v>
      </c>
      <c r="D193" s="20">
        <v>46.3</v>
      </c>
      <c r="E193" s="21">
        <f t="shared" si="102"/>
        <v>-2.1141649048625793E-2</v>
      </c>
      <c r="F193" s="22">
        <f>IF(ISNUMBER(D193), $B199 * E193, "")</f>
        <v>-2114.1649048625791</v>
      </c>
      <c r="G193" s="30">
        <v>46</v>
      </c>
      <c r="H193" s="21">
        <f t="shared" si="103"/>
        <v>-2.7484143763213471E-2</v>
      </c>
      <c r="I193" s="105">
        <f>IF(ISNUMBER(G193), $B199 * H193, "")</f>
        <v>-2748.4143763213469</v>
      </c>
      <c r="J193" s="20">
        <v>41</v>
      </c>
      <c r="K193" s="21">
        <f t="shared" si="104"/>
        <v>-0.13319238900634245</v>
      </c>
      <c r="L193" s="22">
        <f>IF(ISNUMBER(J193), $B199 * K193, "")</f>
        <v>-13319.238900634246</v>
      </c>
      <c r="M193" s="30"/>
      <c r="N193" s="21" t="str">
        <f t="shared" si="105"/>
        <v/>
      </c>
      <c r="O193" s="22" t="str">
        <f>IF(ISNUMBER(M193), $B199 * N193, "")</f>
        <v/>
      </c>
      <c r="Q193" s="261"/>
      <c r="R193" s="261"/>
      <c r="S193" s="261"/>
    </row>
    <row r="194" spans="1:19" ht="17.25" thickBot="1">
      <c r="A194" s="162" t="s">
        <v>203</v>
      </c>
      <c r="B194" s="129">
        <v>2610</v>
      </c>
      <c r="C194" s="80">
        <v>-5.0909090900000002E-2</v>
      </c>
      <c r="D194" s="106">
        <v>2555</v>
      </c>
      <c r="E194" s="107">
        <f>IF(ISNUMBER(D194), (D194 - $B194) / $B194, "")</f>
        <v>-2.1072796934865901E-2</v>
      </c>
      <c r="F194" s="108">
        <f>IF(ISNUMBER(D194), $B199 * E194, "")</f>
        <v>-2107.2796934865901</v>
      </c>
      <c r="G194" s="109">
        <v>2525</v>
      </c>
      <c r="H194" s="107">
        <f>IF(ISNUMBER(G194), (G194 - $B194) / $B194, "")</f>
        <v>-3.2567049808429116E-2</v>
      </c>
      <c r="I194" s="110">
        <f>IF(ISNUMBER(G194), $B199 * H194, "")</f>
        <v>-3256.7049808429115</v>
      </c>
      <c r="J194" s="106">
        <v>2280</v>
      </c>
      <c r="K194" s="107">
        <f>IF(ISNUMBER(J194), (J194 - $B194) / $B194, "")</f>
        <v>-0.12643678160919541</v>
      </c>
      <c r="L194" s="108">
        <f>IF(ISNUMBER(J194), $B199 * K194, "")</f>
        <v>-12643.678160919542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1"/>
      <c r="R194" s="251"/>
      <c r="S194" s="251"/>
    </row>
    <row r="195" spans="1:19" ht="17.25" thickBot="1">
      <c r="A195" s="162" t="s">
        <v>210</v>
      </c>
      <c r="B195" s="126">
        <v>46.2</v>
      </c>
      <c r="C195" s="77">
        <v>-5.9063136500000002E-2</v>
      </c>
      <c r="D195" s="15">
        <v>46.3</v>
      </c>
      <c r="E195" s="32">
        <f t="shared" ref="E195:E198" si="106">IF(ISNUMBER(D195), (D195 - $B195) / $B195, "")</f>
        <v>2.1645021645020413E-3</v>
      </c>
      <c r="F195" s="18">
        <f>IF(ISNUMBER(D195), $B199 * E195, "")</f>
        <v>216.45021645020412</v>
      </c>
      <c r="G195" s="31">
        <v>49.1</v>
      </c>
      <c r="H195" s="32">
        <f t="shared" ref="H195:H198" si="107">IF(ISNUMBER(G195), (G195 - $B195) / $B195, "")</f>
        <v>6.2770562770562741E-2</v>
      </c>
      <c r="I195" s="101">
        <f>IF(ISNUMBER(G195), $B199 * H195, "")</f>
        <v>6277.0562770562738</v>
      </c>
      <c r="J195" s="15">
        <v>43.7</v>
      </c>
      <c r="K195" s="32">
        <f t="shared" ref="K195:K198" si="108">IF(ISNUMBER(J195), (J195 - $B195) / $B195, "")</f>
        <v>-5.4112554112554112E-2</v>
      </c>
      <c r="L195" s="18">
        <f>IF(ISNUMBER(J195), $B199 * K195, "")</f>
        <v>-5411.2554112554108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1"/>
      <c r="R195" s="251"/>
      <c r="S195" s="251"/>
    </row>
    <row r="196" spans="1:19" ht="17.25" thickBot="1">
      <c r="A196" s="162" t="s">
        <v>199</v>
      </c>
      <c r="B196" s="126">
        <v>170</v>
      </c>
      <c r="C196" s="77">
        <v>-6.07734807E-2</v>
      </c>
      <c r="D196" s="15">
        <v>158</v>
      </c>
      <c r="E196" s="32">
        <f t="shared" si="106"/>
        <v>-7.0588235294117646E-2</v>
      </c>
      <c r="F196" s="18">
        <f>IF(ISNUMBER(D196), $B199 * E196, "")</f>
        <v>-7058.8235294117649</v>
      </c>
      <c r="G196" s="31">
        <v>153</v>
      </c>
      <c r="H196" s="32">
        <f t="shared" si="107"/>
        <v>-0.1</v>
      </c>
      <c r="I196" s="101">
        <f>IF(ISNUMBER(G196), $B199 * H196, "")</f>
        <v>-10000</v>
      </c>
      <c r="J196" s="15">
        <v>144</v>
      </c>
      <c r="K196" s="32">
        <f t="shared" si="108"/>
        <v>-0.15294117647058825</v>
      </c>
      <c r="L196" s="18">
        <f>IF(ISNUMBER(J196), $B199 * K196, "")</f>
        <v>-15294.117647058825</v>
      </c>
      <c r="M196" s="31"/>
      <c r="N196" s="32" t="str">
        <f t="shared" si="109"/>
        <v/>
      </c>
      <c r="O196" s="18" t="str">
        <f>IF(ISNUMBER(M196), $B199 * N196, "")</f>
        <v/>
      </c>
      <c r="Q196" s="251"/>
      <c r="R196" s="251"/>
      <c r="S196" s="251"/>
    </row>
    <row r="197" spans="1:19">
      <c r="A197" s="162" t="s">
        <v>261</v>
      </c>
      <c r="B197" s="126">
        <v>47.6</v>
      </c>
      <c r="C197" s="77">
        <v>-6.4833005900000004E-2</v>
      </c>
      <c r="D197" s="15">
        <v>46.4</v>
      </c>
      <c r="E197" s="32">
        <f t="shared" si="106"/>
        <v>-2.5210084033613505E-2</v>
      </c>
      <c r="F197" s="18">
        <f>IF(ISNUMBER(D197), $B199 * E197, "")</f>
        <v>-2521.0084033613507</v>
      </c>
      <c r="G197" s="31">
        <v>45.5</v>
      </c>
      <c r="H197" s="32">
        <f t="shared" si="107"/>
        <v>-4.411764705882356E-2</v>
      </c>
      <c r="I197" s="101">
        <f>IF(ISNUMBER(G197), $B199 * H197, "")</f>
        <v>-4411.7647058823559</v>
      </c>
      <c r="J197" s="15">
        <v>43.2</v>
      </c>
      <c r="K197" s="32">
        <f t="shared" si="108"/>
        <v>-9.2436974789915929E-2</v>
      </c>
      <c r="L197" s="18">
        <f>IF(ISNUMBER(J197), $B199 * K197, "")</f>
        <v>-9243.697478991593</v>
      </c>
      <c r="M197" s="31"/>
      <c r="N197" s="32" t="str">
        <f t="shared" si="109"/>
        <v/>
      </c>
      <c r="O197" s="18" t="str">
        <f>IF(ISNUMBER(M197), $B199 * N197, "")</f>
        <v/>
      </c>
      <c r="Q197" s="240"/>
      <c r="R197" s="241"/>
      <c r="S197" s="242"/>
    </row>
    <row r="198" spans="1:19" ht="17.25" thickBot="1">
      <c r="A198" s="130" t="s">
        <v>201</v>
      </c>
      <c r="B198" s="131">
        <v>70</v>
      </c>
      <c r="C198" s="79">
        <v>-7.2847682100000005E-2</v>
      </c>
      <c r="D198" s="24">
        <v>69.400000000000006</v>
      </c>
      <c r="E198" s="25">
        <f t="shared" si="106"/>
        <v>-8.5714285714284903E-3</v>
      </c>
      <c r="F198" s="104">
        <f>IF(ISNUMBER(D198), $B199 * E198, "")</f>
        <v>-857.14285714284904</v>
      </c>
      <c r="G198" s="102">
        <v>68.900000000000006</v>
      </c>
      <c r="H198" s="25">
        <f t="shared" si="107"/>
        <v>-1.5714285714285632E-2</v>
      </c>
      <c r="I198" s="103">
        <f>IF(ISNUMBER(G198), $B199 * H198, "")</f>
        <v>-1571.4285714285631</v>
      </c>
      <c r="J198" s="24">
        <v>61.1</v>
      </c>
      <c r="K198" s="25">
        <f t="shared" si="108"/>
        <v>-0.12714285714285711</v>
      </c>
      <c r="L198" s="104">
        <f>IF(ISNUMBER(J198), $B199 * K198, "")</f>
        <v>-12714.285714285712</v>
      </c>
      <c r="M198" s="102"/>
      <c r="N198" s="25" t="str">
        <f t="shared" si="109"/>
        <v/>
      </c>
      <c r="O198" s="104" t="str">
        <f>IF(ISNUMBER(M198), $B199 * N198, "")</f>
        <v/>
      </c>
      <c r="Q198" s="243"/>
      <c r="R198" s="244"/>
      <c r="S198" s="245"/>
    </row>
    <row r="199" spans="1:19" ht="17.25" thickBot="1">
      <c r="A199" s="132" t="s">
        <v>295</v>
      </c>
      <c r="B199" s="304">
        <f>$B$37</f>
        <v>100000</v>
      </c>
      <c r="C199" s="305"/>
      <c r="D199" s="26" t="s">
        <v>296</v>
      </c>
      <c r="E199" s="27">
        <f>IF(COUNT(E179:E198), SUM(E179:E198) / COUNT(E179:E198), 0)</f>
        <v>7.5752546434932168E-4</v>
      </c>
      <c r="F199" s="28">
        <f>SUM(F179:F198)</f>
        <v>1515.0509286986435</v>
      </c>
      <c r="G199" s="26" t="s">
        <v>296</v>
      </c>
      <c r="H199" s="27">
        <f>IF(COUNT(H179:H198), SUM(H179:H198) / COUNT(H179:H198), 0)</f>
        <v>-1.6700604101889498E-2</v>
      </c>
      <c r="I199" s="28">
        <f>SUM(I179:I198)</f>
        <v>-33401.208203779002</v>
      </c>
      <c r="J199" s="26" t="s">
        <v>296</v>
      </c>
      <c r="K199" s="27">
        <f>IF(COUNT(K179:K198), SUM(K179:K198) / COUNT(K179:K198), 0)</f>
        <v>-8.0803272780240215E-2</v>
      </c>
      <c r="L199" s="28">
        <f>SUM(L179:L198)</f>
        <v>-161606.54556048042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46"/>
      <c r="R199" s="247"/>
      <c r="S199" s="24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25</vt:i4>
      </vt:variant>
    </vt:vector>
  </HeadingPairs>
  <TitlesOfParts>
    <vt:vector size="25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  <vt:lpstr>2021.06.14</vt:lpstr>
      <vt:lpstr>2021.06.15</vt:lpstr>
      <vt:lpstr>2021.06.16</vt:lpstr>
      <vt:lpstr>2021.06.17</vt:lpstr>
      <vt:lpstr>2021.06.18</vt:lpstr>
      <vt:lpstr>2021.06.19</vt:lpstr>
      <vt:lpstr>2021.06.20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2021-06-20T12:33:09Z</dcterms:modified>
</cp:coreProperties>
</file>